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ustomProperty2.bin" ContentType="application/vnd.openxmlformats-officedocument.spreadsheetml.customProperty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ustomProperty3.bin" ContentType="application/vnd.openxmlformats-officedocument.spreadsheetml.customProperty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BrandonCrews\CA SOUTH Dropbox\ Mad Dog - 1425 4th\Finance\Proforma\"/>
    </mc:Choice>
  </mc:AlternateContent>
  <xr:revisionPtr revIDLastSave="0" documentId="13_ncr:1_{F2F388A3-5218-4889-BA08-39CA6B405AA2}" xr6:coauthVersionLast="47" xr6:coauthVersionMax="47" xr10:uidLastSave="{00000000-0000-0000-0000-000000000000}"/>
  <bookViews>
    <workbookView xWindow="-38520" yWindow="-120" windowWidth="38640" windowHeight="20625" tabRatio="898" activeTab="4" xr2:uid="{00000000-000D-0000-FFFF-FFFF00000000}"/>
  </bookViews>
  <sheets>
    <sheet name="Cover" sheetId="25" r:id="rId1"/>
    <sheet name="Massing" sheetId="35" state="hidden" r:id="rId2"/>
    <sheet name="Sheet2" sheetId="37" state="hidden" r:id="rId3"/>
    <sheet name="Sheet1" sheetId="39" state="hidden" r:id="rId4"/>
    <sheet name="Dashboard" sheetId="4" r:id="rId5"/>
    <sheet name="Assumptions" sheetId="3" r:id="rId6"/>
    <sheet name="Assumptions MH" sheetId="44" r:id="rId7"/>
    <sheet name="Budget Detail" sheetId="11" r:id="rId8"/>
    <sheet name="Annual-CF" sheetId="32" r:id="rId9"/>
    <sheet name="Monthly-CF" sheetId="30" r:id="rId10"/>
    <sheet name="Cash Flow MH" sheetId="46" r:id="rId11"/>
    <sheet name="Monthly-Waterfall" sheetId="14" r:id="rId12"/>
    <sheet name="Pro Forma MH" sheetId="45" r:id="rId13"/>
    <sheet name="Stabalized NOI" sheetId="48" r:id="rId14"/>
    <sheet name="Schedules ---&gt;" sheetId="12" r:id="rId15"/>
    <sheet name="SF Breakdown" sheetId="34" state="hidden" r:id="rId16"/>
    <sheet name="Opex MF" sheetId="28" state="hidden" r:id="rId17"/>
    <sheet name="RE Tax" sheetId="40" r:id="rId18"/>
    <sheet name="Hotel Tax Comps" sheetId="41" r:id="rId19"/>
    <sheet name="Staffing Model MH" sheetId="42" r:id="rId20"/>
    <sheet name="Seasonality MH" sheetId="43" r:id="rId21"/>
    <sheet name="Unit Detail" sheetId="36" r:id="rId22"/>
    <sheet name="Tax Projection" sheetId="27" state="hidden" r:id="rId23"/>
    <sheet name="Int. Calc" sheetId="33" state="hidden" r:id="rId24"/>
    <sheet name="Slides ---&gt;" sheetId="15" state="hidden" r:id="rId25"/>
    <sheet name="Market Rents" sheetId="26" state="hidden" r:id="rId26"/>
    <sheet name="Rent Comps" sheetId="17" state="hidden" r:id="rId27"/>
    <sheet name="Sales Comps" sheetId="16" state="hidden" r:id="rId28"/>
    <sheet name="Operating Projections" sheetId="19" state="hidden" r:id="rId29"/>
    <sheet name="Forward Curve" sheetId="38" state="hidden" r:id="rId30"/>
    <sheet name="Sheet3" sheetId="47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_" hidden="1">[1]General!#REF!</definedName>
    <definedName name="____________________________________old2" hidden="1">{#N/A,#N/A,FALSE,"Chart 2 by Prop Type"}</definedName>
    <definedName name="___________________________________old2" hidden="1">{#N/A,#N/A,FALSE,"Chart 2 by Prop Type"}</definedName>
    <definedName name="__________________________________old2" hidden="1">{#N/A,#N/A,FALSE,"Chart 2 by Prop Type"}</definedName>
    <definedName name="_________________________________old2" hidden="1">{#N/A,#N/A,FALSE,"Chart 2 by Prop Type"}</definedName>
    <definedName name="________________________________old2" hidden="1">{#N/A,#N/A,FALSE,"Chart 2 by Prop Type"}</definedName>
    <definedName name="_______________________________old2" hidden="1">{#N/A,#N/A,FALSE,"Chart 2 by Prop Type"}</definedName>
    <definedName name="______________________________old2" hidden="1">{#N/A,#N/A,FALSE,"Chart 2 by Prop Type"}</definedName>
    <definedName name="_____________________________old2" hidden="1">{#N/A,#N/A,FALSE,"Chart 2 by Prop Type"}</definedName>
    <definedName name="____________________________old2" hidden="1">{#N/A,#N/A,FALSE,"Chart 2 by Prop Type"}</definedName>
    <definedName name="___________________________old2" hidden="1">{#N/A,#N/A,FALSE,"Chart 2 by Prop Type"}</definedName>
    <definedName name="__________________________old2" hidden="1">{#N/A,#N/A,FALSE,"Chart 2 by Prop Type"}</definedName>
    <definedName name="_________________________old2" hidden="1">{#N/A,#N/A,FALSE,"Chart 2 by Prop Type"}</definedName>
    <definedName name="________________________old2" hidden="1">{#N/A,#N/A,FALSE,"Chart 2 by Prop Type"}</definedName>
    <definedName name="_______________________old2" hidden="1">{#N/A,#N/A,FALSE,"Chart 2 by Prop Type"}</definedName>
    <definedName name="______________________old2" hidden="1">{#N/A,#N/A,FALSE,"Chart 2 by Prop Type"}</definedName>
    <definedName name="_____________________old2" hidden="1">{#N/A,#N/A,FALSE,"Chart 2 by Prop Type"}</definedName>
    <definedName name="____________________old2" hidden="1">{#N/A,#N/A,FALSE,"Chart 2 by Prop Type"}</definedName>
    <definedName name="___________________old2" hidden="1">{#N/A,#N/A,FALSE,"Chart 2 by Prop Type"}</definedName>
    <definedName name="__________________old2" hidden="1">{#N/A,#N/A,FALSE,"Chart 2 by Prop Type"}</definedName>
    <definedName name="_________________old2" hidden="1">{#N/A,#N/A,FALSE,"Chart 2 by Prop Type"}</definedName>
    <definedName name="________________old2" hidden="1">{#N/A,#N/A,FALSE,"Chart 2 by Prop Type"}</definedName>
    <definedName name="_______________old2" hidden="1">{#N/A,#N/A,FALSE,"Chart 2 by Prop Type"}</definedName>
    <definedName name="______________old2" hidden="1">{#N/A,#N/A,FALSE,"Chart 2 by Prop Type"}</definedName>
    <definedName name="_____________old2" hidden="1">{#N/A,#N/A,FALSE,"Chart 2 by Prop Type"}</definedName>
    <definedName name="____________old2" hidden="1">{#N/A,#N/A,FALSE,"Chart 2 by Prop Type"}</definedName>
    <definedName name="___________old2" hidden="1">{#N/A,#N/A,FALSE,"Chart 2 by Prop Type"}</definedName>
    <definedName name="__________old2" hidden="1">{#N/A,#N/A,FALSE,"Chart 2 by Prop Type"}</definedName>
    <definedName name="_________key1" hidden="1">'[2]Inc &amp; Exp Assump (1)'!#REF!</definedName>
    <definedName name="_________key2" hidden="1">'[2]Inc &amp; Exp Assump (1)'!#REF!</definedName>
    <definedName name="_________old2" hidden="1">{#N/A,#N/A,FALSE,"Chart 2 by Prop Type"}</definedName>
    <definedName name="________key1" hidden="1">'[2]Inc &amp; Exp Assump (1)'!#REF!</definedName>
    <definedName name="________key2" hidden="1">'[2]Inc &amp; Exp Assump (1)'!#REF!</definedName>
    <definedName name="________old2" hidden="1">{#N/A,#N/A,FALSE,"Chart 2 by Prop Type"}</definedName>
    <definedName name="_______key1" hidden="1">'[2]Inc &amp; Exp Assump (1)'!#REF!</definedName>
    <definedName name="_______key2" hidden="1">'[2]Inc &amp; Exp Assump (1)'!#REF!</definedName>
    <definedName name="_______old2" hidden="1">{#N/A,#N/A,FALSE,"Chart 2 by Prop Type"}</definedName>
    <definedName name="______old2" hidden="1">{#N/A,#N/A,FALSE,"Chart 2 by Prop Type"}</definedName>
    <definedName name="_____key1" hidden="1">'[2]Inc &amp; Exp Assump (1)'!#REF!</definedName>
    <definedName name="_____key2" hidden="1">'[2]Inc &amp; Exp Assump (1)'!#REF!</definedName>
    <definedName name="_____old2" hidden="1">{#N/A,#N/A,FALSE,"Chart 2 by Prop Type"}</definedName>
    <definedName name="____key1" hidden="1">'[2]Inc &amp; Exp Assump (1)'!#REF!</definedName>
    <definedName name="____key2" hidden="1">'[2]Inc &amp; Exp Assump (1)'!#REF!</definedName>
    <definedName name="____old2" hidden="1">{#N/A,#N/A,FALSE,"Chart 2 by Prop Type"}</definedName>
    <definedName name="___e4" hidden="1">{"new",#N/A,FALSE,"D";"PROFORMA",#N/A,FALSE,"A";"partial 1",#N/A,FALSE,"B";"partial 2",#N/A,FALSE,"B";"partial 3",#N/A,FALSE,"B";"SMALL CF 1",#N/A,FALSE,"C"}</definedName>
    <definedName name="___gf2" hidden="1">{#N/A,#N/A,FALSE,"ACQ";#N/A,#N/A,FALSE,"ASSUMP";#N/A,#N/A,FALSE,"CASH FLOW";#N/A,#N/A,FALSE,"SALE";#N/A,#N/A,FALSE,"TIS";#N/A,#N/A,FALSE,"RENT ROLL"}</definedName>
    <definedName name="___key1" hidden="1">'[2]Inc &amp; Exp Assump (1)'!#REF!</definedName>
    <definedName name="___key2" hidden="1">'[2]Inc &amp; Exp Assump (1)'!#REF!</definedName>
    <definedName name="___old2" hidden="1">{#N/A,#N/A,FALSE,"Chart 2 by Prop Type"}</definedName>
    <definedName name="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123Graph_A" hidden="1">#REF!</definedName>
    <definedName name="__123Graph_ACOLLECTIONS" hidden="1">[3]A!$B$151:$AW$151</definedName>
    <definedName name="__123Graph_B" hidden="1">[4]Inputs!$E$13:$E$20</definedName>
    <definedName name="__123Graph_BCOLLECTIONS" hidden="1">[3]A!$B$152:$AW$152</definedName>
    <definedName name="__123Graph_C" hidden="1">[4]Inputs!$F$13:$F$20</definedName>
    <definedName name="__123Graph_D" hidden="1">[5]DETAIL!$E$4:$E$69</definedName>
    <definedName name="__123Graph_E" hidden="1">[5]DETAIL!$F$4:$F$69</definedName>
    <definedName name="__123Graph_F" hidden="1">'[6]Annual Report'!#REF!</definedName>
    <definedName name="__123Graph_X" hidden="1">'[7]REITs &amp; S&amp;P'!$D$11:$D$31</definedName>
    <definedName name="__123Graph_XCOLLECTIONS" hidden="1">[3]A!$B$150:$AW$150</definedName>
    <definedName name="__e4" hidden="1">{"new",#N/A,FALSE,"D";"PROFORMA",#N/A,FALSE,"A";"partial 1",#N/A,FALSE,"B";"partial 2",#N/A,FALSE,"B";"partial 3",#N/A,FALSE,"B";"SMALL CF 1",#N/A,FALSE,"C"}</definedName>
    <definedName name="__FDS_HYPERLINK_TOGGLE_STATE__" hidden="1">"ON"</definedName>
    <definedName name="__IntlFixup" hidden="1">TRUE</definedName>
    <definedName name="__key1" hidden="1">'[2]Inc &amp; Exp Assump (1)'!#REF!</definedName>
    <definedName name="__key2" hidden="1">'[2]Inc &amp; Exp Assump (1)'!#REF!</definedName>
    <definedName name="__old2" hidden="1">{#N/A,#N/A,FALSE,"Chart 2 by Prop Type"}</definedName>
    <definedName name="__wrn1" hidden="1">{"schedule1",#N/A,FALSE,"Sheet1";"schedule2",#N/A,FALSE,"Sheet1";"schedule3",#N/A,FALSE,"Sheet1";"schedule4",#N/A,FALSE,"Sheet1";"schedule5",#N/A,FALSE,"Sheet1";"schedule6",#N/A,FALSE,"Sheet1"}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1__123Graph_ACHART_1" hidden="1">'[7]REITs &amp; S&amp;P'!$F$11:$F$31</definedName>
    <definedName name="_1__123Graph_ACHART_12" hidden="1">[8]Demand!#REF!</definedName>
    <definedName name="_10__123Graph_ACHART_15" hidden="1">[8]Occ!#REF!</definedName>
    <definedName name="_10__123Graph_BCHART_16" hidden="1">[8]Occ!#REF!</definedName>
    <definedName name="_10__123Graph_XCHART_1" hidden="1">#REF!</definedName>
    <definedName name="_10__123Graph_XCHART_2" hidden="1">[3]A!$B$155:$AW$155</definedName>
    <definedName name="_100__123Graph_DCHART_17" hidden="1">[8]Occ!#REF!</definedName>
    <definedName name="_100__123Graph_XChart_5" hidden="1">'[9]sales vol.'!$I$1632:$I$1635</definedName>
    <definedName name="_101__123Graph_XChart_6" hidden="1">'[9]sales vol.'!$I$2248:$I$2251</definedName>
    <definedName name="_105__123Graph_DCHART_22" hidden="1">[8]Occ!#REF!</definedName>
    <definedName name="_11__123Graph_BCHART_17" hidden="1">[8]Occ!#REF!</definedName>
    <definedName name="_11__123Graph_XCHART_3" hidden="1">[3]A!$B$153:$AW$153</definedName>
    <definedName name="_110__123Graph_ECHART_15" hidden="1">[8]Occ!#REF!</definedName>
    <definedName name="_115__123Graph_ECHART_16" hidden="1">[8]Occ!#REF!</definedName>
    <definedName name="_12__123Graph_BCHART_22" hidden="1">[8]Occ!#REF!</definedName>
    <definedName name="_120__123Graph_ECHART_17" hidden="1">[8]Occ!#REF!</definedName>
    <definedName name="_125__123Graph_ECHART_22" hidden="1">[8]Occ!#REF!</definedName>
    <definedName name="_13__123Graph_CCHART_15" hidden="1">[8]Occ!#REF!</definedName>
    <definedName name="_130__123Graph_FCHART_15" hidden="1">[8]Occ!#REF!</definedName>
    <definedName name="_135__123Graph_FCHART_16" hidden="1">[8]Occ!#REF!</definedName>
    <definedName name="_14__123Graph_CCHART_16" hidden="1">[8]Occ!#REF!</definedName>
    <definedName name="_140__123Graph_FCHART_17" hidden="1">[8]Occ!#REF!</definedName>
    <definedName name="_145__123Graph_FCHART_22" hidden="1">[8]Occ!#REF!</definedName>
    <definedName name="_15__123Graph_ACHART_16" hidden="1">[8]Occ!#REF!</definedName>
    <definedName name="_15__123Graph_CCHART_17" hidden="1">[8]Occ!#REF!</definedName>
    <definedName name="_150__123Graph_XCHART_15" hidden="1">[8]Occ!#REF!</definedName>
    <definedName name="_155__123Graph_XCHART_16" hidden="1">[8]Occ!#REF!</definedName>
    <definedName name="_16__123Graph_CCHART_22" hidden="1">[8]Occ!#REF!</definedName>
    <definedName name="_160__123Graph_XCHART_17" hidden="1">[8]Occ!#REF!</definedName>
    <definedName name="_165__123Graph_XCHART_18" hidden="1">[8]Demand!#REF!</definedName>
    <definedName name="_17__123Graph_CSEG_PIE" hidden="1">[8]Demand!#REF!</definedName>
    <definedName name="_170__123Graph_XCHART_19" hidden="1">[8]Demand!#REF!</definedName>
    <definedName name="_175__123Graph_XCHART_22" hidden="1">[8]Occ!#REF!</definedName>
    <definedName name="_18__123Graph_DCHART_15" hidden="1">[8]Occ!#REF!</definedName>
    <definedName name="_180__123Graph_XSEG_PIE" hidden="1">[8]Demand!#REF!</definedName>
    <definedName name="_19__123Graph_DCHART_16" hidden="1">[8]Occ!#REF!</definedName>
    <definedName name="_2__123Graph_ACHART_1" hidden="1">#REF!</definedName>
    <definedName name="_2__123Graph_ACHART_15" hidden="1">[8]Occ!#REF!</definedName>
    <definedName name="_2__123Graph_ACHART_2" hidden="1">[10]A!$E$171:$E$177</definedName>
    <definedName name="_20__123Graph_ACHART_17" hidden="1">[8]Occ!#REF!</definedName>
    <definedName name="_20__123Graph_DCHART_17" hidden="1">[8]Occ!#REF!</definedName>
    <definedName name="_21__123Graph_DCHART_22" hidden="1">[8]Occ!#REF!</definedName>
    <definedName name="_22__123Graph_A_Chart_1A" hidden="1">'[11]Stock Price'!$B$4:$B$265</definedName>
    <definedName name="_22__123Graph_ECHART_15" hidden="1">[8]Occ!#REF!</definedName>
    <definedName name="_23__123Graph_AChart_1" hidden="1">[12]Total!$D$322:$D$325</definedName>
    <definedName name="_23__123Graph_ECHART_16" hidden="1">[8]Occ!#REF!</definedName>
    <definedName name="_24__123Graph_ACHART_19" hidden="1">[13]oldSEG!$M$16:$M$19</definedName>
    <definedName name="_24__123Graph_ECHART_17" hidden="1">[8]Occ!#REF!</definedName>
    <definedName name="_25__123Graph_ACHART_18" hidden="1">[8]Demand!#REF!</definedName>
    <definedName name="_25__123Graph_AChart_2" hidden="1">'[9]sales vol.'!$K$398:$K$401</definedName>
    <definedName name="_25__123Graph_ECHART_22" hidden="1">[8]Occ!#REF!</definedName>
    <definedName name="_26__123Graph_ACHART_20" hidden="1">[13]oldSEG!$M$23:$M$26</definedName>
    <definedName name="_26__123Graph_FCHART_15" hidden="1">[8]Occ!#REF!</definedName>
    <definedName name="_27__123Graph_ACHART_22" hidden="1">[13]Quarters!$F$110:$F$113</definedName>
    <definedName name="_27__123Graph_FCHART_16" hidden="1">[8]Occ!#REF!</definedName>
    <definedName name="_28__123Graph_ACHART_23" hidden="1">[13]Quarters!$G$110:$G$113</definedName>
    <definedName name="_28__123Graph_FCHART_17" hidden="1">[8]Occ!#REF!</definedName>
    <definedName name="_29__123Graph_AChart_3" hidden="1">'[9]sales vol.'!$K$211:$K$214</definedName>
    <definedName name="_29__123Graph_FCHART_22" hidden="1">[8]Occ!#REF!</definedName>
    <definedName name="_3__123Graph_ACHART_16" hidden="1">[8]Occ!#REF!</definedName>
    <definedName name="_3__123Graph_ACHART_3" hidden="1">[3]A!$B$154:$AW$154</definedName>
    <definedName name="_3__123Graph_BCHART_1" hidden="1">[14]A!$E$135:$E$141</definedName>
    <definedName name="_30__123Graph_ACHART_19" hidden="1">[8]Demand!#REF!</definedName>
    <definedName name="_30__123Graph_AChart_4" hidden="1">'[9]sales vol.'!$J$1121:$J$1122</definedName>
    <definedName name="_30__123Graph_XCHART_15" hidden="1">[8]Occ!#REF!</definedName>
    <definedName name="_30360" hidden="1">2</definedName>
    <definedName name="_31__123Graph_AChart_5" hidden="1">'[9]sales vol.'!$J$1632:$J$1635</definedName>
    <definedName name="_31__123Graph_XCHART_16" hidden="1">[8]Occ!#REF!</definedName>
    <definedName name="_32__123Graph_AChart_6" hidden="1">'[9]sales vol.'!$J$2248:$J$2251</definedName>
    <definedName name="_32__123Graph_XCHART_17" hidden="1">[8]Occ!#REF!</definedName>
    <definedName name="_33__123Graph_B_Chart_1A" hidden="1">'[11]Stock Price'!$C$4:$C$265</definedName>
    <definedName name="_33__123Graph_XCHART_18" hidden="1">[8]Demand!#REF!</definedName>
    <definedName name="_34__123Graph_BCHART_12" hidden="1">[13]Quarters!$X$25:$AA$25</definedName>
    <definedName name="_34__123Graph_XCHART_19" hidden="1">[8]Demand!#REF!</definedName>
    <definedName name="_35__123Graph_ACHART_21" hidden="1">[8]Occ!#REF!</definedName>
    <definedName name="_35__123Graph_C_Chart_1A" hidden="1">'[11]Stock Price'!$D$4:$D$265</definedName>
    <definedName name="_35__123Graph_XCHART_22" hidden="1">[8]Occ!#REF!</definedName>
    <definedName name="_36__123Graph_CCHART_10" hidden="1">[13]Quarters!$T$41:$T$41</definedName>
    <definedName name="_36__123Graph_XSEG_PIE" hidden="1">[8]Demand!#REF!</definedName>
    <definedName name="_360" hidden="1">2</definedName>
    <definedName name="_37__123Graph_CCHART_11" hidden="1">[13]Quarters!$T$62:$T$62</definedName>
    <definedName name="_38__123Graph_CCHART_12" hidden="1">[13]Quarters!$T$25:$T$25</definedName>
    <definedName name="_39__123Graph_CCHART_13" hidden="1">[13]Quarters!$T$26:$T$26</definedName>
    <definedName name="_4__123Graph_ACHART_17" hidden="1">[8]Occ!#REF!</definedName>
    <definedName name="_4__123Graph_ACHART_3I" hidden="1">#REF!</definedName>
    <definedName name="_4__123Graph_BCHART_1" hidden="1">[3]A!$B$25:$M$25</definedName>
    <definedName name="_4__123Graph_XCHART_1" hidden="1">'[7]REITs &amp; S&amp;P'!$D$11:$D$31</definedName>
    <definedName name="_40__123Graph_ASEG_PIE" hidden="1">[8]Demand!#REF!</definedName>
    <definedName name="_40__123Graph_CCHART_14" hidden="1">[13]Quarters!$T$27:$T$27</definedName>
    <definedName name="_41__123Graph_CCHART_15" hidden="1">[13]Quarters!$T$28:$T$28</definedName>
    <definedName name="_42__123Graph_CCHART_16" hidden="1">[13]Quarters!$T$29:$T$29</definedName>
    <definedName name="_43__123Graph_CCHART_17" hidden="1">[13]Quarters!$T$30:$T$30</definedName>
    <definedName name="_44__123Graph_CCHART_18" hidden="1">[13]Quarters!$T$31:$T$31</definedName>
    <definedName name="_45__123Graph_BCHART_15" hidden="1">[8]Occ!#REF!</definedName>
    <definedName name="_45__123Graph_CCHART_4" hidden="1">[13]Quarters!$T$24:$T$24</definedName>
    <definedName name="_46__123Graph_CCHART_6" hidden="1">[13]Quarters!$T$39:$T$39</definedName>
    <definedName name="_47__123Graph_CCHART_7" hidden="1">[13]Quarters!$T$60:$T$60</definedName>
    <definedName name="_48__123Graph_CCHART_8" hidden="1">[13]Quarters!$T$40:$T$40</definedName>
    <definedName name="_49__123Graph_CCHART_9" hidden="1">[13]Quarters!$T$61:$T$61</definedName>
    <definedName name="_5__123Graph_ACHART_12" hidden="1">[8]Demand!#REF!</definedName>
    <definedName name="_5__123Graph_ACHART_18" hidden="1">[8]Demand!#REF!</definedName>
    <definedName name="_5__123Graph_CCHART_1" hidden="1">[3]A!$B$36:$M$36</definedName>
    <definedName name="_5__123Graph_XCHART_2" hidden="1">[10]A!$D$171:$D$177</definedName>
    <definedName name="_50__123Graph_BCHART_16" hidden="1">[8]Occ!#REF!</definedName>
    <definedName name="_50__123Graph_D_Chart_1A" hidden="1">'[11]Stock Price'!$E$4:$E$265</definedName>
    <definedName name="_51__123Graph_DCHART_10" hidden="1">[13]Quarters!$L$41:$O$41</definedName>
    <definedName name="_52__123Graph_DCHART_11" hidden="1">[13]Quarters!$L$62:$O$62</definedName>
    <definedName name="_53__123Graph_DCHART_12" hidden="1">[13]Quarters!$L$25:$O$25</definedName>
    <definedName name="_54__123Graph_DCHART_13" hidden="1">[13]Quarters!$L$26:$O$26</definedName>
    <definedName name="_55__123Graph_BCHART_17" hidden="1">[8]Occ!#REF!</definedName>
    <definedName name="_55__123Graph_DCHART_14" hidden="1">[13]Quarters!$L$27:$O$27</definedName>
    <definedName name="_56__123Graph_DCHART_15" hidden="1">[13]Quarters!$L$28:$O$28</definedName>
    <definedName name="_57__123Graph_DCHART_16" hidden="1">[13]Quarters!$L$29:$O$29</definedName>
    <definedName name="_58__123Graph_DCHART_17" hidden="1">[13]Quarters!$L$30:$O$30</definedName>
    <definedName name="_59__123Graph_DCHART_18" hidden="1">[13]Quarters!$L$31:$O$31</definedName>
    <definedName name="_6__123Graph_ACHART_19" hidden="1">[8]Demand!#REF!</definedName>
    <definedName name="_6__123Graph_DCHART_1" hidden="1">[3]A!$B$47:$M$47</definedName>
    <definedName name="_6__123Graph_LBL_ACHART_1" hidden="1">#REF!</definedName>
    <definedName name="_6_0_Table2_" hidden="1">'[15]ELEC CALC'!#REF!</definedName>
    <definedName name="_60__123Graph_BCHART_22" hidden="1">[8]Occ!#REF!</definedName>
    <definedName name="_60__123Graph_DCHART_4" hidden="1">[13]Quarters!$L$24:$O$24</definedName>
    <definedName name="_61__123Graph_DCHART_6" hidden="1">[13]Quarters!$L$39:$O$39</definedName>
    <definedName name="_62__123Graph_DCHART_7" hidden="1">[13]Quarters!$L$60:$O$60</definedName>
    <definedName name="_63__123Graph_DCHART_8" hidden="1">[13]Quarters!$L$40:$O$40</definedName>
    <definedName name="_64__123Graph_DCHART_9" hidden="1">[13]Quarters!$L$61:$O$61</definedName>
    <definedName name="_65__123Graph_CCHART_15" hidden="1">[8]Occ!#REF!</definedName>
    <definedName name="_65__123Graph_E_Chart_1A" hidden="1">'[11]Stock Price'!$F$4:$F$265</definedName>
    <definedName name="_66__123Graph_ECHART_10" hidden="1">[13]Quarters!$H$41:$K$41</definedName>
    <definedName name="_67__123Graph_ECHART_11" hidden="1">[13]Quarters!$H$62:$K$62</definedName>
    <definedName name="_68__123Graph_ECHART_12" hidden="1">[13]Quarters!$H$25:$K$25</definedName>
    <definedName name="_69__123Graph_ECHART_13" hidden="1">[13]Quarters!$H$26:$K$26</definedName>
    <definedName name="_7__123Graph_ACHART_21" hidden="1">[8]Occ!#REF!</definedName>
    <definedName name="_7__123Graph_ECHART_1" hidden="1">[3]A!$A$78:$N$78</definedName>
    <definedName name="_7_0_Table2_" hidden="1">'[15]ELEC CALC'!#REF!</definedName>
    <definedName name="_70__123Graph_CCHART_16" hidden="1">[8]Occ!#REF!</definedName>
    <definedName name="_70__123Graph_ECHART_14" hidden="1">[13]Quarters!$H$27:$K$27</definedName>
    <definedName name="_71__123Graph_ECHART_15" hidden="1">[13]Quarters!$H$28:$K$28</definedName>
    <definedName name="_72__123Graph_ECHART_16" hidden="1">[13]Quarters!$H$29:$K$29</definedName>
    <definedName name="_73__123Graph_ECHART_17" hidden="1">[13]Quarters!$H$30:$K$30</definedName>
    <definedName name="_74__123Graph_ECHART_18" hidden="1">[13]Quarters!$H$31:$K$31</definedName>
    <definedName name="_75__123Graph_CCHART_17" hidden="1">[8]Occ!#REF!</definedName>
    <definedName name="_75__123Graph_ECHART_4" hidden="1">[13]Quarters!$H$24:$K$24</definedName>
    <definedName name="_76__123Graph_ECHART_6" hidden="1">[13]Quarters!$H$39:$K$39</definedName>
    <definedName name="_77__123Graph_ECHART_7" hidden="1">[13]Quarters!$H$60:$K$60</definedName>
    <definedName name="_78__123Graph_ECHART_8" hidden="1">[13]Quarters!$H$40:$K$40</definedName>
    <definedName name="_79__123Graph_ECHART_9" hidden="1">[13]Quarters!$H$61:$K$61</definedName>
    <definedName name="_8__123Graph_ASEG_PIE" hidden="1">[8]Demand!#REF!</definedName>
    <definedName name="_8__123Graph_FCHART_1" hidden="1">[3]A!$A$79:$N$79</definedName>
    <definedName name="_8__123Graph_LBL_ACHART_3I" hidden="1">#REF!</definedName>
    <definedName name="_80__123Graph_CCHART_22" hidden="1">[8]Occ!#REF!</definedName>
    <definedName name="_80__123Graph_F_Chart_1A" hidden="1">'[11]Stock Price'!$G$4:$G$265</definedName>
    <definedName name="_81__123Graph_FCHART_10" hidden="1">[13]Quarters!$D$41:$G$41</definedName>
    <definedName name="_82__123Graph_FCHART_11" hidden="1">[13]Quarters!$D$62:$G$62</definedName>
    <definedName name="_83__123Graph_FCHART_12" hidden="1">[13]Quarters!$D$25:$G$25</definedName>
    <definedName name="_84__123Graph_FCHART_13" hidden="1">[13]Quarters!$D$26:$G$26</definedName>
    <definedName name="_85__123Graph_CSEG_PIE" hidden="1">[8]Demand!#REF!</definedName>
    <definedName name="_85__123Graph_FCHART_14" hidden="1">[13]Quarters!$D$27:$G$27</definedName>
    <definedName name="_86__123Graph_FCHART_15" hidden="1">[13]Quarters!$D$28:$G$28</definedName>
    <definedName name="_87__123Graph_FCHART_16" hidden="1">[13]Quarters!$D$29:$G$29</definedName>
    <definedName name="_88__123Graph_FCHART_4" hidden="1">[13]Quarters!$D$24:$G$24</definedName>
    <definedName name="_89__123Graph_FCHART_6" hidden="1">[13]Quarters!$D$39:$G$39</definedName>
    <definedName name="_9__123Graph_BCHART_15" hidden="1">[8]Occ!#REF!</definedName>
    <definedName name="_9__123Graph_XCHART_1" hidden="1">[3]A!$B$6:$M$6</definedName>
    <definedName name="_90__123Graph_DCHART_15" hidden="1">[8]Occ!#REF!</definedName>
    <definedName name="_90__123Graph_FCHART_7" hidden="1">[13]Quarters!$D$60:$G$60</definedName>
    <definedName name="_91__123Graph_FCHART_8" hidden="1">[13]Quarters!$D$40:$G$40</definedName>
    <definedName name="_92__123Graph_FCHART_9" hidden="1">[13]Quarters!$D$61:$G$61</definedName>
    <definedName name="_93__123Graph_X_Chart_1A" hidden="1">'[11]Stock Price'!$A$4:$A$265</definedName>
    <definedName name="_94__123Graph_XChart_1" hidden="1">[12]Total!$C$322:$C$325</definedName>
    <definedName name="_95__123Graph_DCHART_16" hidden="1">[8]Occ!#REF!</definedName>
    <definedName name="_95__123Graph_XChart_2" hidden="1">'[9]sales vol.'!$J$398:$J$401</definedName>
    <definedName name="_96__123Graph_XCHART_20" hidden="1">[13]oldSEG!$AD$11:$AD$14</definedName>
    <definedName name="_97__123Graph_XCHART_23" hidden="1">[13]Quarters!$B$17:$B$20</definedName>
    <definedName name="_98__123Graph_XChart_3" hidden="1">'[9]sales vol.'!$J$211:$J$214</definedName>
    <definedName name="_99__123Graph_XChart_4" hidden="1">'[9]sales vol.'!$I$1121:$I$1122</definedName>
    <definedName name="_a1" hidden="1">{"Assump",#N/A,TRUE,"Proforma";"first",#N/A,TRUE,"Proforma";"second",#N/A,TRUE,"Proforma";"lease1",#N/A,TRUE,"Proforma";"lease2",#N/A,TRUE,"Proforma"}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2" hidden="1">{"PVGraph2",#N/A,FALSE,"PV Data"}</definedName>
    <definedName name="_bdm.0045E0DB4A544B5D91543285C4A49150.edm" hidden="1">#REF!</definedName>
    <definedName name="_bdm.012933C40AFD44F99121EFCEF7521857.edm" hidden="1">[16]worksheet!$1:$1048576</definedName>
    <definedName name="_bdm.03B0EA56D34D44558E9490BE03006F56.edm" hidden="1">#REF!</definedName>
    <definedName name="_bdm.03D9E4D18708476BBE31575E5A6F6688.edm" hidden="1">#REF!</definedName>
    <definedName name="_bdm.03F457CD25C44A5BB8652A75CA92E2C0.edm" hidden="1">#REF!</definedName>
    <definedName name="_bdm.071CEF99BE5C480993891FEFB1B7F9CA.edm" hidden="1">#REF!</definedName>
    <definedName name="_bdm.07E8FD7072884F81828D7C5C1A733BD3.edm" hidden="1">#REF!</definedName>
    <definedName name="_bdm.08AA919BAA994A2BAE3384775ED08B3D.edm" hidden="1">#REF!</definedName>
    <definedName name="_bdm.0DFD0B31801A439485C887DDD0420989.edm" hidden="1">#REF!</definedName>
    <definedName name="_bdm.0E6CF9B33D0A4063A9D77F20CEA05BD0.edm" hidden="1">[16]LVS!$1:$1048576</definedName>
    <definedName name="_bdm.0FE59993949A4BCE88A43F246D009A9A.edm" hidden="1">#REF!</definedName>
    <definedName name="_bdm.0FF8330C278C443B8DC358258F578EC0.edm" hidden="1">#REF!</definedName>
    <definedName name="_bdm.12CFA8C4E4DC4BCFB3A66ED4C3CA2941.edm" hidden="1">#REF!</definedName>
    <definedName name="_bdm.16D32167C4DC4A97A9F1B6C9D938AE3C.edm" hidden="1">#REF!</definedName>
    <definedName name="_bdm.17B2E67F7EBD42369B9BB8B61B356286.edm" hidden="1" xml:space="preserve">    '[17]IPO Sizing'!$A:$IV</definedName>
    <definedName name="_bdm.20B68794AC72459CBAD30686F2F7B5E6.edm" hidden="1">#REF!</definedName>
    <definedName name="_bdm.21451566BEEA4F2EB218486FF2BA515D.edm" hidden="1">#REF!</definedName>
    <definedName name="_bdm.218E04AA173647E6A8357A23805E40F9.edm" hidden="1" xml:space="preserve">    '[17]IPO Sizing'!$A:$IV</definedName>
    <definedName name="_bdm.245CB4D1B4124B82918367A402F79359.edm" hidden="1" xml:space="preserve">    '[17]IPO Sizing'!$A:$IV</definedName>
    <definedName name="_bdm.281699313FB7464B9301759704B56D2E.edm" hidden="1">#REF!</definedName>
    <definedName name="_bdm.2BD0E6DAE1F6404EBC4BC5B4E8FFD82F.edm" hidden="1">#REF!</definedName>
    <definedName name="_bdm.31B385D17676406595873E13F04F3187.edm" hidden="1">#REF!</definedName>
    <definedName name="_bdm.3D7071C149E743459EE119626AEA4E01.edm" hidden="1">#REF!</definedName>
    <definedName name="_bdm.4A525A77FBCE47E5B2BB09AE35497B3C.edm" hidden="1">#REF!</definedName>
    <definedName name="_bdm.4F2828AABDB842958A0B9250A1CE5E4E.edm" hidden="1">#REF!</definedName>
    <definedName name="_bdm.57E2C1E93CB24B1C87B6D63A502F544B.edm" hidden="1" xml:space="preserve">    '[17]IPO Sizing'!$A:$IV</definedName>
    <definedName name="_bdm.5A9DEB9A3DB74962B3B8216784B1C9CD.edm" hidden="1">[16]Hengqin!$1:$1048576</definedName>
    <definedName name="_bdm.5D83F3B66A7A48459A6E57C53D27C778.edm" hidden="1">#REF!</definedName>
    <definedName name="_bdm.68889B46F15A4ECB8DAE2CCEEEE624B0.edm" hidden="1">[16]Exhibits!$1:$1048576</definedName>
    <definedName name="_bdm.69005818F2FE425EA78A795801459766.edm" hidden="1" xml:space="preserve">    '[17]IPO Sizing'!$A:$IV</definedName>
    <definedName name="_bdm.6AAD73BF0ED64B2EB1EEC2249645942E.edm" hidden="1">#REF!</definedName>
    <definedName name="_bdm.6AD5B9B76F874F03BE9D509AE5105367.edm" hidden="1">#REF!</definedName>
    <definedName name="_bdm.7141F8C799714CA3B224806AC08A67C7.edm" hidden="1">#REF!</definedName>
    <definedName name="_bdm.718A3E1F424B4852B3DE1A077A146A34.edm" hidden="1">#REF!</definedName>
    <definedName name="_bdm.73D4AE3513BB413CABBB0A0EED35C5E1.edm" hidden="1">#REF!</definedName>
    <definedName name="_bdm.7BEA7D008F6D407494ADA2CD8EC0EA0F.edm" hidden="1">#REF!</definedName>
    <definedName name="_bdm.7D2D1AF0EC1A468992208DEDB2452660.edm" hidden="1">#REF!</definedName>
    <definedName name="_bdm.89999B89CBF14F64B45AE5AB09C56A67.edm" hidden="1">#REF!</definedName>
    <definedName name="_bdm.8ACEA7E1053F48999EE8E963373542A6.edm" hidden="1">[16]Chart!$1:$1048576</definedName>
    <definedName name="_bdm.8D1EE367083843F3B8AB2C9BEF389BD2.edm" hidden="1">#REF!</definedName>
    <definedName name="_bdm.9008943547E74051A42EB3EF5C4E1921.edm" hidden="1">#REF!</definedName>
    <definedName name="_bdm.9757C00DE9524DCF95C0139612D82E96.edm" hidden="1">#REF!</definedName>
    <definedName name="_bdm.97DDD089BC1540BEA4698CCF30CDD0BD.edm" hidden="1">#REF!</definedName>
    <definedName name="_bdm.97E648135A83495EB1D085DFFD0C041F.edm" hidden="1" xml:space="preserve">    '[17]IPO Sizing'!$A:$IV</definedName>
    <definedName name="_bdm.99821A7D76FA41A08D287AC044D6B9E8.edm" hidden="1">#REF!</definedName>
    <definedName name="_bdm.9B125A591C1E4C4AA38856FC42E81FC0.edm" hidden="1">#REF!</definedName>
    <definedName name="_bdm.9BA0B19614CC4830A86B0A5005645662.edm" hidden="1" xml:space="preserve">    '[17]IPO Sizing'!$A:$IV</definedName>
    <definedName name="_bdm.9EFB5F10186E4132853F731A5DD9B99B.edm" hidden="1">#REF!</definedName>
    <definedName name="_bdm.A4AE4DD6516146809DA5B33C1FDC06D1.edm" hidden="1">#REF!</definedName>
    <definedName name="_bdm.A6497B875ACA444393A14901788223E7.edm" hidden="1">#REF!</definedName>
    <definedName name="_bdm.A6D2D9C111FD46DB89A6D9D274B2C078.edm" hidden="1">#REF!</definedName>
    <definedName name="_bdm.A971C8EADB7D4BD9AE9C1A587D1AA2CD.edm" hidden="1">#REF!</definedName>
    <definedName name="_bdm.A972A5357C964187B6153B8BBC44BB79.edm" hidden="1">#REF!</definedName>
    <definedName name="_bdm.AB09EB54A0E24C5AB65138F0AF1FA610.edm" hidden="1">#REF!</definedName>
    <definedName name="_bdm.ADF80E3DA6F54343BFC2E84A93A32017.edm" hidden="1" xml:space="preserve">    '[17]IPO Sizing'!$A:$IV</definedName>
    <definedName name="_bdm.B194B3EF8FDF4221B844916DD3E73AE9.edm" hidden="1">#REF!</definedName>
    <definedName name="_bdm.B33FDDB3B47A4371BD8BF6D324BA9CD8.edm" hidden="1">#REF!</definedName>
    <definedName name="_bdm.B7C6EA1F79EE45B5A072E00C4848953E.edm" hidden="1">#REF!</definedName>
    <definedName name="_bdm.BAA2C4D324C94974AF67D33AFD4FE087.edm" hidden="1">#REF!</definedName>
    <definedName name="_bdm.BFDA20DAA27648F9AB84059E8EB927FF.edm" hidden="1">#REF!</definedName>
    <definedName name="_bdm.C16FEA45164B41789C138FD32387A91A.edm" hidden="1">'[16]Sources &amp; Uses'!$1:$1048576</definedName>
    <definedName name="_bdm.C20C1E77533A48D19BFA1A9EAB83B955.edm" hidden="1">#REF!</definedName>
    <definedName name="_bdm.C5D04FDA429A4A90B6B4C2E2B0EA9DED.edm" hidden="1" xml:space="preserve">    '[17]IPO Sizing'!$A:$IV</definedName>
    <definedName name="_bdm.C6304D52A266435BB71A906446788AA0.edm" hidden="1">#REF!</definedName>
    <definedName name="_bdm.CAAD75B892744DA7A396804116BF19C2.edm" hidden="1">#REF!</definedName>
    <definedName name="_bdm.CCBBBFAFD4984F78840261A5D6CB3C17.edm" hidden="1">#REF!</definedName>
    <definedName name="_bdm.CD78D6DB57234738B65795B5B2937872.edm" hidden="1">'[16]Exhibits 2'!$1:$1048576</definedName>
    <definedName name="_bdm.CF5152BF608D4FD793B0E9695E512078.edm" hidden="1">#REF!</definedName>
    <definedName name="_bdm.D2CA1E1B45024A979CB6D33B4CAFF425.edm" hidden="1">#REF!</definedName>
    <definedName name="_bdm.D927A8E9A7BF40039C88B54FE539C80A.edm" hidden="1">#REF!</definedName>
    <definedName name="_bdm.D94F357849644711A30DBFEDDDDC6640.edm" hidden="1">#REF!</definedName>
    <definedName name="_bdm.DCEA952AB58646C09D8010D36FBEE06E.edm" hidden="1">#REF!</definedName>
    <definedName name="_bdm.E60648763D8A47088759F755D5C3F821.edm" hidden="1">#REF!</definedName>
    <definedName name="_bdm.E8BB17D4D488412C9892D19CEE2F5754.edm" hidden="1">#REF!</definedName>
    <definedName name="_bdm.EB24452A45834398B6D40D689AD4F7DE.edm" hidden="1">#REF!</definedName>
    <definedName name="_bdm.EE53D164AEC747C9AA653D424233F2F6.edm" hidden="1">#REF!</definedName>
    <definedName name="_bdm.EFEEFB7948764CC78025E3AE47AAA38D.edm" hidden="1">#REF!</definedName>
    <definedName name="_bdm.F0C831C105E448DA8FDF6C89EDE60EB6.edm" hidden="1" xml:space="preserve">    '[17]IPO Sizing'!$A:$IV</definedName>
    <definedName name="_bdm.F1E53BFCA648457DAABDE81723DC1953.edm" hidden="1" xml:space="preserve">    '[17]IPO Sizing'!$A:$IV</definedName>
    <definedName name="_bdm.F267E2A0AA284B43B2004154A90ECB75.edm" hidden="1">#REF!</definedName>
    <definedName name="_bdm.F48A9858A76942278F0174F6FD68E28E.edm" hidden="1" xml:space="preserve">    '[17]IPO Sizing'!$A:$IV</definedName>
    <definedName name="_bdm.FA92B490B3A64E6FA4D123A1F37754F2.edm" hidden="1" xml:space="preserve">    '[17]IPO Sizing'!$A:$IV</definedName>
    <definedName name="_bdm.FastTrackBookmark.11_15_2006_11_26_49_PM.edm" hidden="1">[18]ChartData!#REF!</definedName>
    <definedName name="_bdm.FastTrackBookmark.11_15_2006_5_19_46_PM.edm" hidden="1">[18]Debt!#REF!</definedName>
    <definedName name="_bdm.FastTrackBookmark.11_21_2006_8_44_58_PM.edm" hidden="1">#REF!</definedName>
    <definedName name="_bdm.FB8D8AB244B64BB9B4F5F5A4C5205085.edm" hidden="1">#REF!</definedName>
    <definedName name="_bdm.FE146B92FD71430F9B922A07FF9816F8.edm" hidden="1">#REF!</definedName>
    <definedName name="_bdm.FE15D77074734237B07E5EC1A9659AAD.edm" hidden="1">#REF!</definedName>
    <definedName name="_bond" hidden="1">3</definedName>
    <definedName name="_default" hidden="1">-1</definedName>
    <definedName name="_dflt" hidden="1">-1</definedName>
    <definedName name="_disc" hidden="1">1</definedName>
    <definedName name="_discount" hidden="1">1</definedName>
    <definedName name="_Dist_Bin" hidden="1">[19]Office!#REF!</definedName>
    <definedName name="_Dist_Values" hidden="1">[19]Office!#REF!</definedName>
    <definedName name="_dontadjust" hidden="1">0</definedName>
    <definedName name="_DSP50" hidden="1">OFFSET([20]TR!$E$5,0,0,COUNTA([20]TR!$E$1:$E$65536)-2)</definedName>
    <definedName name="_e360" hidden="1">3</definedName>
    <definedName name="_e4" hidden="1">{"new",#N/A,FALSE,"D";"PROFORMA",#N/A,FALSE,"A";"partial 1",#N/A,FALSE,"B";"partial 2",#N/A,FALSE,"B";"partial 3",#N/A,FALSE,"B";"SMALL CF 1",#N/A,FALSE,"C"}</definedName>
    <definedName name="_eom" hidden="1">1</definedName>
    <definedName name="_Example" hidden="1">[21]Variables!$B$1</definedName>
    <definedName name="_Fil1" hidden="1">#REF!</definedName>
    <definedName name="_Fill" hidden="1">#REF!</definedName>
    <definedName name="_xlnm._FilterDatabase" localSheetId="20" hidden="1">'Seasonality MH'!#REF!</definedName>
    <definedName name="_xlnm._FilterDatabase" localSheetId="19" hidden="1">'Staffing Model MH'!$B$16:$H$20</definedName>
    <definedName name="_full" hidden="1">1</definedName>
    <definedName name="_fullprecision" hidden="1">1</definedName>
    <definedName name="_gf2" hidden="1">{#N/A,#N/A,FALSE,"ACQ";#N/A,#N/A,FALSE,"ASSUMP";#N/A,#N/A,FALSE,"CASH FLOW";#N/A,#N/A,FALSE,"SALE";#N/A,#N/A,FALSE,"TIS";#N/A,#N/A,FALSE,"RENT ROLL"}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I2" hidden="1">{"PVGraph2",#N/A,FALSE,"PV Data"}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[22]CapX!#REF!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Look" hidden="1">[21]Variables!$B$4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ld2" hidden="1">{#N/A,#N/A,FALSE,"Chart 2 by Prop Type"}</definedName>
    <definedName name="_Order1" hidden="1">255</definedName>
    <definedName name="_Order2" hidden="1">0</definedName>
    <definedName name="_pik" hidden="1">6</definedName>
    <definedName name="_q234" hidden="1">'[23]sales vol.'!$J$211:$J$214</definedName>
    <definedName name="_qrt" hidden="1">4</definedName>
    <definedName name="_quarterly" hidden="1">4</definedName>
    <definedName name="_Regression_Int" hidden="1">1</definedName>
    <definedName name="_round" hidden="1">0</definedName>
    <definedName name="_roundtrunc" hidden="1">0</definedName>
    <definedName name="_s1" hidden="1">'[9]sales vol.'!$J$34:$J$37</definedName>
    <definedName name="_s2" hidden="1">'[9]sales vol.'!$J$398:$J$401</definedName>
    <definedName name="_s3" hidden="1">'[9]sales vol.'!$J$211:$J$214</definedName>
    <definedName name="_s4" hidden="1">'[9]sales vol.'!$I$1121:$I$1122</definedName>
    <definedName name="_s5" hidden="1">'[9]sales vol.'!$I$1632:$I$1635</definedName>
    <definedName name="_s6" hidden="1">'[9]sales vol.'!$I$2248:$I$2251</definedName>
    <definedName name="_semi" hidden="1">2</definedName>
    <definedName name="_semiannual" hidden="1">2</definedName>
    <definedName name="_Series" hidden="1">[21]Variables!$B$3</definedName>
    <definedName name="_Shading" hidden="1">[21]Variables!$B$2</definedName>
    <definedName name="_singlestep" hidden="1">4</definedName>
    <definedName name="_Sort" hidden="1">'[24]TB-1'!#REF!</definedName>
    <definedName name="_step" hidden="1">4</definedName>
    <definedName name="_Table1_In1" hidden="1">[14]A!$F$60</definedName>
    <definedName name="_Table1_In2" hidden="1">#REF!</definedName>
    <definedName name="_Table1_Out" hidden="1">[14]A!$C$134:$E$141</definedName>
    <definedName name="_Table2" hidden="1">[25]FITREV!#REF!</definedName>
    <definedName name="_Table2_In1" hidden="1">#REF!</definedName>
    <definedName name="_Table2_In2" hidden="1">#REF!</definedName>
    <definedName name="_Table2_Out" hidden="1">#REF!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2" hidden="1">{"PVGraph2",#N/A,FALSE,"PV Data"}</definedName>
    <definedName name="a" hidden="1">{#N/A,#N/A,FALSE,"Chart 2 by Prop Type"}</definedName>
    <definedName name="a1a1" hidden="1">{"Assump",#N/A,TRUE,"Proforma";"first",#N/A,TRUE,"Proforma";"second",#N/A,TRUE,"Proforma";"lease1",#N/A,TRUE,"Proforma";"lease2",#N/A,TRUE,"Proforma"}</definedName>
    <definedName name="aa" hidden="1">{"toc1",#N/A,FALSE,"TOC";"cover",#N/A,FALSE,"Cover";"ts1",#N/A,FALSE,"Transaction Summary";"ei3",#N/A,FALSE,"Earnings Impact";"ad3",#N/A,FALSE,"accretion dilution"}</definedName>
    <definedName name="aa.2" hidden="1">{#N/A,#N/A,FALSE,"Cashflow Analysis";#N/A,#N/A,FALSE,"Sensitivity Analysis";#N/A,#N/A,FALSE,"PV";#N/A,#N/A,FALSE,"Pro Forma"}</definedName>
    <definedName name="aaa" hidden="1">{"'Table of Contents'!$A$1"}</definedName>
    <definedName name="aaa_1" hidden="1">{"'Table of Contents'!$A$1"}</definedName>
    <definedName name="aaa_1_1" hidden="1">{"'Table of Contents'!$A$1"}</definedName>
    <definedName name="aaa_1_1_1" hidden="1">{"'Table of Contents'!$A$1"}</definedName>
    <definedName name="aaa_1_2" hidden="1">{"'Table of Contents'!$A$1"}</definedName>
    <definedName name="aaa_1_3" hidden="1">{"'Table of Contents'!$A$1"}</definedName>
    <definedName name="aaa_1_4" hidden="1">{"'Table of Contents'!$A$1"}</definedName>
    <definedName name="aaa_1_5" hidden="1">{"'Table of Contents'!$A$1"}</definedName>
    <definedName name="aaa_2" hidden="1">{"'Table of Contents'!$A$1"}</definedName>
    <definedName name="aaa_2_1" hidden="1">{"'Table of Contents'!$A$1"}</definedName>
    <definedName name="aaa_2_1_1" hidden="1">{"'Table of Contents'!$A$1"}</definedName>
    <definedName name="aaa_2_2" hidden="1">{"'Table of Contents'!$A$1"}</definedName>
    <definedName name="aaa_2_3" hidden="1">{"'Table of Contents'!$A$1"}</definedName>
    <definedName name="aaa_2_4" hidden="1">{"'Table of Contents'!$A$1"}</definedName>
    <definedName name="aaa_2_5" hidden="1">{"'Table of Contents'!$A$1"}</definedName>
    <definedName name="aaa_3" hidden="1">{"'Table of Contents'!$A$1"}</definedName>
    <definedName name="aaa_3_1" hidden="1">{"'Table of Contents'!$A$1"}</definedName>
    <definedName name="aaa_3_1_1" hidden="1">{"'Table of Contents'!$A$1"}</definedName>
    <definedName name="aaa_3_2" hidden="1">{"'Table of Contents'!$A$1"}</definedName>
    <definedName name="aaa_3_3" hidden="1">{"'Table of Contents'!$A$1"}</definedName>
    <definedName name="aaa_3_4" hidden="1">{"'Table of Contents'!$A$1"}</definedName>
    <definedName name="aaa_3_5" hidden="1">{"'Table of Contents'!$A$1"}</definedName>
    <definedName name="aaa_4" hidden="1">{"'Table of Contents'!$A$1"}</definedName>
    <definedName name="aaa_4_1" hidden="1">{"'Table of Contents'!$A$1"}</definedName>
    <definedName name="aaa_4_1_1" hidden="1">{"'Table of Contents'!$A$1"}</definedName>
    <definedName name="aaa_4_2" hidden="1">{"'Table of Contents'!$A$1"}</definedName>
    <definedName name="aaa_4_3" hidden="1">{"'Table of Contents'!$A$1"}</definedName>
    <definedName name="aaa_4_4" hidden="1">{"'Table of Contents'!$A$1"}</definedName>
    <definedName name="aaa_4_5" hidden="1">{"'Table of Contents'!$A$1"}</definedName>
    <definedName name="aaa_5" hidden="1">{"'Table of Contents'!$A$1"}</definedName>
    <definedName name="aaa_5_1" hidden="1">{"'Table of Contents'!$A$1"}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" hidden="1">{"'Table of Contents'!$A$1"}</definedName>
    <definedName name="AAS_1" hidden="1">{"'Table of Contents'!$A$1"}</definedName>
    <definedName name="AAS_1_1" hidden="1">{"'Table of Contents'!$A$1"}</definedName>
    <definedName name="AAS_1_1_1" hidden="1">{"'Table of Contents'!$A$1"}</definedName>
    <definedName name="AAS_1_2" hidden="1">{"'Table of Contents'!$A$1"}</definedName>
    <definedName name="AAS_1_3" hidden="1">{"'Table of Contents'!$A$1"}</definedName>
    <definedName name="AAS_1_4" hidden="1">{"'Table of Contents'!$A$1"}</definedName>
    <definedName name="AAS_1_5" hidden="1">{"'Table of Contents'!$A$1"}</definedName>
    <definedName name="AAS_2" hidden="1">{"'Table of Contents'!$A$1"}</definedName>
    <definedName name="AAS_2_1" hidden="1">{"'Table of Contents'!$A$1"}</definedName>
    <definedName name="AAS_2_1_1" hidden="1">{"'Table of Contents'!$A$1"}</definedName>
    <definedName name="AAS_2_2" hidden="1">{"'Table of Contents'!$A$1"}</definedName>
    <definedName name="AAS_2_3" hidden="1">{"'Table of Contents'!$A$1"}</definedName>
    <definedName name="AAS_2_4" hidden="1">{"'Table of Contents'!$A$1"}</definedName>
    <definedName name="AAS_2_5" hidden="1">{"'Table of Contents'!$A$1"}</definedName>
    <definedName name="AAS_3" hidden="1">{"'Table of Contents'!$A$1"}</definedName>
    <definedName name="AAS_3_1" hidden="1">{"'Table of Contents'!$A$1"}</definedName>
    <definedName name="AAS_3_1_1" hidden="1">{"'Table of Contents'!$A$1"}</definedName>
    <definedName name="AAS_3_2" hidden="1">{"'Table of Contents'!$A$1"}</definedName>
    <definedName name="AAS_3_3" hidden="1">{"'Table of Contents'!$A$1"}</definedName>
    <definedName name="AAS_3_4" hidden="1">{"'Table of Contents'!$A$1"}</definedName>
    <definedName name="AAS_3_5" hidden="1">{"'Table of Contents'!$A$1"}</definedName>
    <definedName name="AAS_4" hidden="1">{"'Table of Contents'!$A$1"}</definedName>
    <definedName name="AAS_4_1" hidden="1">{"'Table of Contents'!$A$1"}</definedName>
    <definedName name="AAS_4_1_1" hidden="1">{"'Table of Contents'!$A$1"}</definedName>
    <definedName name="AAS_4_2" hidden="1">{"'Table of Contents'!$A$1"}</definedName>
    <definedName name="AAS_4_3" hidden="1">{"'Table of Contents'!$A$1"}</definedName>
    <definedName name="AAS_4_4" hidden="1">{"'Table of Contents'!$A$1"}</definedName>
    <definedName name="AAS_4_5" hidden="1">{"'Table of Contents'!$A$1"}</definedName>
    <definedName name="AAS_5" hidden="1">{"'Table of Contents'!$A$1"}</definedName>
    <definedName name="AAS_5_1" hidden="1">{"'Table of Contents'!$A$1"}</definedName>
    <definedName name="aasdfa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"L:\SP\APM\2002 ABP Template v1.9.mdb"</definedName>
    <definedName name="ad" hidden="1">{"'Table of Contents'!$A$1"}</definedName>
    <definedName name="ad_1" hidden="1">{"'Table of Contents'!$A$1"}</definedName>
    <definedName name="ad_1_1" hidden="1">{"'Table of Contents'!$A$1"}</definedName>
    <definedName name="ad_1_1_1" hidden="1">{"'Table of Contents'!$A$1"}</definedName>
    <definedName name="ad_1_2" hidden="1">{"'Table of Contents'!$A$1"}</definedName>
    <definedName name="ad_1_3" hidden="1">{"'Table of Contents'!$A$1"}</definedName>
    <definedName name="ad_1_4" hidden="1">{"'Table of Contents'!$A$1"}</definedName>
    <definedName name="ad_1_5" hidden="1">{"'Table of Contents'!$A$1"}</definedName>
    <definedName name="ad_2" hidden="1">{"'Table of Contents'!$A$1"}</definedName>
    <definedName name="ad_2_1" hidden="1">{"'Table of Contents'!$A$1"}</definedName>
    <definedName name="ad_2_1_1" hidden="1">{"'Table of Contents'!$A$1"}</definedName>
    <definedName name="ad_2_2" hidden="1">{"'Table of Contents'!$A$1"}</definedName>
    <definedName name="ad_2_3" hidden="1">{"'Table of Contents'!$A$1"}</definedName>
    <definedName name="ad_2_4" hidden="1">{"'Table of Contents'!$A$1"}</definedName>
    <definedName name="ad_2_5" hidden="1">{"'Table of Contents'!$A$1"}</definedName>
    <definedName name="ad_3" hidden="1">{"'Table of Contents'!$A$1"}</definedName>
    <definedName name="ad_3_1" hidden="1">{"'Table of Contents'!$A$1"}</definedName>
    <definedName name="ad_3_1_1" hidden="1">{"'Table of Contents'!$A$1"}</definedName>
    <definedName name="ad_3_2" hidden="1">{"'Table of Contents'!$A$1"}</definedName>
    <definedName name="ad_3_3" hidden="1">{"'Table of Contents'!$A$1"}</definedName>
    <definedName name="ad_3_4" hidden="1">{"'Table of Contents'!$A$1"}</definedName>
    <definedName name="ad_3_5" hidden="1">{"'Table of Contents'!$A$1"}</definedName>
    <definedName name="ad_4" hidden="1">{"'Table of Contents'!$A$1"}</definedName>
    <definedName name="ad_4_1" hidden="1">{"'Table of Contents'!$A$1"}</definedName>
    <definedName name="ad_4_1_1" hidden="1">{"'Table of Contents'!$A$1"}</definedName>
    <definedName name="ad_4_2" hidden="1">{"'Table of Contents'!$A$1"}</definedName>
    <definedName name="ad_4_3" hidden="1">{"'Table of Contents'!$A$1"}</definedName>
    <definedName name="ad_4_4" hidden="1">{"'Table of Contents'!$A$1"}</definedName>
    <definedName name="ad_4_5" hidden="1">{"'Table of Contents'!$A$1"}</definedName>
    <definedName name="ad_5" hidden="1">{"'Table of Contents'!$A$1"}</definedName>
    <definedName name="ad_5_1" hidden="1">{"'Table of Contents'!$A$1"}</definedName>
    <definedName name="addgf" hidden="1">{#N/A,#N/A,FALSE,"Chart 2 by Prop Type"}</definedName>
    <definedName name="adsf" hidden="1">{"sheet a",#N/A,FALSE,"A";"2 9 casflow",#N/A,FALSE,"B"}</definedName>
    <definedName name="adsfsadf" hidden="1">{"CF",#N/A,FALSE,"Cash Flow";"RET",#N/A,FALSE,"Returns";"NPV",#N/A,FALSE,"Values";"ASMPT",#N/A,FALSE,"Assumptions"}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nscount" hidden="1">1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hidden="1">{#N/A,#N/A,FALSE,"ACQ";#N/A,#N/A,FALSE,"ASSUMP";#N/A,#N/A,FALSE,"CASH FLOW";#N/A,#N/A,FALSE,"SALE";#N/A,#N/A,FALSE,"TIS";#N/A,#N/A,FALSE,"RENT ROLL"}</definedName>
    <definedName name="asdasd" hidden="1">{"toc1",#N/A,FALSE,"TOC";"cover",#N/A,FALSE,"Cover";"ts1",#N/A,FALSE,"Transaction Summary";"ei3",#N/A,FALSE,"Earnings Impact";"ad3",#N/A,FALSE,"accretion dilution"}</definedName>
    <definedName name="asdf" hidden="1">{#N/A,#N/A,FALSE,"BTCostSummary";#N/A,#N/A,FALSE,"Finance";#N/A,#N/A,FALSE,"Land";"Construction with Retention",#N/A,FALSE,"Construction";#N/A,#N/A,FALSE,"BTA&amp;E";#N/A,#N/A,FALSE,"Indirect"}</definedName>
    <definedName name="asdf2" hidden="1">{#N/A,#N/A,FALSE,"OperatingAssumptions"}</definedName>
    <definedName name="asdf3" hidden="1">{#N/A,#N/A,FALSE,"LoanAssumptions"}</definedName>
    <definedName name="asdf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Atlanta" hidden="1">{#N/A,#N/A,FALSE,"Chart 2 by Prop Type"}</definedName>
    <definedName name="az" hidden="1">{#N/A,#N/A,FALSE,"Chart 2 by Prop Type"}</definedName>
    <definedName name="b" hidden="1">{#N/A,#N/A,FALSE,"ExitStratigy"}</definedName>
    <definedName name="BadLink" hidden="1">#REF!</definedName>
    <definedName name="bb" hidden="1">{#N/A,#N/A,FALSE,"ExitStratigy"}</definedName>
    <definedName name="bbb" hidden="1">{#N/A,#N/A,FALSE,"ExitStratigy"}</definedName>
    <definedName name="bbb_1" hidden="1">{"'Table of Contents'!$A$1"}</definedName>
    <definedName name="bbb_1_1" hidden="1">{"'Table of Contents'!$A$1"}</definedName>
    <definedName name="bbb_1_1_1" hidden="1">{"'Table of Contents'!$A$1"}</definedName>
    <definedName name="bbb_1_2" hidden="1">{"'Table of Contents'!$A$1"}</definedName>
    <definedName name="bbb_1_3" hidden="1">{"'Table of Contents'!$A$1"}</definedName>
    <definedName name="bbb_1_4" hidden="1">{"'Table of Contents'!$A$1"}</definedName>
    <definedName name="bbb_1_5" hidden="1">{"'Table of Contents'!$A$1"}</definedName>
    <definedName name="bbb_2" hidden="1">{"'Table of Contents'!$A$1"}</definedName>
    <definedName name="bbb_2_1" hidden="1">{"'Table of Contents'!$A$1"}</definedName>
    <definedName name="bbb_2_1_1" hidden="1">{"'Table of Contents'!$A$1"}</definedName>
    <definedName name="bbb_2_2" hidden="1">{"'Table of Contents'!$A$1"}</definedName>
    <definedName name="bbb_2_3" hidden="1">{"'Table of Contents'!$A$1"}</definedName>
    <definedName name="bbb_2_4" hidden="1">{"'Table of Contents'!$A$1"}</definedName>
    <definedName name="bbb_2_5" hidden="1">{"'Table of Contents'!$A$1"}</definedName>
    <definedName name="bbb_3" hidden="1">{"'Table of Contents'!$A$1"}</definedName>
    <definedName name="bbb_3_1" hidden="1">{"'Table of Contents'!$A$1"}</definedName>
    <definedName name="bbb_3_1_1" hidden="1">{"'Table of Contents'!$A$1"}</definedName>
    <definedName name="bbb_3_2" hidden="1">{"'Table of Contents'!$A$1"}</definedName>
    <definedName name="bbb_3_3" hidden="1">{"'Table of Contents'!$A$1"}</definedName>
    <definedName name="bbb_3_4" hidden="1">{"'Table of Contents'!$A$1"}</definedName>
    <definedName name="bbb_3_5" hidden="1">{"'Table of Contents'!$A$1"}</definedName>
    <definedName name="bbb_4" hidden="1">{"'Table of Contents'!$A$1"}</definedName>
    <definedName name="bbb_4_1" hidden="1">{"'Table of Contents'!$A$1"}</definedName>
    <definedName name="bbb_4_1_1" hidden="1">{"'Table of Contents'!$A$1"}</definedName>
    <definedName name="bbb_4_2" hidden="1">{"'Table of Contents'!$A$1"}</definedName>
    <definedName name="bbb_4_3" hidden="1">{"'Table of Contents'!$A$1"}</definedName>
    <definedName name="bbb_4_4" hidden="1">{"'Table of Contents'!$A$1"}</definedName>
    <definedName name="bbb_4_5" hidden="1">{"'Table of Contents'!$A$1"}</definedName>
    <definedName name="bbb_5" hidden="1">{"'Table of Contents'!$A$1"}</definedName>
    <definedName name="bbb_5_1" hidden="1">{"'Table of Contents'!$A$1"}</definedName>
    <definedName name="belnew" hidden="1">{"IS",#N/A,FALSE,"IS";"RPTIS",#N/A,FALSE,"RPTIS";"STATS",#N/A,FALSE,"STATS";"CELL",#N/A,FALSE,"CELL";"BS",#N/A,FALSE,"BS"}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llshit" hidden="1">{"Assumptions",#N/A,TRUE,"Returns";"Tables",#N/A,TRUE,"Returns"}</definedName>
    <definedName name="cc" hidden="1">{#N/A,#N/A,FALSE,"LoanAssumptions"}</definedName>
    <definedName name="ccc" hidden="1">{#N/A,#N/A,FALSE,"LoanAssumptions"}</definedName>
    <definedName name="ccs" hidden="1">{#N/A,#N/A,FALSE,"Chart 2 by Prop Type"}</definedName>
    <definedName name="cfassum" hidden="1">{#N/A,#N/A,FALSE,"1st DOT Repay Sch";#N/A,#N/A,FALSE,"NPV Comp"}</definedName>
    <definedName name="check2" hidden="1">{#N/A,#N/A,FALSE,"Cashflow Analysis";#N/A,#N/A,FALSE,"Sensitivity Analysis";#N/A,#N/A,FALSE,"PV";#N/A,#N/A,FALSE,"Pro Forma"}</definedName>
    <definedName name="construction" hidden="1">{"Construction Costs",#N/A,FALSE,"Total Costs"}</definedName>
    <definedName name="copy" hidden="1">{"sheet a",#N/A,FALSE,"A";"2 9 casflow",#N/A,FALSE,"B"}</definedName>
    <definedName name="copy2" hidden="1">{"new",#N/A,FALSE,"D";"PROFORMA",#N/A,FALSE,"A";"partial 1",#N/A,FALSE,"B";"partial 2",#N/A,FALSE,"B";"partial 3",#N/A,FALSE,"B";"SMALL CF 1",#N/A,FALSE,"C"}</definedName>
    <definedName name="Cottage" hidden="1">{"cot1",#N/A,FALSE,"Cottages";"cot2",#N/A,FALSE,"Cottages";"cot3",#N/A,FALSE,"Cottages"}</definedName>
    <definedName name="cvb" hidden="1">{"toc1",#N/A,FALSE,"TOC";"cover",#N/A,FALSE,"Cover";"ts1",#N/A,FALSE,"Transaction Summary";"ei3",#N/A,FALSE,"Earnings Impact";"ad3",#N/A,FALSE,"accretion dilution"}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{#N/A,#N/A,FALSE,"Chart 2 by Prop Type"}</definedName>
    <definedName name="DATA_01" hidden="1">#REF!</definedName>
    <definedName name="dc" hidden="1">{#N/A,#N/A,FALSE,"Chart 2 by Prop Type"}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drd" hidden="1">[26]tables_graphs!$H$12:$H$22</definedName>
    <definedName name="Debt_Calc1_Amort" hidden="1">[27]DebtSupport!$C$32</definedName>
    <definedName name="Debt_Calc1_CapExEnd" hidden="1">[27]DebtSupport!$C$31</definedName>
    <definedName name="Debt_Calc1_Draw" hidden="1">[27]DebtSupport!$C$29</definedName>
    <definedName name="Debt_Calc1_End" hidden="1">[27]DebtSupport!$C$33</definedName>
    <definedName name="Debt_Calc1_InitialBalance" hidden="1">[27]DebtSupport!$C$38</definedName>
    <definedName name="Debt_Calc1_IO" hidden="1">[27]DebtSupport!$C$30</definedName>
    <definedName name="Debt_Calc1_IsPrepaid" hidden="1">[27]DebtSupport!$C$35</definedName>
    <definedName name="Debt_Calc1_IsRefied" hidden="1">[27]DebtSupport!$C$34</definedName>
    <definedName name="Debt_Calc1_Maturity" hidden="1">[27]DebtSupport!$C$28</definedName>
    <definedName name="Debt_Calc1_Start" hidden="1">[27]DebtSupport!$C$26</definedName>
    <definedName name="Debt_Calc1_Term" hidden="1">[27]DebtSupport!$C$27</definedName>
    <definedName name="Debt_Calc1_Year" hidden="1">[27]DebtSupport!$C$39</definedName>
    <definedName name="Debt_Calc2_Amort" hidden="1">[27]DebtSupport!$D$32</definedName>
    <definedName name="Debt_Calc2_CapExEnd" hidden="1">[27]DebtSupport!$D$31</definedName>
    <definedName name="Debt_Calc2_Draw" hidden="1">[27]DebtSupport!$D$29</definedName>
    <definedName name="Debt_Calc2_End" hidden="1">[27]DebtSupport!$D$33</definedName>
    <definedName name="Debt_Calc2_InitialBalance" hidden="1">[27]DebtSupport!$D$38</definedName>
    <definedName name="Debt_Calc2_IO" hidden="1">[27]DebtSupport!$D$30</definedName>
    <definedName name="Debt_Calc2_IsPrepaid" hidden="1">[27]DebtSupport!$D$35</definedName>
    <definedName name="Debt_Calc2_IsRefied" hidden="1">[27]DebtSupport!$D$34</definedName>
    <definedName name="Debt_Calc2_Maturity" hidden="1">[27]DebtSupport!$D$28</definedName>
    <definedName name="Debt_Calc2_Start" hidden="1">[27]DebtSupport!$D$26</definedName>
    <definedName name="Debt_Calc2_Term" hidden="1">[27]DebtSupport!$D$27</definedName>
    <definedName name="Debt_Calc2_Year" hidden="1">[27]DebtSupport!$D$39</definedName>
    <definedName name="Debt_Calc3_Amort" hidden="1">[27]DebtSupport!$E$32</definedName>
    <definedName name="Debt_Calc3_CapExEnd" hidden="1">[27]DebtSupport!$E$31</definedName>
    <definedName name="Debt_Calc3_Draw" hidden="1">[27]DebtSupport!$E$29</definedName>
    <definedName name="Debt_Calc3_End" hidden="1">[27]DebtSupport!$E$33</definedName>
    <definedName name="Debt_Calc3_InitialBalance" hidden="1">[27]DebtSupport!$E$38</definedName>
    <definedName name="Debt_Calc3_IO" hidden="1">[27]DebtSupport!$E$30</definedName>
    <definedName name="Debt_Calc3_IsPrepaid" hidden="1">[27]DebtSupport!$E$35</definedName>
    <definedName name="Debt_Calc3_Maturity" hidden="1">[27]DebtSupport!$E$28</definedName>
    <definedName name="Debt_Calc3_Refi1" hidden="1">[27]DebtSupport!$E$36</definedName>
    <definedName name="Debt_Calc3_Refi2" hidden="1">[27]DebtSupport!$E$37</definedName>
    <definedName name="Debt_Calc3_Start" hidden="1">[27]DebtSupport!$E$26</definedName>
    <definedName name="Debt_Calc3_Term" hidden="1">[27]DebtSupport!$E$27</definedName>
    <definedName name="Debt_CalcType2" hidden="1">[27]DebtValidation!$C$3</definedName>
    <definedName name="Debt_CalcType3" hidden="1">[27]DebtValidation!$C$4</definedName>
    <definedName name="Debt_CalcType4" hidden="1">[28]DebtValidation!$C$5</definedName>
    <definedName name="Debt_CalcType5" hidden="1">[28]DebtValidation!$C$6</definedName>
    <definedName name="Debt_CalcTypes" hidden="1">[27]DebtValidation!$C$2:$C$4</definedName>
    <definedName name="Debt_FundType1" hidden="1">[27]DebtValidation!$E$2</definedName>
    <definedName name="Debt_FundType2" hidden="1">[27]DebtValidation!$E$3</definedName>
    <definedName name="Debt_FundType3" hidden="1">[27]DebtValidation!$E$4</definedName>
    <definedName name="Debt_FundTypes" hidden="1">[27]DebtValidation!$E$2:$E$3</definedName>
    <definedName name="DEBT_InitialBalance" hidden="1">'[27]Debt Inputs'!$AX$44</definedName>
    <definedName name="Debt_InitialBOPBalance" hidden="1">'[27]Debt Inputs'!$AT$44</definedName>
    <definedName name="DEBT_InitialCapital" hidden="1">'[27]Debt Inputs'!$AW$44</definedName>
    <definedName name="DEBT_InitialFunding" hidden="1">'[27]Debt Inputs'!$AR$45</definedName>
    <definedName name="DEBT_InitialInterest" hidden="1">'[27]Debt Inputs'!$AU$44</definedName>
    <definedName name="Debt_InitialLoanFee" hidden="1">'[27]Debt Inputs'!$AS$45</definedName>
    <definedName name="DEBT_InitialMaturity" hidden="1">'[27]Debt Inputs'!$AY$44</definedName>
    <definedName name="Debt_InitialPrepaymentFee" hidden="1">'[27]Debt Inputs'!$BA$44</definedName>
    <definedName name="DEBT_InitialPrincipal" hidden="1">'[27]Debt Inputs'!$AV$44</definedName>
    <definedName name="DEBT_InitialRefi" hidden="1">'[27]Debt Inputs'!$AZ$44</definedName>
    <definedName name="Debt_InitialSeniorBalance" hidden="1">'[27]Debt Inputs'!$BG$44</definedName>
    <definedName name="Debt_InitialSeniorBOPBalance" hidden="1">'[27]Debt Inputs'!$BD$44</definedName>
    <definedName name="Debt_InitialSeniorInterest" hidden="1">'[27]Debt Inputs'!$BE$44</definedName>
    <definedName name="Debt_InitialSeniorPrincipal" hidden="1">'[27]Debt Inputs'!$BF$44</definedName>
    <definedName name="Debt_Label1_Amort" hidden="1">[27]DebtSupport!$C$22</definedName>
    <definedName name="Debt_Label1_Amount" hidden="1">[27]DebtSupport!$C$17</definedName>
    <definedName name="Debt_Label1_InitialRate" hidden="1">[27]DebtSupport!$C$24</definedName>
    <definedName name="Debt_Label1_IO" hidden="1">[27]DebtSupport!$C$21</definedName>
    <definedName name="Debt_Label1_Maturity" hidden="1">[27]DebtSupport!$C$23</definedName>
    <definedName name="Debt_Label1_Percent" hidden="1">[27]DebtSupport!$C$19</definedName>
    <definedName name="Debt_Label1_Term" hidden="1">[27]DebtSupport!$C$20</definedName>
    <definedName name="Debt_Label1_Value" hidden="1">[27]DebtSupport!$C$18</definedName>
    <definedName name="Debt_Label2_Amort" hidden="1">[27]DebtSupport!$D$22</definedName>
    <definedName name="Debt_Label2_Amount" hidden="1">[27]DebtSupport!$D$17</definedName>
    <definedName name="Debt_Label2_InitialRate" hidden="1">[27]DebtSupport!$D$24</definedName>
    <definedName name="Debt_Label2_IO" hidden="1">[27]DebtSupport!$D$21</definedName>
    <definedName name="Debt_Label2_Maturity" hidden="1">[27]DebtSupport!$D$23</definedName>
    <definedName name="Debt_Label2_Percent" hidden="1">[27]DebtSupport!$D$19</definedName>
    <definedName name="Debt_Label2_Term" hidden="1">[27]DebtSupport!$D$20</definedName>
    <definedName name="Debt_Label2_Value" hidden="1">[27]DebtSupport!$D$18</definedName>
    <definedName name="Debt_Label3_Amort" hidden="1">[27]DebtSupport!$E$22</definedName>
    <definedName name="Debt_Label3_Amount" hidden="1">[27]DebtSupport!$E$17</definedName>
    <definedName name="Debt_Label3_InitialRate" hidden="1">[27]DebtSupport!$E$24</definedName>
    <definedName name="Debt_Label3_IO" hidden="1">[27]DebtSupport!$E$21</definedName>
    <definedName name="Debt_Label3_Maturity" hidden="1">[27]DebtSupport!$E$23</definedName>
    <definedName name="Debt_Label3_Percent" hidden="1">[27]DebtSupport!$E$19</definedName>
    <definedName name="Debt_Label3_Term" hidden="1">[27]DebtSupport!$E$20</definedName>
    <definedName name="Debt_Label3_Value" hidden="1">[27]DebtSupport!$E$18</definedName>
    <definedName name="Debt_LoanType1" hidden="1">[27]DebtValidation!$A$2</definedName>
    <definedName name="Debt_LoanType2" hidden="1">[27]DebtValidation!$A$3</definedName>
    <definedName name="Debt_LoanType4" hidden="1">[27]DebtValidation!$A$5</definedName>
    <definedName name="Debt_LoanTypes" hidden="1">[27]DebtValidation!$A$2:$A$4</definedName>
    <definedName name="DEBT_PaymentType1" hidden="1">[27]DebtValidation!$D$2</definedName>
    <definedName name="DEBT_PaymentType5" hidden="1">[27]DebtValidation!$D$3</definedName>
    <definedName name="DEBT_PaymentTypes" hidden="1">[27]DebtValidation!$D$2:$D$3</definedName>
    <definedName name="Debt_PurchaseRange" hidden="1">0</definedName>
    <definedName name="Debt_RefiTypes" hidden="1">[27]DebtValidation!$A$2:$A$5</definedName>
    <definedName name="Debt_Show1_Amort" hidden="1">[27]DebtSupport!$C$11</definedName>
    <definedName name="Debt_Show1_Amount" hidden="1">[27]DebtSupport!$C$6</definedName>
    <definedName name="Debt_Show1_CapEx" hidden="1">[27]DebtSupport!$C$3</definedName>
    <definedName name="Debt_Show1_FundDate" hidden="1">[27]DebtSupport!$C$5</definedName>
    <definedName name="Debt_Show1_FundMethod" hidden="1">[27]DebtSupport!$C$4</definedName>
    <definedName name="Debt_Show1_FundPercent" hidden="1">[27]DebtSupport!$C$7</definedName>
    <definedName name="Debt_Show1_FundPoints" hidden="1">[27]DebtSupport!$C$8</definedName>
    <definedName name="Debt_Show1_Loan" hidden="1">[27]DebtSupport!$C$2</definedName>
    <definedName name="Debt_Show1_Rate" hidden="1">[27]DebtSupport!$C$9</definedName>
    <definedName name="Debt_Show1_Spread" hidden="1">[27]DebtSupport!$C$10</definedName>
    <definedName name="Debt_Show2_Amort" hidden="1">[27]DebtSupport!$D$11</definedName>
    <definedName name="Debt_Show2_Amount" hidden="1">[27]DebtSupport!$D$6</definedName>
    <definedName name="Debt_Show2_CapEx" hidden="1">[27]DebtSupport!$D$3</definedName>
    <definedName name="Debt_Show2_FundDate" hidden="1">[27]DebtSupport!$D$5</definedName>
    <definedName name="Debt_Show2_FundMethod" hidden="1">[27]DebtSupport!$D$4</definedName>
    <definedName name="Debt_Show2_FundPercent" hidden="1">[27]DebtSupport!$D$7</definedName>
    <definedName name="Debt_Show2_FundPoints" hidden="1">[27]DebtSupport!$D$8</definedName>
    <definedName name="Debt_Show2_Loan" hidden="1">[27]DebtSupport!$D$2</definedName>
    <definedName name="Debt_Show2_Rate" hidden="1">[27]DebtSupport!$D$9</definedName>
    <definedName name="Debt_Show2_Spread" hidden="1">[27]DebtSupport!$D$10</definedName>
    <definedName name="Debt_Show3_Amort" hidden="1">[27]DebtSupport!$E$11</definedName>
    <definedName name="Debt_Show3_Amount" hidden="1">[27]DebtSupport!$E$6</definedName>
    <definedName name="Debt_Show3_CapEx" hidden="1">[27]DebtSupport!$E$3</definedName>
    <definedName name="Debt_Show3_FundDate" hidden="1">[27]DebtSupport!$E$5</definedName>
    <definedName name="Debt_Show3_FundMethod" hidden="1">[27]DebtSupport!$E$4</definedName>
    <definedName name="Debt_Show3_FundPercent" hidden="1">[27]DebtSupport!$E$7</definedName>
    <definedName name="Debt_Show3_FundPoints" hidden="1">[27]DebtSupport!$E$8</definedName>
    <definedName name="Debt_Show3_Loan" hidden="1">[27]DebtSupport!$E$2</definedName>
    <definedName name="Debt_Show3_Rate" hidden="1">[27]DebtSupport!$E$9</definedName>
    <definedName name="Debt_Show3_Refi" hidden="1">[27]DebtSupport!$E$12</definedName>
    <definedName name="Debt_Show3_Refi1" hidden="1">[27]DebtSupport!$E$13</definedName>
    <definedName name="Debt_Show3_Refi2" hidden="1">[27]DebtSupport!$E$14</definedName>
    <definedName name="Debt_Show3_Spread" hidden="1">[27]DebtSupport!$E$10</definedName>
    <definedName name="Debt_SubordinationType2" hidden="1">[27]DebtValidation!$J$3</definedName>
    <definedName name="Debt_SubordinationTypes" hidden="1">[27]DebtValidation!$J$2:$J$3</definedName>
    <definedName name="Debt_Yes" hidden="1">[27]DebtValidation!$K$2</definedName>
    <definedName name="Debt_YesNo" hidden="1">[27]DebtValidation!$K$2:$K$3</definedName>
    <definedName name="def" hidden="1">{"Construction_Short",#N/A,FALSE,"Construction"}</definedName>
    <definedName name="delete2" hidden="1">[29]Matrix!#REF!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f" hidden="1">{"toc1",#N/A,FALSE,"TOC";"cover",#N/A,FALSE,"Cover";"ts1",#N/A,FALSE,"Transaction Summary";"ei3",#N/A,FALSE,"Earnings Impact";"ad3",#N/A,FALSE,"accretion dilution"}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d" hidden="1">{#N/A,#N/A,FALSE,"Cashflow Analysis";#N/A,#N/A,FALSE,"Sensitivity Analysis";#N/A,#N/A,FALSE,"PV";#N/A,#N/A,FALSE,"Pro Forma"}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ontknow" hidden="1">#REF!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sa" hidden="1">{#N/A,#N/A,FALSE,"Chart 2 by Prop Type"}</definedName>
    <definedName name="dsdd" hidden="1">{#N/A,#N/A,FALSE,"objekt";#N/A,#N/A,FALSE,"huurders";#N/A,#N/A,FALSE,"cash flow"}</definedName>
    <definedName name="dsf" hidden="1">{"page1",#N/A,FALSE,"Model";"page2",#N/A,FALSE,"Model";"page3",#N/A,FALSE,"Model";"page4",#N/A,FALSE,"Model";"page5",#N/A,FALSE,"Model";"page6",#N/A,FALSE,"Model"}</definedName>
    <definedName name="dsgvnlkdsfn" hidden="1">{#N/A,#N/A,FALSE,"Chart 2 by Prop Type"}</definedName>
    <definedName name="e" hidden="1">{"MonthlyRentRoll",#N/A,FALSE,"RentRoll"}</definedName>
    <definedName name="eagflkhwaOLGYW" hidden="1">[8]Occ!#REF!</definedName>
    <definedName name="ed" hidden="1">{#N/A,#N/A,FALSE,"Chart 2 by Prop Type"}</definedName>
    <definedName name="edf" hidden="1">{#N/A,#N/A,FALSE,"Chart 2 by Prop Type"}</definedName>
    <definedName name="edr" hidden="1">{#N/A,#N/A,FALSE,"Chart 2 by Prop Type"}</definedName>
    <definedName name="ee" hidden="1">{#N/A,#N/A,FALSE,"OperatingAssumptions"}</definedName>
    <definedName name="eee" hidden="1">{#N/A,#N/A,FALSE,"OperatingAssumptions"}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LAINE" hidden="1">{#N/A,#N/A,FALSE,"RENT ROLL"}</definedName>
    <definedName name="ellen" hidden="1">{#N/A,#N/A,FALSE,"WATCHDSC";#N/A,#N/A,FALSE,"2LOSSMOD";#N/A,#N/A,FALSE,"2LOSS";#N/A,#N/A,FALSE,"DSC";#N/A,#N/A,FALSE,"OPERAT";#N/A,#N/A,FALSE,"ADJUST";#N/A,#N/A,FALSE,"LEASE EXPIRE"}</definedName>
    <definedName name="er" hidden="1">{#N/A,#N/A,FALSE,"Chart 2 by Prop Type"}</definedName>
    <definedName name="ere" hidden="1">{"sheet a",#N/A,FALSE,"A";"2 9 casflow",#N/A,FALSE,"B"}</definedName>
    <definedName name="ert5t6" hidden="1">{"Detail Project Cash Flow",#N/A,TRUE,"Cash Flow Grid";"Financing Calculation",#N/A,TRUE,"Cash Flow Grid"}</definedName>
    <definedName name="erw" hidden="1">{"Detail Project Cash Flow",#N/A,TRUE,"Cash Flow Grid";"Financing Calculation",#N/A,TRUE,"Cash Flow Grid"}</definedName>
    <definedName name="esfredf" hidden="1">{"Cash Flow_Large",#N/A,FALSE,"CashFlowSummary";"Finance_Large",#N/A,FALSE,"FinanceCashFlow";"Equity_Large",#N/A,FALSE,"EquityReturns";"LeaseUp_Large",#N/A,FALSE,"LeaseUp"}</definedName>
    <definedName name="etetywert" hidden="1">{"Cash Flow_Small",#N/A,FALSE,"CashFlowSummary";"Finance_Small",#N/A,FALSE,"FinanceCashFlow";"Equity_Small",#N/A,FALSE,"EquityReturns"}</definedName>
    <definedName name="EV__EVCOM_OPTIONS__" hidden="1">10</definedName>
    <definedName name="EV__LASTREFTIME__" hidden="1">40150.4867476852</definedName>
    <definedName name="ewrf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f" hidden="1">{#N/A,#N/A,FALSE,"Chart 2 by Prop Type"}</definedName>
    <definedName name="fd" hidden="1">#REF!</definedName>
    <definedName name="fddd" hidden="1">{#N/A,#N/A,FALSE,"Chart 2 by Prop Type"}</definedName>
    <definedName name="fdfdfd" hidden="1">{#N/A,#N/A,FALSE,"CAPREIT"}</definedName>
    <definedName name="fdfdfdf" hidden="1">{#N/A,#N/A,FALSE,"CAPREIT"}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nal3" hidden="1">{"Construction_Short",#N/A,FALSE,"Construction"}</definedName>
    <definedName name="fldfjlsd" hidden="1">#REF!</definedName>
    <definedName name="forum" hidden="1">{#N/A,#N/A,FALSE,"RENT ROLL"}</definedName>
    <definedName name="FRONT" hidden="1">{#N/A,#N/A,FALSE,"RENT ROLL"}</definedName>
    <definedName name="frtyu" hidden="1">{#N/A,#N/A,FALSE,"Chart 2 by Prop Type"}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{#N/A,#N/A,FALSE,"ACQ";#N/A,#N/A,FALSE,"ASSUMP";#N/A,#N/A,FALSE,"CASH FLOW";#N/A,#N/A,FALSE,"SALE";#N/A,#N/A,FALSE,"TIS";#N/A,#N/A,FALSE,"RENT ROLL"}</definedName>
    <definedName name="gfh" hidden="1">{"toc1",#N/A,FALSE,"TOC";"cover",#N/A,FALSE,"Cover";"ts1",#N/A,FALSE,"Transaction Summary";"ei3",#N/A,FALSE,"Earnings Impact";"ad3",#N/A,FALSE,"accretion dilution"}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hgwrihAPILOG" hidden="1">[8]Occ!#REF!</definedName>
    <definedName name="h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ello" hidden="1">{#N/A,#N/A,FALSE,"ACQ_GRAPHS";#N/A,#N/A,FALSE,"T_1 GRAPHS";#N/A,#N/A,FALSE,"T_2 GRAPHS";#N/A,#N/A,FALSE,"COMB_GRAPHS"}</definedName>
    <definedName name="hh" hidden="1">{#N/A,#N/A,FALSE,"Summary"}</definedName>
    <definedName name="hhh" hidden="1">{#N/A,#N/A,FALSE,"Summary"}</definedName>
    <definedName name="hij" hidden="1">{"Construction_Short",#N/A,FALSE,"Construction"}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tm_control" hidden="1">{"'monthy'!$A$1:$H$23"}</definedName>
    <definedName name="HTML_CodePage" hidden="1">1252</definedName>
    <definedName name="HTML_Control" hidden="1">{"'Rent Analysis'!$A$1:$M$45"}</definedName>
    <definedName name="HTML_Control_1" hidden="1">{"'Table of Contents'!$A$1"}</definedName>
    <definedName name="HTML_Control_1_1" hidden="1">{"'Table of Contents'!$A$1"}</definedName>
    <definedName name="HTML_Control_1_1_1" hidden="1">{"'Table of Contents'!$A$1"}</definedName>
    <definedName name="HTML_Control_1_2" hidden="1">{"'Table of Contents'!$A$1"}</definedName>
    <definedName name="HTML_Control_1_3" hidden="1">{"'Table of Contents'!$A$1"}</definedName>
    <definedName name="HTML_Control_1_4" hidden="1">{"'Table of Contents'!$A$1"}</definedName>
    <definedName name="HTML_Control_1_5" hidden="1">{"'Table of Contents'!$A$1"}</definedName>
    <definedName name="HTML_Control_2" hidden="1">{"'Table of Contents'!$A$1"}</definedName>
    <definedName name="HTML_Control_2_1" hidden="1">{"'Table of Contents'!$A$1"}</definedName>
    <definedName name="HTML_Control_2_1_1" hidden="1">{"'Table of Contents'!$A$1"}</definedName>
    <definedName name="HTML_Control_2_2" hidden="1">{"'Table of Contents'!$A$1"}</definedName>
    <definedName name="HTML_Control_2_3" hidden="1">{"'Table of Contents'!$A$1"}</definedName>
    <definedName name="HTML_Control_2_4" hidden="1">{"'Table of Contents'!$A$1"}</definedName>
    <definedName name="HTML_Control_2_5" hidden="1">{"'Table of Contents'!$A$1"}</definedName>
    <definedName name="HTML_Control_3" hidden="1">{"'Table of Contents'!$A$1"}</definedName>
    <definedName name="HTML_Control_3_1" hidden="1">{"'Table of Contents'!$A$1"}</definedName>
    <definedName name="HTML_Control_3_1_1" hidden="1">{"'Table of Contents'!$A$1"}</definedName>
    <definedName name="HTML_Control_3_2" hidden="1">{"'Table of Contents'!$A$1"}</definedName>
    <definedName name="HTML_Control_3_3" hidden="1">{"'Table of Contents'!$A$1"}</definedName>
    <definedName name="HTML_Control_3_4" hidden="1">{"'Table of Contents'!$A$1"}</definedName>
    <definedName name="HTML_Control_3_5" hidden="1">{"'Table of Contents'!$A$1"}</definedName>
    <definedName name="HTML_Control_4" hidden="1">{"'Table of Contents'!$A$1"}</definedName>
    <definedName name="HTML_Control_4_1" hidden="1">{"'Table of Contents'!$A$1"}</definedName>
    <definedName name="HTML_Control_4_1_1" hidden="1">{"'Table of Contents'!$A$1"}</definedName>
    <definedName name="HTML_Control_4_2" hidden="1">{"'Table of Contents'!$A$1"}</definedName>
    <definedName name="HTML_Control_4_3" hidden="1">{"'Table of Contents'!$A$1"}</definedName>
    <definedName name="HTML_Control_4_4" hidden="1">{"'Table of Contents'!$A$1"}</definedName>
    <definedName name="HTML_Control_4_5" hidden="1">{"'Table of Contents'!$A$1"}</definedName>
    <definedName name="HTML_Control_5" hidden="1">{"'Table of Contents'!$A$1"}</definedName>
    <definedName name="HTML_Control_5_1" hidden="1">{"'Table of Contents'!$A$1"}</definedName>
    <definedName name="HTML_Description" hidden="1">""</definedName>
    <definedName name="HTML_Email" hidden="1">"parrish@dynexcapital.com"</definedName>
    <definedName name="HTML_Header" hidden="1">"Rent Analysis"</definedName>
    <definedName name="HTML_LastUpdate" hidden="1">"07/19/98"</definedName>
    <definedName name="HTML_LineAfter" hidden="1">FALSE</definedName>
    <definedName name="HTML_LineBefore" hidden="1">FALSE</definedName>
    <definedName name="HTML_Name" hidden="1">"Russell S. Parrish"</definedName>
    <definedName name="HTML_OBDlg2" hidden="1">TRUE</definedName>
    <definedName name="HTML_OBDlg4" hidden="1">TRUE</definedName>
    <definedName name="HTML_OS" hidden="1">0</definedName>
    <definedName name="HTML_PathFile" hidden="1">"I:\Village Green Apts\MyHTML.htm"</definedName>
    <definedName name="HTML_Title" hidden="1">"Vill Grn Exec Sum Frwrd Excel"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yudff" hidden="1">#REF!</definedName>
    <definedName name="i" hidden="1">{#N/A,#N/A,FALSE,"Chart 2 by Prop Type"}</definedName>
    <definedName name="IHMPrintCF1" hidden="1">#REF!</definedName>
    <definedName name="IHMPrintMR1" hidden="1">#REF!</definedName>
    <definedName name="IHMPrintMR2" hidden="1">#REF!</definedName>
    <definedName name="IHMPrintVAL1" hidden="1">#REF!</definedName>
    <definedName name="IHMPrintVAL2" hidden="1">#REF!</definedName>
    <definedName name="ik" hidden="1">{#N/A,#N/A,FALSE,"Chart 2 by Prop Type"}</definedName>
    <definedName name="IntroPrintArea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STIMATE" hidden="1">"IQ_EPS_EST"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"c418"</definedName>
    <definedName name="IQ_FFO_EST_CIQ_COL" hidden="1">"c11617"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TDDEV_EST" hidden="1">"c4452"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44036.5652777778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"c5615"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39245.9427430556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1" hidden="1">"$A$2:$A$129"</definedName>
    <definedName name="IQRB1" hidden="1">"$B$2:$B$129"</definedName>
    <definedName name="IQRC1" hidden="1">"$C$2:$C$129"</definedName>
    <definedName name="j" hidden="1">{#N/A,#N/A,FALSE,"Chart 2 by Prop Type"}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S" hidden="1">{"Assumptions",#N/A,TRUE,"Returns";"Tables",#N/A,TRUE,"Returns"}</definedName>
    <definedName name="jhojh" hidden="1">{"page1",#N/A,FALSE,"Model";"page2",#N/A,FALSE,"Model";"page3",#N/A,FALSE,"Model";"page4",#N/A,FALSE,"Model";"page5",#N/A,FALSE,"Model";"page6",#N/A,FALSE,"Model"}</definedName>
    <definedName name="jkl" hidden="1">{#N/A,#N/A,FALSE,"Chart 2 by Prop Type"}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ulie" hidden="1">{#N/A,#N/A,FALSE,"RENT ROLL"}</definedName>
    <definedName name="JUNK" hidden="1">{"SCHEDULE",#N/A,FALSE,"Fin_sched"}</definedName>
    <definedName name="JUNK_1" hidden="1">{"'Table of Contents'!$A$1"}</definedName>
    <definedName name="JUNK_1_1" hidden="1">{"'Table of Contents'!$A$1"}</definedName>
    <definedName name="JUNK_1_1_1" hidden="1">{"'Table of Contents'!$A$1"}</definedName>
    <definedName name="JUNK_1_2" hidden="1">{"'Table of Contents'!$A$1"}</definedName>
    <definedName name="JUNK_1_3" hidden="1">{"'Table of Contents'!$A$1"}</definedName>
    <definedName name="JUNK_1_4" hidden="1">{"'Table of Contents'!$A$1"}</definedName>
    <definedName name="JUNK_1_5" hidden="1">{"'Table of Contents'!$A$1"}</definedName>
    <definedName name="JUNK_2" hidden="1">{"'Table of Contents'!$A$1"}</definedName>
    <definedName name="JUNK_2_1" hidden="1">{"'Table of Contents'!$A$1"}</definedName>
    <definedName name="JUNK_2_1_1" hidden="1">{"'Table of Contents'!$A$1"}</definedName>
    <definedName name="JUNK_2_2" hidden="1">{"'Table of Contents'!$A$1"}</definedName>
    <definedName name="JUNK_2_3" hidden="1">{"'Table of Contents'!$A$1"}</definedName>
    <definedName name="JUNK_2_4" hidden="1">{"'Table of Contents'!$A$1"}</definedName>
    <definedName name="JUNK_2_5" hidden="1">{"'Table of Contents'!$A$1"}</definedName>
    <definedName name="JUNK_3" hidden="1">{"'Table of Contents'!$A$1"}</definedName>
    <definedName name="JUNK_3_1" hidden="1">{"'Table of Contents'!$A$1"}</definedName>
    <definedName name="JUNK_3_1_1" hidden="1">{"'Table of Contents'!$A$1"}</definedName>
    <definedName name="JUNK_3_2" hidden="1">{"'Table of Contents'!$A$1"}</definedName>
    <definedName name="JUNK_3_3" hidden="1">{"'Table of Contents'!$A$1"}</definedName>
    <definedName name="JUNK_3_4" hidden="1">{"'Table of Contents'!$A$1"}</definedName>
    <definedName name="JUNK_3_5" hidden="1">{"'Table of Contents'!$A$1"}</definedName>
    <definedName name="JUNK_4" hidden="1">{"'Table of Contents'!$A$1"}</definedName>
    <definedName name="JUNK_4_1" hidden="1">{"'Table of Contents'!$A$1"}</definedName>
    <definedName name="JUNK_4_1_1" hidden="1">{"'Table of Contents'!$A$1"}</definedName>
    <definedName name="JUNK_4_2" hidden="1">{"'Table of Contents'!$A$1"}</definedName>
    <definedName name="JUNK_4_3" hidden="1">{"'Table of Contents'!$A$1"}</definedName>
    <definedName name="JUNK_4_4" hidden="1">{"'Table of Contents'!$A$1"}</definedName>
    <definedName name="JUNK_4_5" hidden="1">{"'Table of Contents'!$A$1"}</definedName>
    <definedName name="JUNK_5" hidden="1">{"'Table of Contents'!$A$1"}</definedName>
    <definedName name="JUNK_5_1" hidden="1">{"'Table of Contents'!$A$1"}</definedName>
    <definedName name="Junk_condo" hidden="1">{"SCHEDULE",#N/A,FALSE,"Fin_sched"}</definedName>
    <definedName name="JUNK2" hidden="1">{"SUMMARY",#N/A,FALSE,"Fin_sched"}</definedName>
    <definedName name="k" hidden="1">{#N/A,#N/A,FALSE,"Chart 2 by Prop Type"}</definedName>
    <definedName name="kiju" hidden="1">{#N/A,#N/A,FALSE,"Chart 2 by Prop Type"}</definedName>
    <definedName name="kiu" hidden="1">{#N/A,#N/A,FALSE,"Chart 2 by Prop Type"}</definedName>
    <definedName name="kjljl" hidden="1">{"page1",#N/A,FALSE,"Model";"page2",#N/A,FALSE,"Model";"page3",#N/A,FALSE,"Model";"page4",#N/A,FALSE,"Model";"page5",#N/A,FALSE,"Model";"page6",#N/A,FALSE,"Model"}</definedName>
    <definedName name="Kljl7" hidden="1">{"page1",#N/A,FALSE,"Model";"page2",#N/A,FALSE,"Model";"page3",#N/A,FALSE,"Model";"page4",#N/A,FALSE,"Model";"page5",#N/A,FALSE,"Model";"page6",#N/A,FALSE,"Model"}</definedName>
    <definedName name="klmno" hidden="1">{#N/A,#N/A,FALSE,"Chart 2 by Prop Type"}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{#N/A,#N/A,FALSE,"Chart 2 by Prop Type"}</definedName>
    <definedName name="lank" hidden="1">[30]ASSETS!#REF!</definedName>
    <definedName name="limcount" hidden="1">1</definedName>
    <definedName name="ll" hidden="1">{#N/A,#N/A,TRUE,"Maritime Park Arena PCD";#N/A,#N/A,TRUE,"Maritime Park Arena IOR"}</definedName>
    <definedName name="lll" hidden="1">{"Outflow 1",#N/A,FALSE,"Outflows-Inflows";"Outflow 2",#N/A,FALSE,"Outflows-Inflows";"Inflow 1",#N/A,FALSE,"Outflows-Inflows";"Inflow 2",#N/A,FALSE,"Outflows-Inflows"}</definedName>
    <definedName name="lopez" hidden="1">{#N/A,#N/A,FALSE,"RENT ROLL"}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m" hidden="1">{#N/A,#N/A,FALSE,"Chart 2 by Prop Type"}</definedName>
    <definedName name="mark" hidden="1">{#N/A,#N/A,FALSE,"RENT ROLL"}</definedName>
    <definedName name="maryann" hidden="1">{#N/A,#N/A,FALSE,"RENT ROLL"}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ickey" hidden="1">{#N/A,#N/A,FALSE,"RENT ROLL"}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n" hidden="1">{#N/A,#N/A,FALSE,"Chart 2 by Prop Type"}</definedName>
    <definedName name="Name1" hidden="1">{"cot1",#N/A,FALSE,"Cottages";"cot2",#N/A,FALSE,"Cottages";"cot3",#N/A,FALSE,"Cottages"}</definedName>
    <definedName name="name2" hidden="1">{#N/A,#N/A,FALSE,"Assumptions";#N/A,#N/A,FALSE,"Promote Assumptions";#N/A,#N/A,FALSE,"Residual Analysis";#N/A,#N/A,FALSE,"ROC";#N/A,#N/A,FALSE,"Project Costs";#N/A,#N/A,FALSE,"Annual CF";#N/A,#N/A,FALSE,"Stab Proforma"}</definedName>
    <definedName name="nbmvcmnb" hidden="1">{#N/A,#N/A,TRUE,"10 Yr Hold";#N/A,#N/A,TRUE,"7 Yr Hold";#N/A,#N/A,TRUE,"5 Yr Hold";#N/A,#N/A,TRUE,"3 Yr Hold"}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bel" hidden="1">{"IS",#N/A,FALSE,"IS";"RPTIS",#N/A,FALSE,"RPTIS";"STATS",#N/A,FALSE,"STATS";"CELL",#N/A,FALSE,"CELL";"BS",#N/A,FALSE,"BS"}</definedName>
    <definedName name="newrange" hidden="1">{"Annual Cash Flows",#N/A,FALSE,"Annual Summary"}</definedName>
    <definedName name="newsheet" hidden="1">[8]Occ!#REF!</definedName>
    <definedName name="Now" hidden="1">{"Assumptions",#N/A,TRUE,"Returns";"Tables",#N/A,TRUE,"Returns"}</definedName>
    <definedName name="o" hidden="1">{#N/A,#N/A,FALSE,"Chart 2 by Prop Type"}</definedName>
    <definedName name="ogmkcjr" hidden="1">{#N/A,#N/A,FALSE,"Chart 2 by Prop Type"}</definedName>
    <definedName name="oipp" hidden="1">{#N/A,#N/A,FALSE,"Chart 2 by Prop Type"}</definedName>
    <definedName name="okay" hidden="1">{#N/A,#N/A,FALSE,"INPUTS";#N/A,#N/A,FALSE,"PROFORMA BSHEET";#N/A,#N/A,FALSE,"COMBINED";#N/A,#N/A,FALSE,"HIGH YIELD";#N/A,#N/A,FALSE,"COMB_GRAPHS"}</definedName>
    <definedName name="okp" hidden="1">{#N/A,#N/A,FALSE,"Chart 2 by Prop Type"}</definedName>
    <definedName name="ol" hidden="1">{#N/A,#N/A,FALSE,"Chart 2 by Prop Type"}</definedName>
    <definedName name="OLD" hidden="1">{#N/A,#N/A,FALSE,"Aging Summary";#N/A,#N/A,FALSE,"Ratio Analysis";#N/A,#N/A,FALSE,"Test 120 Day Accts";#N/A,#N/A,FALSE,"Tickmarks"}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Param_CumRent" hidden="1">[27]Settings_Parameters!#REF!</definedName>
    <definedName name="Param_CurrentDat" hidden="1">[31]Settings_Parameters!$B$8</definedName>
    <definedName name="Param_CurrentDate" hidden="1">[27]Settings_Parameters!$B$8</definedName>
    <definedName name="Param_DRCredit" hidden="1">[27]Settings_Parameters!#REF!</definedName>
    <definedName name="Param_DRNonCredit" hidden="1">[27]Settings_Parameters!#REF!</definedName>
    <definedName name="Param_IncludeCPI" hidden="1">[27]Settings_Parameters!#REF!</definedName>
    <definedName name="Param_IncludePercentRent" hidden="1">[27]Settings_Parameters!#REF!</definedName>
    <definedName name="Param_IncludePW" hidden="1">[27]Settings_Parameters!#REF!</definedName>
    <definedName name="Param_Inclusion" hidden="1">[27]Settings_Parameters!#REF!</definedName>
    <definedName name="Param_PVAbatement" hidden="1">[27]Settings_Parameters!#REF!</definedName>
    <definedName name="Param_SLAbatement" hidden="1">[27]Settings_Parameters!#REF!</definedName>
    <definedName name="Param_VacMarket" hidden="1">[27]Settings_Parameters!#REF!</definedName>
    <definedName name="Param_VacRenew" hidden="1">[27]Settings_Parameters!#REF!</definedName>
    <definedName name="Param_VacVacate" hidden="1">[27]Settings_Parameters!#REF!</definedName>
    <definedName name="PCap" hidden="1">#REF!</definedName>
    <definedName name="PHOTOS" hidden="1">{#N/A,#N/A,FALSE,"RENT ROLL"}</definedName>
    <definedName name="pier90" hidden="1">{"excavation",#N/A,FALSE,"DETAIL.XLS"}</definedName>
    <definedName name="platform" hidden="1">{#N/A,#N/A,TRUE,"Ericsson Stadium PCD ";#N/A,#N/A,TRUE,"Ericsson Stadium IOR"}</definedName>
    <definedName name="platforma" hidden="1">{#N/A,#N/A,TRUE,"Ericsson Stadium PCD ";#N/A,#N/A,TRUE,"Ericsson Stadium IOR"}</definedName>
    <definedName name="please" hidden="1">{"Assumptions",#N/A,TRUE,"Returns";"Tables",#N/A,TRUE,"Returns"}</definedName>
    <definedName name="PPT" hidden="1">{#N/A,#N/A,FALSE,"Chart 2 by Prop Type"}</definedName>
    <definedName name="Print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_xlnm.Print_Area" localSheetId="8">'Annual-CF'!$A$1:$V$130</definedName>
    <definedName name="_xlnm.Print_Area" localSheetId="5">Assumptions!$A$1:$O$83</definedName>
    <definedName name="_xlnm.Print_Area" localSheetId="6">'Assumptions MH'!#REF!,'Assumptions MH'!#REF!,'Assumptions MH'!#REF!</definedName>
    <definedName name="_xlnm.Print_Area" localSheetId="7">'Budget Detail'!$A$1:$M$79</definedName>
    <definedName name="_xlnm.Print_Area" localSheetId="0">Cover!$B$1:$M$24</definedName>
    <definedName name="_xlnm.Print_Area" localSheetId="4">Dashboard!$A$1:$L$78</definedName>
    <definedName name="_xlnm.Print_Area" localSheetId="23">'Int. Calc'!$A$1:$EC$27</definedName>
    <definedName name="_xlnm.Print_Area" localSheetId="25">'Market Rents'!$A$1:$N$129</definedName>
    <definedName name="_xlnm.Print_Area" localSheetId="9">'Monthly-CF'!$A$1:$EC$142</definedName>
    <definedName name="_xlnm.Print_Area" localSheetId="11">'Monthly-Waterfall'!$A$1:$EB$102</definedName>
    <definedName name="_xlnm.Print_Area" localSheetId="28">'Operating Projections'!$A$1:$O$25</definedName>
    <definedName name="_xlnm.Print_Area" localSheetId="12">'Pro Forma MH'!$B$5:$M$88</definedName>
    <definedName name="_xlnm.Print_Area" localSheetId="26">'Rent Comps'!$A$1:$T$48</definedName>
    <definedName name="_xlnm.Print_Area" localSheetId="27">'Sales Comps'!$A$1:$S$35</definedName>
    <definedName name="_xlnm.Print_Area" localSheetId="22">'Tax Projection'!$A$1:$K$55</definedName>
    <definedName name="_xlnm.Print_Titles" localSheetId="6">'Assumptions MH'!$1:$4</definedName>
    <definedName name="Print2" hidden="1">{#N/A,#N/A,FALSE,"Cover";#N/A,#N/A,FALSE,"Stack";#N/A,#N/A,FALSE,"Cost S";#N/A,#N/A,FALSE," CF";#N/A,#N/A,FALSE,"Investor"}</definedName>
    <definedName name="promte" hidden="1">{"Assumptions",#N/A,FALSE,"Assumptions"}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" hidden="1">{#N/A,#N/A,FALSE,"Chart 2 by Prop Type"}</definedName>
    <definedName name="qqqq" hidden="1">{#N/A,#N/A,FALSE,"Chart 2 by Prop Type"}</definedName>
    <definedName name="qw" hidden="1">{#N/A,#N/A,FALSE,"Chart 2 by Prop Type"}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qwqw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qws" hidden="1">{#N/A,#N/A,FALSE,"Chart 2 by Prop Type"}</definedName>
    <definedName name="redo" hidden="1">{#N/A,#N/A,FALSE,"ACQ_GRAPHS";#N/A,#N/A,FALSE,"T_1 GRAPHS";#N/A,#N/A,FALSE,"T_2 GRAPHS";#N/A,#N/A,FALSE,"COMB_GRAPHS"}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idu" hidden="1">{#N/A,#N/A,TRUE,"Summary";"AnnualRentRoll",#N/A,TRUE,"RentRoll";#N/A,#N/A,TRUE,"ExitStratigy";#N/A,#N/A,TRUE,"OperatingAssumptions"}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LAINPUT_DebtLoan1CapEx" hidden="1">#REF!</definedName>
    <definedName name="RLAINPUT_DebtLoan1Funding" hidden="1">'[27]Debt Inputs'!$J$24,'[27]Debt Inputs'!$J$26,'[27]Debt Inputs'!$J$28:$J$29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'[27]Debt Inputs'!$V$24,'[27]Debt Inputs'!$V$26,'[27]Debt Inputs'!$V$28:$V$29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'[27]Debt Inputs'!$AH$24,'[27]Debt Inputs'!$AH$26,'[27]Debt Inputs'!$AH$28:$AH$29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'[27]In Place'!#REF!</definedName>
    <definedName name="RLAINPUT_Loan3Refi" hidden="1">'[27]Debt Inputs'!$AH$19,'[27]Debt Inputs'!$AK$19,'[27]Debt Inputs'!$AN$19</definedName>
    <definedName name="RLAINPUT_PortfolioInputs" hidden="1">#REF!</definedName>
    <definedName name="RLAINPUT_PortfolioPropertyInputs" hidden="1">#REF!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trt" hidden="1">{"sheet a",#N/A,FALSE,"A";"sheet b 1",#N/A,FALSE,"B";"sheet b 2",#N/A,FALSE,"B"}</definedName>
    <definedName name="s" hidden="1">{#N/A,#N/A,FALSE,"Chart 2 by Prop Type"}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NDER" hidden="1">{#N/A,#N/A,FALSE,"A";#N/A,#N/A,FALSE,"C"}</definedName>
    <definedName name="sandra" hidden="1">{#N/A,#N/A,FALSE,"RENT ROLL"}</definedName>
    <definedName name="sas" hidden="1">{"Outflow 1",#N/A,FALSE,"Outflows-Inflows";"Outflow 2",#N/A,FALSE,"Outflows-Inflows";"Inflow 1",#N/A,FALSE,"Outflows-Inflows";"Inflow 2",#N/A,FALSE,"Outflows-Inflows"}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sdfsdfsdf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sencount" hidden="1">1</definedName>
    <definedName name="sg" hidden="1">{#N/A,#N/A,FALSE,"Chart 2 by Prop Type"}</definedName>
    <definedName name="sgs" hidden="1">{#N/A,#N/A,FALSE,"Chart 2 by Prop Type"}</definedName>
    <definedName name="ShowSP50" hidden="1">[20]TR!$K$34</definedName>
    <definedName name="Skyline_Arg" hidden="1">{#N/A,#N/A,FALSE,"ACQ";#N/A,#N/A,FALSE,"ASSUMP";#N/A,#N/A,FALSE,"CASH FLOW";#N/A,#N/A,FALSE,"SALE";#N/A,#N/A,FALSE,"TIS";#N/A,#N/A,FALSE,"RENT ROLL"}</definedName>
    <definedName name="slkdhvoislsfjpsojflmnfsofjhsofbs" hidden="1">{#N/A,#N/A,FALSE,"Chart 2 by Prop Type"}</definedName>
    <definedName name="sofj" hidden="1">{#N/A,#N/A,FALSE,"Chart 2 by Prop Type"}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" hidden="1">{"Investor",#N/A,FALSE,"Model";"Property",#N/A,FALSE,"Model";"Incentive Taxes",#N/A,FALSE,"Model"}</definedName>
    <definedName name="ssdfgsdfg" hidden="1">{"Construction_Short",#N/A,FALSE,"Construction"}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op" hidden="1">'[32]Global - Customer'!#REF!</definedName>
    <definedName name="stop2" hidden="1">'[32]Global - Customer'!#REF!</definedName>
    <definedName name="sx" hidden="1">{#N/A,#N/A,FALSE,"Chart 2 by Prop Type"}</definedName>
    <definedName name="table" hidden="1">{#N/A,#N/A,FALSE,"RENT ROLL"}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rial" hidden="1">{"Outflow 1",#N/A,FALSE,"Outflows-Inflows";"Outflow 2",#N/A,FALSE,"Outflows-Inflows";"Inflow 1",#N/A,FALSE,"Outflows-Inflows";"Inflow 2",#N/A,FALSE,"Outflows-Inflows"}</definedName>
    <definedName name="ttt" hidden="1">{"Outflow 1",#N/A,FALSE,"Outflows-Inflows";"Outflow 2",#N/A,FALSE,"Outflows-Inflows";"Inflow 1",#N/A,FALSE,"Outflows-Inflows";"Inflow 2",#N/A,FALSE,"Outflows-Inflows"}</definedName>
    <definedName name="uj" hidden="1">{#N/A,#N/A,FALSE,"Chart 2 by Prop Type"}</definedName>
    <definedName name="v" hidden="1">{"IS",#N/A,FALSE,"IS";"RPTIS",#N/A,FALSE,"RPTIS";"STATS",#N/A,FALSE,"STATS";"CELL",#N/A,FALSE,"CELL";"BS",#N/A,FALSE,"BS"}</definedName>
    <definedName name="Vail" hidden="1">{"PVGraph2",#N/A,FALSE,"PV Data"}</definedName>
    <definedName name="Value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" hidden="1">#REF!</definedName>
    <definedName name="was" hidden="1">{#N/A,#N/A,FALSE,"Chart 2 by Prop Type"}</definedName>
    <definedName name="wcom" hidden="1">{"IS",#N/A,FALSE,"IS";"RPTIS",#N/A,FALSE,"RPTIS";"STATS",#N/A,FALSE,"STATS";"BS",#N/A,FALSE,"BS"}</definedName>
    <definedName name="we" hidden="1">{#N/A,#N/A,FALSE,"Chart 2 by Prop Type"}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hat" hidden="1">{"Page1",#N/A,FALSE,"7979";"Page2",#N/A,FALSE,"7979";"Page3",#N/A,FALSE,"7979"}</definedName>
    <definedName name="what_asdf2" hidden="1">{#N/A,#N/A,FALSE,"OperatingAssumptions"}</definedName>
    <definedName name="wq" hidden="1">{#N/A,#N/A,TRUE,"CostSumm";#N/A,#N/A,TRUE,"Land";#N/A,#N/A,TRUE,"Construction";#N/A,#N/A,TRUE,"A&amp;E";#N/A,#N/A,TRUE,"Indirect";#N/A,#N/A,TRUE,"Marketing";#N/A,#N/A,TRUE,"Finance";#N/A,#N/A,TRUE,"Gen and Admin"}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st._.DOT._.Repay._.Schedule." hidden="1">{#N/A,#N/A,FALSE,"1st DOT Repay Sch";#N/A,#N/A,FALSE,"NPV Comp"}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13." hidden="1">{"PG4",#N/A,FALSE,"Page4";"PG3",#N/A,FALSE,"Page 3";"PG2",#N/A,FALSE,"Page 2";"PG1",#N/A,FALSE,"2013HUD, pg1"}</definedName>
    <definedName name="wrn.2013._.All." hidden="1">{"Page4",#N/A,FALSE,"Page4";"Page3",#N/A,FALSE,"Page 3";"Page2",#N/A,FALSE,"Page 2";"Page1",#N/A,FALSE,"2013HUD, pg1"}</definedName>
    <definedName name="wrn.2013._.Report." hidden="1">{#N/A,#N/A,FALSE,"2013HUD, pg1";#N/A,#N/A,FALSE,"Page 2";#N/A,#N/A,FALSE,"Page 3";#N/A,#N/A,FALSE,"Page4"}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ndry._.Repay._.Schedule." hidden="1">{#N/A,#N/A,FALSE,"2ndry Repay Sch"}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9." hidden="1">{#N/A,#N/A,FALSE,"A";#N/A,#N/A,FALSE,"C"}</definedName>
    <definedName name="wrn.3yr.CF." hidden="1">{"assume",#N/A,FALSE,"K&amp;20th Month CF";"MoCF",#N/A,FALSE,"K&amp;20th Month CF";"AnCF",#N/A,FALSE,"K&amp;20th Month CF"}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umbers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2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nalysis." hidden="1">{#N/A,#N/A,FALSE,"Setup";#N/A,#N/A,FALSE,"Purchase Analysis"}</definedName>
    <definedName name="wrn.Annual." hidden="1">{"Summary Info",#N/A,TRUE,"Summary-Annual";"Sources &amp; Uses",#N/A,TRUE,"Summary-Annual";"Development Program",#N/A,TRUE,"Summary-Annual";"Total Annual CF",#N/A,TRUE,"Summary-Annual";"Total Detailed CF",#N/A,TRUE,"Summary";"Entitlement Costs",#N/A,TRUE,"Ent &amp; Infr";"Infrastructure Costs",#N/A,TRUE,"Ent &amp; Infr";"Infrastructure Costs 2",#N/A,TRUE,"Ent &amp; Infr";"Infrastructure Costs 3",#N/A,TRUE,"Ent &amp; Infr";"Infrastructure Costs 4",#N/A,TRUE,"Ent &amp; Infr";"Res Summary",#N/A,TRUE,"Residential";"Res CF Annual",#N/A,TRUE,"Residential";"Res Detailed Annual",#N/A,TRUE,"Residential";"Res Detailed Annual3",#N/A,TRUE,"Residential";"Res Annual Detailed4",#N/A,TRUE,"Residential-Annual";"Rental Summary",#N/A,TRUE,"Residential";"Rental CF Annual",#N/A,TRUE,"Residential";"Rental Detailed Annual2",#N/A,TRUE,"Residential";"Retail Summary",#N/A,TRUE,"Residential";"Retail Budget",#N/A,TRUE,"Retail";"Retail CF Annual",#N/A,TRUE,"Retail";"Retail Detailed Annual",#N/A,TRUE,"Retail";"Retail Detailed Annual2",#N/A,TRUE,"Retail";"Hotel Annual",#N/A,TRUE,"Hotel";"CFD Annual",#N/A,TRUE,"CFD-Annual";"TIF1",#N/A,TRUE,"TIF - Annual";"TIF2",#N/A,TRUE,"TIF - Annual"}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Summary." hidden="1">{"Annual Cash Flows",#N/A,FALSE,"Annual Summary"}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rena._.PCD." hidden="1">{#N/A,#N/A,TRUE,"Maritime Park Arena PCD";#N/A,#N/A,TRUE,"Maritime Park Arena IOR"}</definedName>
    <definedName name="wrn.Asia._.Total._.Variance." hidden="1">{#N/A,#N/A,FALSE,"Asia"}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umptions." hidden="1">{"Assumptions",#N/A,FALSE,"Assumptions"}</definedName>
    <definedName name="wrn.Atrium." hidden="1">{"Atrium-Investor",#N/A,FALSE,"Atrium";"Atrium-Property",#N/A,FALSE,"Atrium"}</definedName>
    <definedName name="wrn.Auto._.Comp." hidden="1">{#N/A,#N/A,FALSE,"Sheet1"}</definedName>
    <definedName name="wrn.Bank._.Loan._.Tax._.Exempt." hidden="1">{"Bank Loan Tax Exempt",#N/A,FALSE,"Bank-TE"}</definedName>
    <definedName name="wrn.Bank._.Loan._.Taxable." hidden="1">{"Bank Taxable",#N/A,FALSE,"Bank-Taxable"}</definedName>
    <definedName name="wrn.bankrep." hidden="1">{#N/A,#N/A,FALSE,"ExecSum";#N/A,#N/A,FALSE,"Summary";#N/A,#N/A,FALSE,"Budget";#N/A,#N/A,FALSE,"CashFlow"}</definedName>
    <definedName name="wrn.BaseYearDemand." hidden="1">{"Base Year Demand",#N/A,FALSE,"Demand-Base Year"}</definedName>
    <definedName name="wrn.Basic." hidden="1">{"Cover Basic",#N/A,FALSE,"cover";"Operations - all",#N/A,FALSE,"Operating";"Dev Budget - detail",#N/A,FALSE,"Development";"Dev Budget - commercial &amp; residential",#N/A,FALSE,"Development";"S&amp;U",#N/A,FALSE,"Sources";"Lease-up",#N/A,FALSE,"Lease Up";"proforma - 30yr all",#N/A,FALSE,"Proforma"}</definedName>
    <definedName name="wrn.BEL." hidden="1">{"IS",#N/A,FALSE,"IS";"RPTIS",#N/A,FALSE,"RPTIS";"STATS",#N/A,FALSE,"STATS";"CELL",#N/A,FALSE,"CELL";"BS",#N/A,FALSE,"BS"}</definedName>
    <definedName name="wrn.BIGGER." hidden="1">{"PROFORMA",#N/A,FALSE,"A";"BIGGER 1",#N/A,FALSE,"B";"BIGGER 2",#N/A,FALSE,"B";"BIGGER 3",#N/A,FALSE,"B";"SMALL CF 1",#N/A,FALSE,"C"}</definedName>
    <definedName name="wrn.Binder." hidden="1">{"Summary",#N/A,FALSE,"Financial Summary";"Income",#N/A,FALSE,"Lease Terms";"Development",#N/A,FALSE,"Development Costs";"Expense",#N/A,FALSE,"Lease Terms";"CFlow",#N/A,FALSE,"5 Year Cash Flow"}</definedName>
    <definedName name="wrn.Birdie." hidden="1">{#N/A,#N/A,FALSE,"Trans Summary";#N/A,#N/A,FALSE,"Proforma Five Yr";#N/A,#N/A,FALSE,"Occ and Rate"}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eu5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fA." hidden="1">{"BofA-Investor",#N/A,FALSE,"BofA Tower";"BofA-Property",#N/A,FALSE,"BofA Tower"}</definedName>
    <definedName name="wrn.book." hidden="1">{"page1",#N/A,FALSE,"net investor returns";"page2",#N/A,FALSE,"net investor returns"}</definedName>
    <definedName name="wrn.book7" hidden="1">{"page1",#N/A,FALSE,"net investor returns";"page2",#N/A,FALSE,"net investor returns"}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reak._.Even._.Analysis." hidden="1">{"Break Even",#N/A,FALSE,"Sensitivity"}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get." hidden="1">{"Spread Dollars",#N/A,FALSE,"Budget";"Spread Ratios",#N/A,FALSE,"Budget";"Target Comparison",#N/A,FALSE,"Summary"}</definedName>
    <definedName name="wrn.Camp._.Rent._.Rolls." hidden="1">{"DCF",#N/A,TRUE,"DCF";#N/A,#N/A,TRUE,"CF Assumptions";"Yield Analysis",#N/A,TRUE,"DCF";#N/A,#N/A,TRUE,"Rent Roll - Bluefield";#N/A,#N/A,TRUE,"Rent Roll - Richland";#N/A,#N/A,TRUE,"Rent Roll - Beckley";#N/A,#N/A,TRUE,"BOI &amp; MV";#N/A,#N/A,TRUE,"Lease Matu Sch"}</definedName>
    <definedName name="wrn.CAPREIT." hidden="1">{#N/A,#N/A,FALSE,"CAPREIT"}</definedName>
    <definedName name="wrn.CAPREIT2" hidden="1">{#N/A,#N/A,FALSE,"CAPREIT"}</definedName>
    <definedName name="wrn.Capx." hidden="1">{"Capx/exp",#N/A,FALSE,"CapX"}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7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hidden="1">{#N/A,#N/A,FALSE,"Cash Flow"}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ART2._.detail." hidden="1">{#N/A,#N/A,FALSE,"Chart 2 by Prop Type"}</definedName>
    <definedName name="wrn.COMBINED." hidden="1">{#N/A,#N/A,FALSE,"INPUTS";#N/A,#N/A,FALSE,"PROFORMA BSHEET";#N/A,#N/A,FALSE,"COMBINED";#N/A,#N/A,FALSE,"HIGH YIELD";#N/A,#N/A,FALSE,"COMB_GRAPHS"}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.Review._1" hidden="1">{#N/A,#N/A,FALSE,"Occ and Rate";#N/A,#N/A,FALSE,"PF Input";#N/A,#N/A,FALSE,"Capital Input";#N/A,#N/A,FALSE,"Proforma Five Yr";#N/A,#N/A,FALSE,"Calculations";#N/A,#N/A,FALSE,"Transaction Summary-DTW"}</definedName>
    <definedName name="wrn.Complete._.Review._1_1" hidden="1">{#N/A,#N/A,FALSE,"Occ and Rate";#N/A,#N/A,FALSE,"PF Input";#N/A,#N/A,FALSE,"Capital Input";#N/A,#N/A,FALSE,"Proforma Five Yr";#N/A,#N/A,FALSE,"Calculations";#N/A,#N/A,FALSE,"Transaction Summary-DTW"}</definedName>
    <definedName name="wrn.Complete._.Review._1_1_1" hidden="1">{#N/A,#N/A,FALSE,"Occ and Rate";#N/A,#N/A,FALSE,"PF Input";#N/A,#N/A,FALSE,"Capital Input";#N/A,#N/A,FALSE,"Proforma Five Yr";#N/A,#N/A,FALSE,"Calculations";#N/A,#N/A,FALSE,"Transaction Summary-DTW"}</definedName>
    <definedName name="wrn.Complete._.Review._1_2" hidden="1">{#N/A,#N/A,FALSE,"Occ and Rate";#N/A,#N/A,FALSE,"PF Input";#N/A,#N/A,FALSE,"Capital Input";#N/A,#N/A,FALSE,"Proforma Five Yr";#N/A,#N/A,FALSE,"Calculations";#N/A,#N/A,FALSE,"Transaction Summary-DTW"}</definedName>
    <definedName name="wrn.Complete._.Review._1_3" hidden="1">{#N/A,#N/A,FALSE,"Occ and Rate";#N/A,#N/A,FALSE,"PF Input";#N/A,#N/A,FALSE,"Capital Input";#N/A,#N/A,FALSE,"Proforma Five Yr";#N/A,#N/A,FALSE,"Calculations";#N/A,#N/A,FALSE,"Transaction Summary-DTW"}</definedName>
    <definedName name="wrn.Complete._.Review._1_4" hidden="1">{#N/A,#N/A,FALSE,"Occ and Rate";#N/A,#N/A,FALSE,"PF Input";#N/A,#N/A,FALSE,"Capital Input";#N/A,#N/A,FALSE,"Proforma Five Yr";#N/A,#N/A,FALSE,"Calculations";#N/A,#N/A,FALSE,"Transaction Summary-DTW"}</definedName>
    <definedName name="wrn.Complete._.Review._1_5" hidden="1">{#N/A,#N/A,FALSE,"Occ and Rate";#N/A,#N/A,FALSE,"PF Input";#N/A,#N/A,FALSE,"Capital Input";#N/A,#N/A,FALSE,"Proforma Five Yr";#N/A,#N/A,FALSE,"Calculations";#N/A,#N/A,FALSE,"Transaction Summary-DTW"}</definedName>
    <definedName name="wrn.Complete._.Review._2" hidden="1">{#N/A,#N/A,FALSE,"Occ and Rate";#N/A,#N/A,FALSE,"PF Input";#N/A,#N/A,FALSE,"Capital Input";#N/A,#N/A,FALSE,"Proforma Five Yr";#N/A,#N/A,FALSE,"Calculations";#N/A,#N/A,FALSE,"Transaction Summary-DTW"}</definedName>
    <definedName name="wrn.Complete._.Review._2_1" hidden="1">{#N/A,#N/A,FALSE,"Occ and Rate";#N/A,#N/A,FALSE,"PF Input";#N/A,#N/A,FALSE,"Capital Input";#N/A,#N/A,FALSE,"Proforma Five Yr";#N/A,#N/A,FALSE,"Calculations";#N/A,#N/A,FALSE,"Transaction Summary-DTW"}</definedName>
    <definedName name="wrn.Complete._.Review._2_1_1" hidden="1">{#N/A,#N/A,FALSE,"Occ and Rate";#N/A,#N/A,FALSE,"PF Input";#N/A,#N/A,FALSE,"Capital Input";#N/A,#N/A,FALSE,"Proforma Five Yr";#N/A,#N/A,FALSE,"Calculations";#N/A,#N/A,FALSE,"Transaction Summary-DTW"}</definedName>
    <definedName name="wrn.Complete._.Review._2_2" hidden="1">{#N/A,#N/A,FALSE,"Occ and Rate";#N/A,#N/A,FALSE,"PF Input";#N/A,#N/A,FALSE,"Capital Input";#N/A,#N/A,FALSE,"Proforma Five Yr";#N/A,#N/A,FALSE,"Calculations";#N/A,#N/A,FALSE,"Transaction Summary-DTW"}</definedName>
    <definedName name="wrn.Complete._.Review._2_3" hidden="1">{#N/A,#N/A,FALSE,"Occ and Rate";#N/A,#N/A,FALSE,"PF Input";#N/A,#N/A,FALSE,"Capital Input";#N/A,#N/A,FALSE,"Proforma Five Yr";#N/A,#N/A,FALSE,"Calculations";#N/A,#N/A,FALSE,"Transaction Summary-DTW"}</definedName>
    <definedName name="wrn.Complete._.Review._2_4" hidden="1">{#N/A,#N/A,FALSE,"Occ and Rate";#N/A,#N/A,FALSE,"PF Input";#N/A,#N/A,FALSE,"Capital Input";#N/A,#N/A,FALSE,"Proforma Five Yr";#N/A,#N/A,FALSE,"Calculations";#N/A,#N/A,FALSE,"Transaction Summary-DTW"}</definedName>
    <definedName name="wrn.Complete._.Review._2_5" hidden="1">{#N/A,#N/A,FALSE,"Occ and Rate";#N/A,#N/A,FALSE,"PF Input";#N/A,#N/A,FALSE,"Capital Input";#N/A,#N/A,FALSE,"Proforma Five Yr";#N/A,#N/A,FALSE,"Calculations";#N/A,#N/A,FALSE,"Transaction Summary-DTW"}</definedName>
    <definedName name="wrn.Complete._.Review._3" hidden="1">{#N/A,#N/A,FALSE,"Occ and Rate";#N/A,#N/A,FALSE,"PF Input";#N/A,#N/A,FALSE,"Capital Input";#N/A,#N/A,FALSE,"Proforma Five Yr";#N/A,#N/A,FALSE,"Calculations";#N/A,#N/A,FALSE,"Transaction Summary-DTW"}</definedName>
    <definedName name="wrn.Complete._.Review._3_1" hidden="1">{#N/A,#N/A,FALSE,"Occ and Rate";#N/A,#N/A,FALSE,"PF Input";#N/A,#N/A,FALSE,"Capital Input";#N/A,#N/A,FALSE,"Proforma Five Yr";#N/A,#N/A,FALSE,"Calculations";#N/A,#N/A,FALSE,"Transaction Summary-DTW"}</definedName>
    <definedName name="wrn.Complete._.Review._3_1_1" hidden="1">{#N/A,#N/A,FALSE,"Occ and Rate";#N/A,#N/A,FALSE,"PF Input";#N/A,#N/A,FALSE,"Capital Input";#N/A,#N/A,FALSE,"Proforma Five Yr";#N/A,#N/A,FALSE,"Calculations";#N/A,#N/A,FALSE,"Transaction Summary-DTW"}</definedName>
    <definedName name="wrn.Complete._.Review._3_2" hidden="1">{#N/A,#N/A,FALSE,"Occ and Rate";#N/A,#N/A,FALSE,"PF Input";#N/A,#N/A,FALSE,"Capital Input";#N/A,#N/A,FALSE,"Proforma Five Yr";#N/A,#N/A,FALSE,"Calculations";#N/A,#N/A,FALSE,"Transaction Summary-DTW"}</definedName>
    <definedName name="wrn.Complete._.Review._3_3" hidden="1">{#N/A,#N/A,FALSE,"Occ and Rate";#N/A,#N/A,FALSE,"PF Input";#N/A,#N/A,FALSE,"Capital Input";#N/A,#N/A,FALSE,"Proforma Five Yr";#N/A,#N/A,FALSE,"Calculations";#N/A,#N/A,FALSE,"Transaction Summary-DTW"}</definedName>
    <definedName name="wrn.Complete._.Review._3_4" hidden="1">{#N/A,#N/A,FALSE,"Occ and Rate";#N/A,#N/A,FALSE,"PF Input";#N/A,#N/A,FALSE,"Capital Input";#N/A,#N/A,FALSE,"Proforma Five Yr";#N/A,#N/A,FALSE,"Calculations";#N/A,#N/A,FALSE,"Transaction Summary-DTW"}</definedName>
    <definedName name="wrn.Complete._.Review._3_5" hidden="1">{#N/A,#N/A,FALSE,"Occ and Rate";#N/A,#N/A,FALSE,"PF Input";#N/A,#N/A,FALSE,"Capital Input";#N/A,#N/A,FALSE,"Proforma Five Yr";#N/A,#N/A,FALSE,"Calculations";#N/A,#N/A,FALSE,"Transaction Summary-DTW"}</definedName>
    <definedName name="wrn.Complete._.Review._4" hidden="1">{#N/A,#N/A,FALSE,"Occ and Rate";#N/A,#N/A,FALSE,"PF Input";#N/A,#N/A,FALSE,"Capital Input";#N/A,#N/A,FALSE,"Proforma Five Yr";#N/A,#N/A,FALSE,"Calculations";#N/A,#N/A,FALSE,"Transaction Summary-DTW"}</definedName>
    <definedName name="wrn.Complete._.Review._4_1" hidden="1">{#N/A,#N/A,FALSE,"Occ and Rate";#N/A,#N/A,FALSE,"PF Input";#N/A,#N/A,FALSE,"Capital Input";#N/A,#N/A,FALSE,"Proforma Five Yr";#N/A,#N/A,FALSE,"Calculations";#N/A,#N/A,FALSE,"Transaction Summary-DTW"}</definedName>
    <definedName name="wrn.Complete._.Review._4_1_1" hidden="1">{#N/A,#N/A,FALSE,"Occ and Rate";#N/A,#N/A,FALSE,"PF Input";#N/A,#N/A,FALSE,"Capital Input";#N/A,#N/A,FALSE,"Proforma Five Yr";#N/A,#N/A,FALSE,"Calculations";#N/A,#N/A,FALSE,"Transaction Summary-DTW"}</definedName>
    <definedName name="wrn.Complete._.Review._4_2" hidden="1">{#N/A,#N/A,FALSE,"Occ and Rate";#N/A,#N/A,FALSE,"PF Input";#N/A,#N/A,FALSE,"Capital Input";#N/A,#N/A,FALSE,"Proforma Five Yr";#N/A,#N/A,FALSE,"Calculations";#N/A,#N/A,FALSE,"Transaction Summary-DTW"}</definedName>
    <definedName name="wrn.Complete._.Review._4_3" hidden="1">{#N/A,#N/A,FALSE,"Occ and Rate";#N/A,#N/A,FALSE,"PF Input";#N/A,#N/A,FALSE,"Capital Input";#N/A,#N/A,FALSE,"Proforma Five Yr";#N/A,#N/A,FALSE,"Calculations";#N/A,#N/A,FALSE,"Transaction Summary-DTW"}</definedName>
    <definedName name="wrn.Complete._.Review._4_4" hidden="1">{#N/A,#N/A,FALSE,"Occ and Rate";#N/A,#N/A,FALSE,"PF Input";#N/A,#N/A,FALSE,"Capital Input";#N/A,#N/A,FALSE,"Proforma Five Yr";#N/A,#N/A,FALSE,"Calculations";#N/A,#N/A,FALSE,"Transaction Summary-DTW"}</definedName>
    <definedName name="wrn.Complete._.Review._4_5" hidden="1">{#N/A,#N/A,FALSE,"Occ and Rate";#N/A,#N/A,FALSE,"PF Input";#N/A,#N/A,FALSE,"Capital Input";#N/A,#N/A,FALSE,"Proforma Five Yr";#N/A,#N/A,FALSE,"Calculations";#N/A,#N/A,FALSE,"Transaction Summary-DTW"}</definedName>
    <definedName name="wrn.Complete._.Review._5" hidden="1">{#N/A,#N/A,FALSE,"Occ and Rate";#N/A,#N/A,FALSE,"PF Input";#N/A,#N/A,FALSE,"Capital Input";#N/A,#N/A,FALSE,"Proforma Five Yr";#N/A,#N/A,FALSE,"Calculations";#N/A,#N/A,FALSE,"Transaction Summary-DTW"}</definedName>
    <definedName name="wrn.Complete._.Review._5_1" hidden="1">{#N/A,#N/A,FALSE,"Occ and Rate";#N/A,#N/A,FALSE,"PF Input";#N/A,#N/A,FALSE,"Capital Input";#N/A,#N/A,FALSE,"Proforma Five Yr";#N/A,#N/A,FALSE,"Calculations";#N/A,#N/A,FALSE,"Transaction Summary-DTW"}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nst_Monthly." hidden="1">{"Const_Monthly",#N/A,FALSE,"Construction"}</definedName>
    <definedName name="wrn.Construction._.Costs." hidden="1">{"Construction Costs",#N/A,FALSE,"Total Costs"}</definedName>
    <definedName name="wrn.Construction_Summary." hidden="1">{#N/A,#N/A,FALSE,"Construction"}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tage._.Summary." hidden="1">{"cot1",#N/A,FALSE,"Cottages";"cot2",#N/A,FALSE,"Cottages";"cot3",#N/A,FALSE,"Cottages"}</definedName>
    <definedName name="wrn.Crabtree._.Office._.Building." hidden="1">{#N/A,#N/A,FALSE,"Project Investment Summary";#N/A,#N/A,FALSE,"Project Finance Summary";#N/A,#N/A,FALSE,"Development Summary";#N/A,#N/A,FALSE,"Development Detail";#N/A,#N/A,FALSE,"Lease-Up Cost Projections";#N/A,#N/A,FALSE,"Overall Assumptions";#N/A,#N/A,FALSE,"Operating Income";#N/A,#N/A,FALSE,"Rent Roll-Up";#N/A,#N/A,FALSE,"Estimated Mkt Value"}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RREN." hidden="1">{#N/A,#N/A,FALSE,"Track";"Summary",#N/A,FALSE,"Summary";#N/A,#N/A,FALSE,"Sources &amp; Uses";#N/A,#N/A,FALSE,"Annual CFs";"Budget",#N/A,FALSE,"Renovation PF";"Renovation PF",#N/A,FALSE,"Renovation PF";"Hotel Model",#N/A,FALSE,"Renovation PF";"Hotel Financials",#N/A,FALSE,"Renovation PF";"Occupancy #",#N/A,FALSE,"Renovation PF";#N/A,#N/A,FALSE,"Restaurants";#N/A,#N/A,FALSE,"Lounges";#N/A,#N/A,FALSE,"Clubs";#N/A,#N/A,FALSE,"Shows";#N/A,#N/A,FALSE,"Outdoor";#N/A,#N/A,FALSE,"Banquet";#N/A,#N/A,FALSE,"Retail";#N/A,#N/A,FALSE,"Casino"}</definedName>
    <definedName name="wrn.data." hidden="1">{"data",#N/A,FALSE,"INPUT"}</definedName>
    <definedName name="wrn.data5" hidden="1">{"data",#N/A,FALSE,"INPUT"}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ownside." hidden="1">{"Downside",#N/A,FALSE,"Downside"}</definedName>
    <definedName name="wrn.Draw._.Submittal." hidden="1">{#N/A,#N/A,FALSE,"SS(Gross)";#N/A,#N/A,FALSE,"SS(Net)";#N/A,#N/A,FALSE,"Invoice";#N/A,#N/A,FALSE,"G702";#N/A,#N/A,FALSE,"G703"}</definedName>
    <definedName name="wrn.Excavation." hidden="1">{"excavation",#N/A,FALSE,"DETAIL.XLS"}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itAndSalesAssumptions.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terior._.Wall." hidden="1">{#N/A,#N/A,FALSE,"Paramters";"print range",#N/A,FALSE,"GSF.XLS";"exterior wall",#N/A,FALSE,"DETAIL.XLS"}</definedName>
    <definedName name="wrn.Fair._.Share._.Calcs." hidden="1">{#N/A,#N/A,FALSE,"Fair Share"}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i1cd" hidden="1">{#N/A,#N/A,FALSE,"NO.1"}</definedName>
    <definedName name="wrn.FCI1CF." hidden="1">{#N/A,#N/A,FALSE,"NO.1"}</definedName>
    <definedName name="wrn.Feb98." hidden="1">{"sheet a",#N/A,FALSE,"A";"2 9 casflow",#N/A,FALSE,"B"}</definedName>
    <definedName name="wrn.Final._.Output." hidden="1">{#N/A,#N/A,FALSE,"Final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summ." hidden="1">{"Finsumm",#N/A,FALSE,"Summary Analysis"}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xed._.Rate._.Bonds." hidden="1">{"Fixed Rate Bonds",#N/A,FALSE,"Fixed"}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schedules." hidden="1">{"FOschedule1",#N/A,FALSE,"Sheet1";"FOschedule2",#N/A,FALSE,"Sheet1";"FOschedule3",#N/A,FALSE,"Sheet1"}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ull._.Acquisition._.Model." hidden="1">{#N/A,#N/A,FALSE,"Project Costs";#N/A,#N/A,FALSE,"Proforma";#N/A,#N/A,FALSE,"Source &amp; Use ";#N/A,#N/A,FALSE,"Tax Credit Calc"}</definedName>
    <definedName name="wrn.Full._.Print.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Garage." hidden="1">{#N/A,#N/A,FALSE,"Garage Assumpt 1";#N/A,#N/A,FALSE,"Garage Op Proj";#N/A,#N/A,FALSE,"Hist I&amp;E";#N/A,#N/A,FALSE,"Garage Lease"}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S." hidden="1">{#N/A,#N/A,FALSE,"ACQ_GRAPHS";#N/A,#N/A,FALSE,"T_1 GRAPHS";#N/A,#N/A,FALSE,"T_2 GRAPHS";#N/A,#N/A,FALSE,"COMB_GRAPHS"}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und._.Arena._.PCD." hidden="1">{#N/A,#N/A,TRUE,"Gund Arena PCD";#N/A,#N/A,TRUE,"Gund Arena IOR"}</definedName>
    <definedName name="wrn.Hightower." hidden="1">{"Hightower-Investor",#N/A,FALSE,"Hightower";"Hightower-Property",#N/A,FALSE,"Hightower"}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M._.UPDATE." hidden="1">{"Summary",#N/A,TRUE,"Summary";"Sources &amp; Uses",#N/A,TRUE,"Sources &amp; Uses";"Project Cash Flow",#N/A,TRUE,"Annual CFs";"Project Costs",#N/A,TRUE,"Annual CFs";"Net Cash Flow &amp; Net Sale Proceeds",#N/A,TRUE,"Annual CFs";"Budget",#N/A,TRUE,"Renovation PF";"Occupancy #",#N/A,TRUE,"Room Occupancy";"Hotel Financials",#N/A,TRUE,"Hotel Financials"}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s." hidden="1">{"Inputs",#N/A,FALSE,"Inputs"}</definedName>
    <definedName name="wrn.Interior._.finishes." hidden="1">{"interior finishes",#N/A,FALSE,"DETAIL.XLS"}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Review._1" hidden="1">{#N/A,#N/A,FALSE,"Proforma Five Yr";#N/A,#N/A,FALSE,"Capital Input";#N/A,#N/A,FALSE,"Calculations";#N/A,#N/A,FALSE,"Transaction Summary-DTW"}</definedName>
    <definedName name="wrn.Investment._.Review._1_1" hidden="1">{#N/A,#N/A,FALSE,"Proforma Five Yr";#N/A,#N/A,FALSE,"Capital Input";#N/A,#N/A,FALSE,"Calculations";#N/A,#N/A,FALSE,"Transaction Summary-DTW"}</definedName>
    <definedName name="wrn.Investment._.Review._1_1_1" hidden="1">{#N/A,#N/A,FALSE,"Proforma Five Yr";#N/A,#N/A,FALSE,"Capital Input";#N/A,#N/A,FALSE,"Calculations";#N/A,#N/A,FALSE,"Transaction Summary-DTW"}</definedName>
    <definedName name="wrn.Investment._.Review._1_2" hidden="1">{#N/A,#N/A,FALSE,"Proforma Five Yr";#N/A,#N/A,FALSE,"Capital Input";#N/A,#N/A,FALSE,"Calculations";#N/A,#N/A,FALSE,"Transaction Summary-DTW"}</definedName>
    <definedName name="wrn.Investment._.Review._1_3" hidden="1">{#N/A,#N/A,FALSE,"Proforma Five Yr";#N/A,#N/A,FALSE,"Capital Input";#N/A,#N/A,FALSE,"Calculations";#N/A,#N/A,FALSE,"Transaction Summary-DTW"}</definedName>
    <definedName name="wrn.Investment._.Review._1_4" hidden="1">{#N/A,#N/A,FALSE,"Proforma Five Yr";#N/A,#N/A,FALSE,"Capital Input";#N/A,#N/A,FALSE,"Calculations";#N/A,#N/A,FALSE,"Transaction Summary-DTW"}</definedName>
    <definedName name="wrn.Investment._.Review._1_5" hidden="1">{#N/A,#N/A,FALSE,"Proforma Five Yr";#N/A,#N/A,FALSE,"Capital Input";#N/A,#N/A,FALSE,"Calculations";#N/A,#N/A,FALSE,"Transaction Summary-DTW"}</definedName>
    <definedName name="wrn.Investment._.Review._2" hidden="1">{#N/A,#N/A,FALSE,"Proforma Five Yr";#N/A,#N/A,FALSE,"Capital Input";#N/A,#N/A,FALSE,"Calculations";#N/A,#N/A,FALSE,"Transaction Summary-DTW"}</definedName>
    <definedName name="wrn.Investment._.Review._2_1" hidden="1">{#N/A,#N/A,FALSE,"Proforma Five Yr";#N/A,#N/A,FALSE,"Capital Input";#N/A,#N/A,FALSE,"Calculations";#N/A,#N/A,FALSE,"Transaction Summary-DTW"}</definedName>
    <definedName name="wrn.Investment._.Review._2_1_1" hidden="1">{#N/A,#N/A,FALSE,"Proforma Five Yr";#N/A,#N/A,FALSE,"Capital Input";#N/A,#N/A,FALSE,"Calculations";#N/A,#N/A,FALSE,"Transaction Summary-DTW"}</definedName>
    <definedName name="wrn.Investment._.Review._2_2" hidden="1">{#N/A,#N/A,FALSE,"Proforma Five Yr";#N/A,#N/A,FALSE,"Capital Input";#N/A,#N/A,FALSE,"Calculations";#N/A,#N/A,FALSE,"Transaction Summary-DTW"}</definedName>
    <definedName name="wrn.Investment._.Review._2_3" hidden="1">{#N/A,#N/A,FALSE,"Proforma Five Yr";#N/A,#N/A,FALSE,"Capital Input";#N/A,#N/A,FALSE,"Calculations";#N/A,#N/A,FALSE,"Transaction Summary-DTW"}</definedName>
    <definedName name="wrn.Investment._.Review._2_4" hidden="1">{#N/A,#N/A,FALSE,"Proforma Five Yr";#N/A,#N/A,FALSE,"Capital Input";#N/A,#N/A,FALSE,"Calculations";#N/A,#N/A,FALSE,"Transaction Summary-DTW"}</definedName>
    <definedName name="wrn.Investment._.Review._2_5" hidden="1">{#N/A,#N/A,FALSE,"Proforma Five Yr";#N/A,#N/A,FALSE,"Capital Input";#N/A,#N/A,FALSE,"Calculations";#N/A,#N/A,FALSE,"Transaction Summary-DTW"}</definedName>
    <definedName name="wrn.Investment._.Review._3" hidden="1">{#N/A,#N/A,FALSE,"Proforma Five Yr";#N/A,#N/A,FALSE,"Capital Input";#N/A,#N/A,FALSE,"Calculations";#N/A,#N/A,FALSE,"Transaction Summary-DTW"}</definedName>
    <definedName name="wrn.Investment._.Review._3_1" hidden="1">{#N/A,#N/A,FALSE,"Proforma Five Yr";#N/A,#N/A,FALSE,"Capital Input";#N/A,#N/A,FALSE,"Calculations";#N/A,#N/A,FALSE,"Transaction Summary-DTW"}</definedName>
    <definedName name="wrn.Investment._.Review._3_1_1" hidden="1">{#N/A,#N/A,FALSE,"Proforma Five Yr";#N/A,#N/A,FALSE,"Capital Input";#N/A,#N/A,FALSE,"Calculations";#N/A,#N/A,FALSE,"Transaction Summary-DTW"}</definedName>
    <definedName name="wrn.Investment._.Review._3_2" hidden="1">{#N/A,#N/A,FALSE,"Proforma Five Yr";#N/A,#N/A,FALSE,"Capital Input";#N/A,#N/A,FALSE,"Calculations";#N/A,#N/A,FALSE,"Transaction Summary-DTW"}</definedName>
    <definedName name="wrn.Investment._.Review._3_3" hidden="1">{#N/A,#N/A,FALSE,"Proforma Five Yr";#N/A,#N/A,FALSE,"Capital Input";#N/A,#N/A,FALSE,"Calculations";#N/A,#N/A,FALSE,"Transaction Summary-DTW"}</definedName>
    <definedName name="wrn.Investment._.Review._3_4" hidden="1">{#N/A,#N/A,FALSE,"Proforma Five Yr";#N/A,#N/A,FALSE,"Capital Input";#N/A,#N/A,FALSE,"Calculations";#N/A,#N/A,FALSE,"Transaction Summary-DTW"}</definedName>
    <definedName name="wrn.Investment._.Review._3_5" hidden="1">{#N/A,#N/A,FALSE,"Proforma Five Yr";#N/A,#N/A,FALSE,"Capital Input";#N/A,#N/A,FALSE,"Calculations";#N/A,#N/A,FALSE,"Transaction Summary-DTW"}</definedName>
    <definedName name="wrn.Investment._.Review._4" hidden="1">{#N/A,#N/A,FALSE,"Proforma Five Yr";#N/A,#N/A,FALSE,"Capital Input";#N/A,#N/A,FALSE,"Calculations";#N/A,#N/A,FALSE,"Transaction Summary-DTW"}</definedName>
    <definedName name="wrn.Investment._.Review._4_1" hidden="1">{#N/A,#N/A,FALSE,"Proforma Five Yr";#N/A,#N/A,FALSE,"Capital Input";#N/A,#N/A,FALSE,"Calculations";#N/A,#N/A,FALSE,"Transaction Summary-DTW"}</definedName>
    <definedName name="wrn.Investment._.Review._4_1_1" hidden="1">{#N/A,#N/A,FALSE,"Proforma Five Yr";#N/A,#N/A,FALSE,"Capital Input";#N/A,#N/A,FALSE,"Calculations";#N/A,#N/A,FALSE,"Transaction Summary-DTW"}</definedName>
    <definedName name="wrn.Investment._.Review._4_2" hidden="1">{#N/A,#N/A,FALSE,"Proforma Five Yr";#N/A,#N/A,FALSE,"Capital Input";#N/A,#N/A,FALSE,"Calculations";#N/A,#N/A,FALSE,"Transaction Summary-DTW"}</definedName>
    <definedName name="wrn.Investment._.Review._4_3" hidden="1">{#N/A,#N/A,FALSE,"Proforma Five Yr";#N/A,#N/A,FALSE,"Capital Input";#N/A,#N/A,FALSE,"Calculations";#N/A,#N/A,FALSE,"Transaction Summary-DTW"}</definedName>
    <definedName name="wrn.Investment._.Review._4_4" hidden="1">{#N/A,#N/A,FALSE,"Proforma Five Yr";#N/A,#N/A,FALSE,"Capital Input";#N/A,#N/A,FALSE,"Calculations";#N/A,#N/A,FALSE,"Transaction Summary-DTW"}</definedName>
    <definedName name="wrn.Investment._.Review._4_5" hidden="1">{#N/A,#N/A,FALSE,"Proforma Five Yr";#N/A,#N/A,FALSE,"Capital Input";#N/A,#N/A,FALSE,"Calculations";#N/A,#N/A,FALSE,"Transaction Summary-DTW"}</definedName>
    <definedName name="wrn.Investment._.Review._5" hidden="1">{#N/A,#N/A,FALSE,"Proforma Five Yr";#N/A,#N/A,FALSE,"Capital Input";#N/A,#N/A,FALSE,"Calculations";#N/A,#N/A,FALSE,"Transaction Summary-DTW"}</definedName>
    <definedName name="wrn.Investment._.Review._5_1" hidden="1">{#N/A,#N/A,FALSE,"Proforma Five Yr";#N/A,#N/A,FALSE,"Capital Input";#N/A,#N/A,FALSE,"Calculations";#N/A,#N/A,FALSE,"Transaction Summary-DTW"}</definedName>
    <definedName name="wrn.IRR_Calc." hidden="1">{#N/A,#N/A,FALSE,"objekt";#N/A,#N/A,FALSE,"huurders";#N/A,#N/A,FALSE,"cash flow"}</definedName>
    <definedName name="wrn.jan._.98." hidden="1">{"sheet a",#N/A,FALSE,"A";"sheet b 1",#N/A,FALSE,"B";"sheet b 2",#N/A,FALSE,"B"}</definedName>
    <definedName name="wrn.July._.5." hidden="1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R_Report." hidden="1">{"Venture Summary",#N/A,TRUE,"Summary";"Budget Summary",#N/A,TRUE,"Summary";"Annual CF Summary",#N/A,TRUE,"Summary";"Project Cash Flows",#N/A,TRUE,"Summary";"Hotel Inflated CFs",#N/A,TRUE,"Summary";"Hotel Uninflated CF",#N/A,TRUE,"Summary";"Hotel PF Assumptions",#N/A,TRUE,"Summary"}</definedName>
    <definedName name="wrn.Land._.Takedown._.Summary." hidden="1">{"land1",#N/A,FALSE,"Land";"land2",#N/A,FALSE,"Land";"land3",#N/A,FALSE,"Land"}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atent._.Demand._.Inputs." hidden="1">{#N/A,#N/A,FALSE,"Latent"}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oan._.Summary." hidden="1">{"Loan Summary",#N/A,FALSE,"Phase 1 loan &amp; data"}</definedName>
    <definedName name="wrn.LoanInformation." hidden="1">{#N/A,#N/A,FALSE,"LoanAssumptions"}</definedName>
    <definedName name="wrn.Loanrecap." hidden="1">{"Loanrecap",#N/A,FALSE,"Construction"}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er._.Tier._.Analysis.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TV._.Output." hidden="1">{"LTV Output",#N/A,FALSE,"Output"}</definedName>
    <definedName name="wrn.Market._.Values." hidden="1">{#N/A,#N/A,TRUE,"10 Yr Hold";#N/A,#N/A,TRUE,"7 Yr Hold";#N/A,#N/A,TRUE,"5 Yr Hold";#N/A,#N/A,TRUE,"3 Yr Hold"}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INRENT." hidden="1">{"MINRENT2",#N/A,FALSE,"SCHEDULE B"}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Detail._.Reports." hidden="1">{"Detail Project Cash Flow",#N/A,TRUE,"Cash Flow Grid";"Financing Calculation",#N/A,TRUE,"Cash Flow Grid"}</definedName>
    <definedName name="wrn.monthly._.financial." hidden="1">{#N/A,#N/A,FALSE,"SUMMARY 4a";#N/A,#N/A,FALSE,"GBA 4b";#N/A,#N/A,FALSE,"TENANT 4c";#N/A,#N/A,FALSE,"BUDGET DETAIL";#N/A,#N/A,FALSE,"PRO FORMA"}</definedName>
    <definedName name="wrn.MonthlyRentRoll." hidden="1">{"MonthlyRentRoll",#N/A,FALSE,"RentRoll"}</definedName>
    <definedName name="wrn.Months._.98._.to._.01." hidden="1">{"98",#N/A,FALSE,"Month";"99",#N/A,FALSE,"Month";"00",#N/A,FALSE,"Month";"01",#N/A,FALSE,"Month"}</definedName>
    <definedName name="wrn.New._.Report." hidden="1">{"Portfolio Analysis",#N/A,FALSE,"Portfolio Analysis";"Asset 1",#N/A,FALSE,"Portfolio Analysis";"Asset 2",#N/A,FALSE,"Portfolio Analysis";"Asset 3",#N/A,FALSE,"Portfolio Analysis";"Rent Roll 1",#N/A,FALSE,"Portfolio Analysis";"Rent Roll 2",#N/A,FALSE,"Portfolio Analysis";"Rent Roll 3",#N/A,FALSE,"Portfolio Analysis"}</definedName>
    <definedName name="wrn.Nico." hidden="1">{#N/A,#N/A,TRUE,"Cover";#N/A,#N/A,TRUE,"Transaction Summary";#N/A,#N/A,TRUE,"Earnings Impact";#N/A,#N/A,TRUE,"accretion dilution"}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Occupancy._.Calcs." hidden="1">{#N/A,#N/A,FALSE,"Occ. Calcs"}</definedName>
    <definedName name="wrn.OFFICE._.BUDGET." hidden="1">{#N/A,#N/A,FALSE,"LP Exp";#N/A,#N/A,FALSE,"Salary";#N/A,#N/A,FALSE,"Admin Exp";#N/A,#N/A,FALSE,"QTS Bud";#N/A,#N/A,FALSE,"Marketing"}</definedName>
    <definedName name="wrn.ontario." hidden="1">{"page1",#N/A,FALSE,"sheet 1";"Page2",#N/A,FALSE,"sheet 1";"page3",#N/A,FALSE,"sheet 1";"page4",#N/A,FALSE,"sheet 1"}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perations._.Review._1" hidden="1">{#N/A,#N/A,FALSE,"Proforma Five Yr";#N/A,#N/A,FALSE,"Occ and Rate";#N/A,#N/A,FALSE,"PF Input";#N/A,#N/A,FALSE,"Hotcomps"}</definedName>
    <definedName name="wrn.Operations._.Review._1_1" hidden="1">{#N/A,#N/A,FALSE,"Proforma Five Yr";#N/A,#N/A,FALSE,"Occ and Rate";#N/A,#N/A,FALSE,"PF Input";#N/A,#N/A,FALSE,"Hotcomps"}</definedName>
    <definedName name="wrn.Operations._.Review._1_1_1" hidden="1">{#N/A,#N/A,FALSE,"Proforma Five Yr";#N/A,#N/A,FALSE,"Occ and Rate";#N/A,#N/A,FALSE,"PF Input";#N/A,#N/A,FALSE,"Hotcomps"}</definedName>
    <definedName name="wrn.Operations._.Review._1_2" hidden="1">{#N/A,#N/A,FALSE,"Proforma Five Yr";#N/A,#N/A,FALSE,"Occ and Rate";#N/A,#N/A,FALSE,"PF Input";#N/A,#N/A,FALSE,"Hotcomps"}</definedName>
    <definedName name="wrn.Operations._.Review._1_3" hidden="1">{#N/A,#N/A,FALSE,"Proforma Five Yr";#N/A,#N/A,FALSE,"Occ and Rate";#N/A,#N/A,FALSE,"PF Input";#N/A,#N/A,FALSE,"Hotcomps"}</definedName>
    <definedName name="wrn.Operations._.Review._1_4" hidden="1">{#N/A,#N/A,FALSE,"Proforma Five Yr";#N/A,#N/A,FALSE,"Occ and Rate";#N/A,#N/A,FALSE,"PF Input";#N/A,#N/A,FALSE,"Hotcomps"}</definedName>
    <definedName name="wrn.Operations._.Review._1_5" hidden="1">{#N/A,#N/A,FALSE,"Proforma Five Yr";#N/A,#N/A,FALSE,"Occ and Rate";#N/A,#N/A,FALSE,"PF Input";#N/A,#N/A,FALSE,"Hotcomps"}</definedName>
    <definedName name="wrn.Operations._.Review._2" hidden="1">{#N/A,#N/A,FALSE,"Proforma Five Yr";#N/A,#N/A,FALSE,"Occ and Rate";#N/A,#N/A,FALSE,"PF Input";#N/A,#N/A,FALSE,"Hotcomps"}</definedName>
    <definedName name="wrn.Operations._.Review._2_1" hidden="1">{#N/A,#N/A,FALSE,"Proforma Five Yr";#N/A,#N/A,FALSE,"Occ and Rate";#N/A,#N/A,FALSE,"PF Input";#N/A,#N/A,FALSE,"Hotcomps"}</definedName>
    <definedName name="wrn.Operations._.Review._2_1_1" hidden="1">{#N/A,#N/A,FALSE,"Proforma Five Yr";#N/A,#N/A,FALSE,"Occ and Rate";#N/A,#N/A,FALSE,"PF Input";#N/A,#N/A,FALSE,"Hotcomps"}</definedName>
    <definedName name="wrn.Operations._.Review._2_2" hidden="1">{#N/A,#N/A,FALSE,"Proforma Five Yr";#N/A,#N/A,FALSE,"Occ and Rate";#N/A,#N/A,FALSE,"PF Input";#N/A,#N/A,FALSE,"Hotcomps"}</definedName>
    <definedName name="wrn.Operations._.Review._2_3" hidden="1">{#N/A,#N/A,FALSE,"Proforma Five Yr";#N/A,#N/A,FALSE,"Occ and Rate";#N/A,#N/A,FALSE,"PF Input";#N/A,#N/A,FALSE,"Hotcomps"}</definedName>
    <definedName name="wrn.Operations._.Review._2_4" hidden="1">{#N/A,#N/A,FALSE,"Proforma Five Yr";#N/A,#N/A,FALSE,"Occ and Rate";#N/A,#N/A,FALSE,"PF Input";#N/A,#N/A,FALSE,"Hotcomps"}</definedName>
    <definedName name="wrn.Operations._.Review._2_5" hidden="1">{#N/A,#N/A,FALSE,"Proforma Five Yr";#N/A,#N/A,FALSE,"Occ and Rate";#N/A,#N/A,FALSE,"PF Input";#N/A,#N/A,FALSE,"Hotcomps"}</definedName>
    <definedName name="wrn.Operations._.Review._3" hidden="1">{#N/A,#N/A,FALSE,"Proforma Five Yr";#N/A,#N/A,FALSE,"Occ and Rate";#N/A,#N/A,FALSE,"PF Input";#N/A,#N/A,FALSE,"Hotcomps"}</definedName>
    <definedName name="wrn.Operations._.Review._3_1" hidden="1">{#N/A,#N/A,FALSE,"Proforma Five Yr";#N/A,#N/A,FALSE,"Occ and Rate";#N/A,#N/A,FALSE,"PF Input";#N/A,#N/A,FALSE,"Hotcomps"}</definedName>
    <definedName name="wrn.Operations._.Review._3_1_1" hidden="1">{#N/A,#N/A,FALSE,"Proforma Five Yr";#N/A,#N/A,FALSE,"Occ and Rate";#N/A,#N/A,FALSE,"PF Input";#N/A,#N/A,FALSE,"Hotcomps"}</definedName>
    <definedName name="wrn.Operations._.Review._3_2" hidden="1">{#N/A,#N/A,FALSE,"Proforma Five Yr";#N/A,#N/A,FALSE,"Occ and Rate";#N/A,#N/A,FALSE,"PF Input";#N/A,#N/A,FALSE,"Hotcomps"}</definedName>
    <definedName name="wrn.Operations._.Review._3_3" hidden="1">{#N/A,#N/A,FALSE,"Proforma Five Yr";#N/A,#N/A,FALSE,"Occ and Rate";#N/A,#N/A,FALSE,"PF Input";#N/A,#N/A,FALSE,"Hotcomps"}</definedName>
    <definedName name="wrn.Operations._.Review._3_4" hidden="1">{#N/A,#N/A,FALSE,"Proforma Five Yr";#N/A,#N/A,FALSE,"Occ and Rate";#N/A,#N/A,FALSE,"PF Input";#N/A,#N/A,FALSE,"Hotcomps"}</definedName>
    <definedName name="wrn.Operations._.Review._3_5" hidden="1">{#N/A,#N/A,FALSE,"Proforma Five Yr";#N/A,#N/A,FALSE,"Occ and Rate";#N/A,#N/A,FALSE,"PF Input";#N/A,#N/A,FALSE,"Hotcomps"}</definedName>
    <definedName name="wrn.Operations._.Review._4" hidden="1">{#N/A,#N/A,FALSE,"Proforma Five Yr";#N/A,#N/A,FALSE,"Occ and Rate";#N/A,#N/A,FALSE,"PF Input";#N/A,#N/A,FALSE,"Hotcomps"}</definedName>
    <definedName name="wrn.Operations._.Review._4_1" hidden="1">{#N/A,#N/A,FALSE,"Proforma Five Yr";#N/A,#N/A,FALSE,"Occ and Rate";#N/A,#N/A,FALSE,"PF Input";#N/A,#N/A,FALSE,"Hotcomps"}</definedName>
    <definedName name="wrn.Operations._.Review._4_1_1" hidden="1">{#N/A,#N/A,FALSE,"Proforma Five Yr";#N/A,#N/A,FALSE,"Occ and Rate";#N/A,#N/A,FALSE,"PF Input";#N/A,#N/A,FALSE,"Hotcomps"}</definedName>
    <definedName name="wrn.Operations._.Review._4_2" hidden="1">{#N/A,#N/A,FALSE,"Proforma Five Yr";#N/A,#N/A,FALSE,"Occ and Rate";#N/A,#N/A,FALSE,"PF Input";#N/A,#N/A,FALSE,"Hotcomps"}</definedName>
    <definedName name="wrn.Operations._.Review._4_3" hidden="1">{#N/A,#N/A,FALSE,"Proforma Five Yr";#N/A,#N/A,FALSE,"Occ and Rate";#N/A,#N/A,FALSE,"PF Input";#N/A,#N/A,FALSE,"Hotcomps"}</definedName>
    <definedName name="wrn.Operations._.Review._4_4" hidden="1">{#N/A,#N/A,FALSE,"Proforma Five Yr";#N/A,#N/A,FALSE,"Occ and Rate";#N/A,#N/A,FALSE,"PF Input";#N/A,#N/A,FALSE,"Hotcomps"}</definedName>
    <definedName name="wrn.Operations._.Review._4_5" hidden="1">{#N/A,#N/A,FALSE,"Proforma Five Yr";#N/A,#N/A,FALSE,"Occ and Rate";#N/A,#N/A,FALSE,"PF Input";#N/A,#N/A,FALSE,"Hotcomps"}</definedName>
    <definedName name="wrn.Operations._.Review._5" hidden="1">{#N/A,#N/A,FALSE,"Proforma Five Yr";#N/A,#N/A,FALSE,"Occ and Rate";#N/A,#N/A,FALSE,"PF Input";#N/A,#N/A,FALSE,"Hotcomps"}</definedName>
    <definedName name="wrn.Operations._.Review._5_1" hidden="1">{#N/A,#N/A,FALSE,"Proforma Five Yr";#N/A,#N/A,FALSE,"Occ and Rate";#N/A,#N/A,FALSE,"PF Input";#N/A,#N/A,FALSE,"Hotcomps"}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Output." hidden="1">{#N/A,#N/A,FALSE,"Summary";#N/A,#N/A,FALSE,"Input";#N/A,#N/A,FALSE,"Segment"}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hidden="1">{#N/A,#N/A,FALSE,"1Summary";#N/A,#N/A,FALSE,"2Assumptions";#N/A,#N/A,FALSE,"3Cash Flow";#N/A,#N/A,FALSE,"6Residual";#N/A,#N/A,FALSE,"AExpiration Schedule"}</definedName>
    <definedName name="wrn.Pavilion." hidden="1">{"Pavilion-Investor",#N/A,FALSE,"Pavilion";"Pavilion-Property",#N/A,FALSE,"Pavilion"}</definedName>
    <definedName name="wrn.Penetration." hidden="1">{#N/A,#N/A,FALSE,"Mkt Pen"}</definedName>
    <definedName name="wrn.PERCENTAGE._.RENT." hidden="1">{"PERCENTAGE RENT",#N/A,TRUE,"SCHEDULE B"}</definedName>
    <definedName name="wrn.PHA._.Proformas." hidden="1">{"Proforma - 10y PHA All","all PHA",FALSE,"PHA Proformas";"Proforma - 10yr PHA op sub","op sub",FALSE,"PHA Proformas";"Proforma - 10yr cap only","cap only",FALSE,"PHA Proformas"}</definedName>
    <definedName name="wrn.Phase._.I." hidden="1">{#N/A,#N/A,FALSE,"Transaction Summary-DTW";#N/A,#N/A,FALSE,"Proforma Five Yr";#N/A,#N/A,FALSE,"Occ and Rate"}</definedName>
    <definedName name="wrn.Phase._.I._1" hidden="1">{#N/A,#N/A,FALSE,"Transaction Summary-DTW";#N/A,#N/A,FALSE,"Proforma Five Yr";#N/A,#N/A,FALSE,"Occ and Rate"}</definedName>
    <definedName name="wrn.Phase._.I._1_1" hidden="1">{#N/A,#N/A,FALSE,"Transaction Summary-DTW";#N/A,#N/A,FALSE,"Proforma Five Yr";#N/A,#N/A,FALSE,"Occ and Rate"}</definedName>
    <definedName name="wrn.Phase._.I._1_1_1" hidden="1">{#N/A,#N/A,FALSE,"Transaction Summary-DTW";#N/A,#N/A,FALSE,"Proforma Five Yr";#N/A,#N/A,FALSE,"Occ and Rate"}</definedName>
    <definedName name="wrn.Phase._.I._1_2" hidden="1">{#N/A,#N/A,FALSE,"Transaction Summary-DTW";#N/A,#N/A,FALSE,"Proforma Five Yr";#N/A,#N/A,FALSE,"Occ and Rate"}</definedName>
    <definedName name="wrn.Phase._.I._1_3" hidden="1">{#N/A,#N/A,FALSE,"Transaction Summary-DTW";#N/A,#N/A,FALSE,"Proforma Five Yr";#N/A,#N/A,FALSE,"Occ and Rate"}</definedName>
    <definedName name="wrn.Phase._.I._1_4" hidden="1">{#N/A,#N/A,FALSE,"Transaction Summary-DTW";#N/A,#N/A,FALSE,"Proforma Five Yr";#N/A,#N/A,FALSE,"Occ and Rate"}</definedName>
    <definedName name="wrn.Phase._.I._1_5" hidden="1">{#N/A,#N/A,FALSE,"Transaction Summary-DTW";#N/A,#N/A,FALSE,"Proforma Five Yr";#N/A,#N/A,FALSE,"Occ and Rate"}</definedName>
    <definedName name="wrn.Phase._.I._2" hidden="1">{#N/A,#N/A,FALSE,"Transaction Summary-DTW";#N/A,#N/A,FALSE,"Proforma Five Yr";#N/A,#N/A,FALSE,"Occ and Rate"}</definedName>
    <definedName name="wrn.Phase._.I._2_1" hidden="1">{#N/A,#N/A,FALSE,"Transaction Summary-DTW";#N/A,#N/A,FALSE,"Proforma Five Yr";#N/A,#N/A,FALSE,"Occ and Rate"}</definedName>
    <definedName name="wrn.Phase._.I._2_1_1" hidden="1">{#N/A,#N/A,FALSE,"Transaction Summary-DTW";#N/A,#N/A,FALSE,"Proforma Five Yr";#N/A,#N/A,FALSE,"Occ and Rate"}</definedName>
    <definedName name="wrn.Phase._.I._2_2" hidden="1">{#N/A,#N/A,FALSE,"Transaction Summary-DTW";#N/A,#N/A,FALSE,"Proforma Five Yr";#N/A,#N/A,FALSE,"Occ and Rate"}</definedName>
    <definedName name="wrn.Phase._.I._2_3" hidden="1">{#N/A,#N/A,FALSE,"Transaction Summary-DTW";#N/A,#N/A,FALSE,"Proforma Five Yr";#N/A,#N/A,FALSE,"Occ and Rate"}</definedName>
    <definedName name="wrn.Phase._.I._2_4" hidden="1">{#N/A,#N/A,FALSE,"Transaction Summary-DTW";#N/A,#N/A,FALSE,"Proforma Five Yr";#N/A,#N/A,FALSE,"Occ and Rate"}</definedName>
    <definedName name="wrn.Phase._.I._2_5" hidden="1">{#N/A,#N/A,FALSE,"Transaction Summary-DTW";#N/A,#N/A,FALSE,"Proforma Five Yr";#N/A,#N/A,FALSE,"Occ and Rate"}</definedName>
    <definedName name="wrn.Phase._.I._3" hidden="1">{#N/A,#N/A,FALSE,"Transaction Summary-DTW";#N/A,#N/A,FALSE,"Proforma Five Yr";#N/A,#N/A,FALSE,"Occ and Rate"}</definedName>
    <definedName name="wrn.Phase._.I._3_1" hidden="1">{#N/A,#N/A,FALSE,"Transaction Summary-DTW";#N/A,#N/A,FALSE,"Proforma Five Yr";#N/A,#N/A,FALSE,"Occ and Rate"}</definedName>
    <definedName name="wrn.Phase._.I._3_1_1" hidden="1">{#N/A,#N/A,FALSE,"Transaction Summary-DTW";#N/A,#N/A,FALSE,"Proforma Five Yr";#N/A,#N/A,FALSE,"Occ and Rate"}</definedName>
    <definedName name="wrn.Phase._.I._3_2" hidden="1">{#N/A,#N/A,FALSE,"Transaction Summary-DTW";#N/A,#N/A,FALSE,"Proforma Five Yr";#N/A,#N/A,FALSE,"Occ and Rate"}</definedName>
    <definedName name="wrn.Phase._.I._3_3" hidden="1">{#N/A,#N/A,FALSE,"Transaction Summary-DTW";#N/A,#N/A,FALSE,"Proforma Five Yr";#N/A,#N/A,FALSE,"Occ and Rate"}</definedName>
    <definedName name="wrn.Phase._.I._3_4" hidden="1">{#N/A,#N/A,FALSE,"Transaction Summary-DTW";#N/A,#N/A,FALSE,"Proforma Five Yr";#N/A,#N/A,FALSE,"Occ and Rate"}</definedName>
    <definedName name="wrn.Phase._.I._3_5" hidden="1">{#N/A,#N/A,FALSE,"Transaction Summary-DTW";#N/A,#N/A,FALSE,"Proforma Five Yr";#N/A,#N/A,FALSE,"Occ and Rate"}</definedName>
    <definedName name="wrn.Phase._.I._4" hidden="1">{#N/A,#N/A,FALSE,"Transaction Summary-DTW";#N/A,#N/A,FALSE,"Proforma Five Yr";#N/A,#N/A,FALSE,"Occ and Rate"}</definedName>
    <definedName name="wrn.Phase._.I._4_1" hidden="1">{#N/A,#N/A,FALSE,"Transaction Summary-DTW";#N/A,#N/A,FALSE,"Proforma Five Yr";#N/A,#N/A,FALSE,"Occ and Rate"}</definedName>
    <definedName name="wrn.Phase._.I._4_1_1" hidden="1">{#N/A,#N/A,FALSE,"Transaction Summary-DTW";#N/A,#N/A,FALSE,"Proforma Five Yr";#N/A,#N/A,FALSE,"Occ and Rate"}</definedName>
    <definedName name="wrn.Phase._.I._4_2" hidden="1">{#N/A,#N/A,FALSE,"Transaction Summary-DTW";#N/A,#N/A,FALSE,"Proforma Five Yr";#N/A,#N/A,FALSE,"Occ and Rate"}</definedName>
    <definedName name="wrn.Phase._.I._4_3" hidden="1">{#N/A,#N/A,FALSE,"Transaction Summary-DTW";#N/A,#N/A,FALSE,"Proforma Five Yr";#N/A,#N/A,FALSE,"Occ and Rate"}</definedName>
    <definedName name="wrn.Phase._.I._4_4" hidden="1">{#N/A,#N/A,FALSE,"Transaction Summary-DTW";#N/A,#N/A,FALSE,"Proforma Five Yr";#N/A,#N/A,FALSE,"Occ and Rate"}</definedName>
    <definedName name="wrn.Phase._.I._4_5" hidden="1">{#N/A,#N/A,FALSE,"Transaction Summary-DTW";#N/A,#N/A,FALSE,"Proforma Five Yr";#N/A,#N/A,FALSE,"Occ and Rate"}</definedName>
    <definedName name="wrn.Phase._.I._5" hidden="1">{#N/A,#N/A,FALSE,"Transaction Summary-DTW";#N/A,#N/A,FALSE,"Proforma Five Yr";#N/A,#N/A,FALSE,"Occ and Rate"}</definedName>
    <definedName name="wrn.Phase._.I._5_1" hidden="1">{#N/A,#N/A,FALSE,"Transaction Summary-DTW";#N/A,#N/A,FALSE,"Proforma Five Yr";#N/A,#N/A,FALSE,"Occ and Rate"}</definedName>
    <definedName name="wrn.PK._.Variance." hidden="1">{#N/A,#N/A,FALSE,"399 Park Var";#N/A,#N/A,FALSE,"PK NOTES"}</definedName>
    <definedName name="wrn.Plan." hidden="1">{#N/A,#N/A,FALSE,"Highridge Return Analysis";#N/A,#N/A,FALSE,"Sale @ end of year 3 (4yr Plan)";#N/A,#N/A,FALSE,"Highridge Assumption Page"}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Summary." hidden="1">{"Consolidated Unlevered",#N/A,FALSE,"Consolidated";"Consolidated Levered",#N/A,FALSE,"Consolidated"}</definedName>
    <definedName name="wrn.Print._.Title._.and._.Contents." hidden="1">{#N/A,#N/A,FALSE,"Title";#N/A,#N/A,FALSE,"Table"}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1." hidden="1">{"Page1",#N/A,TRUE,"Sheet1";"Page2",#N/A,TRUE,"Sheet1";"Page3",#N/A,TRUE,"Sheet1"}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7" hidden="1">{"page1",#N/A,FALSE,"Model";"page2",#N/A,FALSE,"Model";"page3",#N/A,FALSE,"Model";"page4",#N/A,FALSE,"Model";"page5",#N/A,FALSE,"Model";"page6",#N/A,FALSE,"Model"}</definedName>
    <definedName name="wrn.PrintAll." hidden="1">{#N/A,#N/A,FALSE,"Broker Sheet";#N/A,#N/A,FALSE,"Exec.Summary";#N/A,#N/A,FALSE,"Argus Cash Flow";#N/A,#N/A,FALSE,"SPF";#N/A,#N/A,FALSE,"RentRoll"}</definedName>
    <definedName name="wrn.Printing._.the._.Model.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ing._.the._.Model7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Review." hidden="1">{#N/A,#N/A,FALSE,"Occ and Rate";#N/A,#N/A,FALSE,"PF Input";#N/A,#N/A,FALSE,"Proforma Five Yr";#N/A,#N/A,FALSE,"Hotcomps"}</definedName>
    <definedName name="wrn.Proforma._.Review._1" hidden="1">{#N/A,#N/A,FALSE,"Occ and Rate";#N/A,#N/A,FALSE,"PF Input";#N/A,#N/A,FALSE,"Proforma Five Yr";#N/A,#N/A,FALSE,"Hotcomps"}</definedName>
    <definedName name="wrn.Proforma._.Review._1_1" hidden="1">{#N/A,#N/A,FALSE,"Occ and Rate";#N/A,#N/A,FALSE,"PF Input";#N/A,#N/A,FALSE,"Proforma Five Yr";#N/A,#N/A,FALSE,"Hotcomps"}</definedName>
    <definedName name="wrn.Proforma._.Review._1_1_1" hidden="1">{#N/A,#N/A,FALSE,"Occ and Rate";#N/A,#N/A,FALSE,"PF Input";#N/A,#N/A,FALSE,"Proforma Five Yr";#N/A,#N/A,FALSE,"Hotcomps"}</definedName>
    <definedName name="wrn.Proforma._.Review._1_2" hidden="1">{#N/A,#N/A,FALSE,"Occ and Rate";#N/A,#N/A,FALSE,"PF Input";#N/A,#N/A,FALSE,"Proforma Five Yr";#N/A,#N/A,FALSE,"Hotcomps"}</definedName>
    <definedName name="wrn.Proforma._.Review._1_3" hidden="1">{#N/A,#N/A,FALSE,"Occ and Rate";#N/A,#N/A,FALSE,"PF Input";#N/A,#N/A,FALSE,"Proforma Five Yr";#N/A,#N/A,FALSE,"Hotcomps"}</definedName>
    <definedName name="wrn.Proforma._.Review._1_4" hidden="1">{#N/A,#N/A,FALSE,"Occ and Rate";#N/A,#N/A,FALSE,"PF Input";#N/A,#N/A,FALSE,"Proforma Five Yr";#N/A,#N/A,FALSE,"Hotcomps"}</definedName>
    <definedName name="wrn.Proforma._.Review._1_5" hidden="1">{#N/A,#N/A,FALSE,"Occ and Rate";#N/A,#N/A,FALSE,"PF Input";#N/A,#N/A,FALSE,"Proforma Five Yr";#N/A,#N/A,FALSE,"Hotcomps"}</definedName>
    <definedName name="wrn.Proforma._.Review._2" hidden="1">{#N/A,#N/A,FALSE,"Occ and Rate";#N/A,#N/A,FALSE,"PF Input";#N/A,#N/A,FALSE,"Proforma Five Yr";#N/A,#N/A,FALSE,"Hotcomps"}</definedName>
    <definedName name="wrn.Proforma._.Review._2_1" hidden="1">{#N/A,#N/A,FALSE,"Occ and Rate";#N/A,#N/A,FALSE,"PF Input";#N/A,#N/A,FALSE,"Proforma Five Yr";#N/A,#N/A,FALSE,"Hotcomps"}</definedName>
    <definedName name="wrn.Proforma._.Review._2_1_1" hidden="1">{#N/A,#N/A,FALSE,"Occ and Rate";#N/A,#N/A,FALSE,"PF Input";#N/A,#N/A,FALSE,"Proforma Five Yr";#N/A,#N/A,FALSE,"Hotcomps"}</definedName>
    <definedName name="wrn.Proforma._.Review._2_2" hidden="1">{#N/A,#N/A,FALSE,"Occ and Rate";#N/A,#N/A,FALSE,"PF Input";#N/A,#N/A,FALSE,"Proforma Five Yr";#N/A,#N/A,FALSE,"Hotcomps"}</definedName>
    <definedName name="wrn.Proforma._.Review._2_3" hidden="1">{#N/A,#N/A,FALSE,"Occ and Rate";#N/A,#N/A,FALSE,"PF Input";#N/A,#N/A,FALSE,"Proforma Five Yr";#N/A,#N/A,FALSE,"Hotcomps"}</definedName>
    <definedName name="wrn.Proforma._.Review._2_4" hidden="1">{#N/A,#N/A,FALSE,"Occ and Rate";#N/A,#N/A,FALSE,"PF Input";#N/A,#N/A,FALSE,"Proforma Five Yr";#N/A,#N/A,FALSE,"Hotcomps"}</definedName>
    <definedName name="wrn.Proforma._.Review._2_5" hidden="1">{#N/A,#N/A,FALSE,"Occ and Rate";#N/A,#N/A,FALSE,"PF Input";#N/A,#N/A,FALSE,"Proforma Five Yr";#N/A,#N/A,FALSE,"Hotcomps"}</definedName>
    <definedName name="wrn.Proforma._.Review._3" hidden="1">{#N/A,#N/A,FALSE,"Occ and Rate";#N/A,#N/A,FALSE,"PF Input";#N/A,#N/A,FALSE,"Proforma Five Yr";#N/A,#N/A,FALSE,"Hotcomps"}</definedName>
    <definedName name="wrn.Proforma._.Review._3_1" hidden="1">{#N/A,#N/A,FALSE,"Occ and Rate";#N/A,#N/A,FALSE,"PF Input";#N/A,#N/A,FALSE,"Proforma Five Yr";#N/A,#N/A,FALSE,"Hotcomps"}</definedName>
    <definedName name="wrn.Proforma._.Review._3_1_1" hidden="1">{#N/A,#N/A,FALSE,"Occ and Rate";#N/A,#N/A,FALSE,"PF Input";#N/A,#N/A,FALSE,"Proforma Five Yr";#N/A,#N/A,FALSE,"Hotcomps"}</definedName>
    <definedName name="wrn.Proforma._.Review._3_2" hidden="1">{#N/A,#N/A,FALSE,"Occ and Rate";#N/A,#N/A,FALSE,"PF Input";#N/A,#N/A,FALSE,"Proforma Five Yr";#N/A,#N/A,FALSE,"Hotcomps"}</definedName>
    <definedName name="wrn.Proforma._.Review._3_3" hidden="1">{#N/A,#N/A,FALSE,"Occ and Rate";#N/A,#N/A,FALSE,"PF Input";#N/A,#N/A,FALSE,"Proforma Five Yr";#N/A,#N/A,FALSE,"Hotcomps"}</definedName>
    <definedName name="wrn.Proforma._.Review._3_4" hidden="1">{#N/A,#N/A,FALSE,"Occ and Rate";#N/A,#N/A,FALSE,"PF Input";#N/A,#N/A,FALSE,"Proforma Five Yr";#N/A,#N/A,FALSE,"Hotcomps"}</definedName>
    <definedName name="wrn.Proforma._.Review._3_5" hidden="1">{#N/A,#N/A,FALSE,"Occ and Rate";#N/A,#N/A,FALSE,"PF Input";#N/A,#N/A,FALSE,"Proforma Five Yr";#N/A,#N/A,FALSE,"Hotcomps"}</definedName>
    <definedName name="wrn.Proforma._.Review._4" hidden="1">{#N/A,#N/A,FALSE,"Occ and Rate";#N/A,#N/A,FALSE,"PF Input";#N/A,#N/A,FALSE,"Proforma Five Yr";#N/A,#N/A,FALSE,"Hotcomps"}</definedName>
    <definedName name="wrn.Proforma._.Review._4_1" hidden="1">{#N/A,#N/A,FALSE,"Occ and Rate";#N/A,#N/A,FALSE,"PF Input";#N/A,#N/A,FALSE,"Proforma Five Yr";#N/A,#N/A,FALSE,"Hotcomps"}</definedName>
    <definedName name="wrn.Proforma._.Review._4_1_1" hidden="1">{#N/A,#N/A,FALSE,"Occ and Rate";#N/A,#N/A,FALSE,"PF Input";#N/A,#N/A,FALSE,"Proforma Five Yr";#N/A,#N/A,FALSE,"Hotcomps"}</definedName>
    <definedName name="wrn.Proforma._.Review._4_2" hidden="1">{#N/A,#N/A,FALSE,"Occ and Rate";#N/A,#N/A,FALSE,"PF Input";#N/A,#N/A,FALSE,"Proforma Five Yr";#N/A,#N/A,FALSE,"Hotcomps"}</definedName>
    <definedName name="wrn.Proforma._.Review._4_3" hidden="1">{#N/A,#N/A,FALSE,"Occ and Rate";#N/A,#N/A,FALSE,"PF Input";#N/A,#N/A,FALSE,"Proforma Five Yr";#N/A,#N/A,FALSE,"Hotcomps"}</definedName>
    <definedName name="wrn.Proforma._.Review._4_4" hidden="1">{#N/A,#N/A,FALSE,"Occ and Rate";#N/A,#N/A,FALSE,"PF Input";#N/A,#N/A,FALSE,"Proforma Five Yr";#N/A,#N/A,FALSE,"Hotcomps"}</definedName>
    <definedName name="wrn.Proforma._.Review._4_5" hidden="1">{#N/A,#N/A,FALSE,"Occ and Rate";#N/A,#N/A,FALSE,"PF Input";#N/A,#N/A,FALSE,"Proforma Five Yr";#N/A,#N/A,FALSE,"Hotcomps"}</definedName>
    <definedName name="wrn.Proforma._.Review._5" hidden="1">{#N/A,#N/A,FALSE,"Occ and Rate";#N/A,#N/A,FALSE,"PF Input";#N/A,#N/A,FALSE,"Proforma Five Yr";#N/A,#N/A,FALSE,"Hotcomps"}</definedName>
    <definedName name="wrn.Proforma._.Review._5_1" hidden="1">{#N/A,#N/A,FALSE,"Occ and Rate";#N/A,#N/A,FALSE,"PF Input";#N/A,#N/A,FALSE,"Proforma Five Yr";#N/A,#N/A,FALSE,"Hotcomps"}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Information." hidden="1">{#N/A,#N/A,FALSE,"PropertyInfo"}</definedName>
    <definedName name="wrn.Pulp." hidden="1">{"Pulp Production",#N/A,FALSE,"Pulp";"Pulp Earnings",#N/A,FALSE,"Pulp"}</definedName>
    <definedName name="wrn.Qty._.Monthly._.Cash._.Flow." hidden="1">{"Cash Flow_Small",#N/A,FALSE,"CashFlowSummary";"Finance_Small",#N/A,FALSE,"FinanceCashFlow";"Equity_Small",#N/A,FALSE,"EquityReturns"}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Quick._.Print." hidden="1">{#N/A,#N/A,TRUE,"Summary";#N/A,#N/A,TRUE,"Cost Summary (inflated)";#N/A,#N/A,TRUE,"Timeline";#N/A,#N/A,TRUE,"Res. Summary";#N/A,#N/A,TRUE,"Residential";#N/A,#N/A,TRUE,"Retail Summary";#N/A,#N/A,TRUE,"Retail ";#N/A,#N/A,TRUE,"Dev Expense Detail";#N/A,#N/A,TRUE,"Promote"}</definedName>
    <definedName name="wrn.RATES." hidden="1">{"RATES",#N/A,FALSE,"RECOVERY RATES";"CONTRIBUTIONS",#N/A,FALSE,"RECOVERY RATES";"GLA CATEGORY SUMMARY",#N/A,FALSE,"RECOVERY RATES"}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ROL." hidden="1">{#N/A,#N/A,FALSE,"RENT ROLL"}</definedName>
    <definedName name="wrn.report" hidden="1">{#N/A,#N/A,FALSE,"Project Summary";#N/A,#N/A,FALSE,"Parameter Summary";#N/A,#N/A,FALSE,"Budget Control Report";#N/A,#N/A,FALSE,"DETAIL.XLS"}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I." hidden="1">{#N/A,#N/A,FALSE,"Assumptions";#N/A,#N/A,FALSE,"Annual CF";#N/A,#N/A,FALSE,"AftFee";#N/A,#N/A,FALSE,"Residual Analysis";#N/A,#N/A,FALSE,"Stab Proforma";#N/A,#N/A,FALSE,"ROC";#N/A,#N/A,FALSE,"Project Costs"}</definedName>
    <definedName name="wrn.Report._1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2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idential._.Summary." hidden="1">{"Residential Summary",#N/A,TRUE,"Summary";"Residential Budget",#N/A,TRUE,"Summary";"Residential Cash Flow",#N/A,TRUE,"Summary";"Residential Project Costs",#N/A,TRUE,"Summary"}</definedName>
    <definedName name="wrn.Retail._.Summary." hidden="1">{"Retail Summary",#N/A,TRUE,"Summary";"Retail Development Budget",#N/A,TRUE,"Summary";"Retail Cash Flow",#N/A,TRUE,"Summary";"Retail Development Costs and NOI",#N/A,TRUE,"Summary";"Retail Detailed Project Costs",#N/A,TRUE,"Summary"}</definedName>
    <definedName name="wrn.SBE._.Report." hidden="1">{#N/A,#N/A,FALSE,"Operating Projections";"Restaurants",#N/A,FALSE,"Operating Projections";"Lounges",#N/A,FALSE,"Operating Projections";#N/A,#N/A,FALSE,"Clubs";#N/A,#N/A,FALSE,"Shows";#N/A,#N/A,FALSE,"Outdoor";#N/A,#N/A,FALSE,"Banquet";#N/A,#N/A,FALSE,"Retail";#N/A,#N/A,FALSE,"Casino";#N/A,#N/A,FALSE,"Sources &amp; Uses";#N/A,#N/A,FALSE,"Budget Breakdown";"Annual CF",#N/A,FALSE,"Track"}</definedName>
    <definedName name="wrn.Scenario." hidden="1">{"scen1",#N/A,FALSE,"Scenarios";"scen2",#N/A,FALSE,"Scenarios"}</definedName>
    <definedName name="wrn.SCHAs." hidden="1">{"ACCOUNTING COPY",#N/A,FALSE,"SCHEDULE A";"FINANCE COPY",#N/A,FALSE,"SCHEDULE A";"P.L. COPY",#N/A,FALSE,"SCHEDULE A"}</definedName>
    <definedName name="wrn.SCHEDULE" hidden="1">{"SCHEDULE",#N/A,FALSE,"Fin_sched"}</definedName>
    <definedName name="wrn.SCHEDULE." hidden="1">{"SCHEDULE",#N/A,FALSE,"Fin_sched"}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condary._.Competition." hidden="1">{#N/A,#N/A,FALSE,"Secondary"}</definedName>
    <definedName name="wrn.Sensitivities." hidden="1">{"Sensitivities",#N/A,FALSE,"Consolidated"}</definedName>
    <definedName name="wrn.Sensitivity._.Analysis." hidden="1">{"Sensitivity",#N/A,FALSE,"Sensitivity"}</definedName>
    <definedName name="wrn.Short._.Print." hidden="1">{#N/A,#N/A,FALSE,"Cover";#N/A,#N/A,FALSE,"Stack";#N/A,#N/A,FALSE,"Cost S";#N/A,#N/A,FALSE," CF";#N/A,#N/A,FALSE,"Investor"}</definedName>
    <definedName name="wrn.Sources._.and._.Uses." hidden="1">{"Sources and Uses",#N/A,FALSE,"S&amp;U"}</definedName>
    <definedName name="wrn.SouthTrust." hidden="1">{"SouthTrust-Investor",#N/A,FALSE,"SouthTrust";"SouthTrust-Property",#N/A,FALSE,"SouthTrust"}</definedName>
    <definedName name="wrn.Stadium._.PCD." hidden="1">{#N/A,#N/A,TRUE,"Ericsson Stadium PCD ";#N/A,#N/A,TRUE,"Ericsson Stadium IOR"}</definedName>
    <definedName name="wrn.Standard._.Numbers.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Report." hidden="1">{#N/A,#N/A,FALSE,"Summary";#N/A,#N/A,FALSE,"Construction";#N/A,#N/A,FALSE,"Cash Flow"}</definedName>
    <definedName name="wrn.Standard._.Reports." hidden="1">{#N/A,#N/A,FALSE,"Books";#N/A,#N/A,FALSE,"Barge";#N/A,#N/A,FALSE,"Insurance";#N/A,#N/A,FALSE,"Consolidated"}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Y." hidden="1">{"SUMMARY",#N/A,FALSE,"Fin_sched"}</definedName>
    <definedName name="wrn.Summary._.Page." hidden="1">{"Summary",#N/A,FALSE,"Summary"}</definedName>
    <definedName name="wrn.Summary._.Pages." hidden="1">{"Summary",#N/A,TRUE,"Summary";"Venture Cash Flow",#N/A,TRUE,"Summary";"Venture Costs &amp; Income Summary",#N/A,TRUE,"Summary";"Timeline",#N/A,TRUE,"Summary";"Development Budget",#N/A,TRUE,"Summary"}</definedName>
    <definedName name="wrn.Supply._.Additions." hidden="1">{#N/A,#N/A,FALSE,"Supply Addn"}</definedName>
    <definedName name="wrn.Target._.Comparison." hidden="1">{"Target Comparison",#N/A,FALSE,"Summary"}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hidden="1">{#N/A,#N/A,FALSE,"SCHEDULE G"}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wnPoint." hidden="1">{"Townpoint-Investor",#N/A,FALSE,"TownPoint";"Townpoint-Property",#N/A,FALSE,"TownPoint"}</definedName>
    <definedName name="wrn.Tycon._.Model." hidden="1">{"rtn",#N/A,FALSE,"RTN";"tables",#N/A,FALSE,"RTN";"cf",#N/A,FALSE,"CF";"stats",#N/A,FALSE,"Stats";"prop",#N/A,FALSE,"Prop"}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W." hidden="1">{"IS",#N/A,FALSE,"IS";"RPTIS",#N/A,FALSE,"RPTIS";"STATS",#N/A,FALSE,"STATS";"BS",#N/A,FALSE,"BS"}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entana." hidden="1">{#N/A,#N/A,FALSE,"Cash Flow";#N/A,#N/A,FALSE,"scenario 1"}</definedName>
    <definedName name="wrn.VRDB._.5._.Year._.Average." hidden="1">{"VRDB 5 Year Average",#N/A,FALSE,"VRDB-His"}</definedName>
    <definedName name="wrn.VRDB._.Current._.Market." hidden="1">{"VRDB Current Market",#N/A,FALSE,"VRDB-Cur"}</definedName>
    <definedName name="ws" hidden="1">{#N/A,#N/A,FALSE,"Chart 2 by Prop Type"}</definedName>
    <definedName name="ww" hidden="1">{#N/A,#N/A,FALSE,"Chart 2 by Prop Type"}</definedName>
    <definedName name="wwas" hidden="1">{#N/A,#N/A,FALSE,"Chart 2 by Prop Type"}</definedName>
    <definedName name="wwass" hidden="1">{#N/A,#N/A,FALSE,"Chart 2 by Prop Type"}</definedName>
    <definedName name="x" hidden="1">{#N/A,#N/A,FALSE,"Chart 2 by Prop Type"}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{#N/A,#N/A,FALSE,"ACQ_GRAPHS";#N/A,#N/A,FALSE,"T_1 GRAPHS";#N/A,#N/A,FALSE,"T_2 GRAPHS";#N/A,#N/A,FALSE,"COMB_GRAPHS"}</definedName>
    <definedName name="xxx3" hidden="1">{"AnnualRentRoll",#N/A,FALSE,"RentRoll"}</definedName>
    <definedName name="xxx4" hidden="1">{#N/A,#N/A,FALSE,"ExitStratigy"}</definedName>
    <definedName name="xxxxX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xyz" hidden="1">{"Construction_Short",#N/A,FALSE,"Construction"}</definedName>
    <definedName name="yui" hidden="1">{#N/A,#N/A,FALSE,"Chart 2 by Prop Type"}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80E05628_A34C_4666_9DEC_E528308A36DF_.wvu.Rows" hidden="1">#REF!,#REF!,#REF!,#REF!,#REF!,#REF!,#REF!,#REF!,#REF!,#REF!,#REF!,#REF!,#REF!,#REF!,#REF!,#REF!,#REF!,#REF!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1" i="11" l="1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E26" i="4"/>
  <c r="K96" i="30"/>
  <c r="DZ75" i="30"/>
  <c r="DR75" i="30"/>
  <c r="DJ75" i="30"/>
  <c r="DB75" i="30"/>
  <c r="CT75" i="30"/>
  <c r="CL75" i="30"/>
  <c r="CD75" i="30"/>
  <c r="BV75" i="30"/>
  <c r="BN75" i="30"/>
  <c r="BF75" i="30"/>
  <c r="AX75" i="30"/>
  <c r="AP75" i="30"/>
  <c r="AH75" i="30"/>
  <c r="Z75" i="30"/>
  <c r="R75" i="30"/>
  <c r="H75" i="30"/>
  <c r="DY75" i="30" s="1"/>
  <c r="E75" i="30"/>
  <c r="I12" i="11"/>
  <c r="L144" i="30"/>
  <c r="M144" i="30"/>
  <c r="N144" i="30"/>
  <c r="O144" i="30"/>
  <c r="P144" i="30"/>
  <c r="Q144" i="30"/>
  <c r="R144" i="30"/>
  <c r="S144" i="30"/>
  <c r="T144" i="30"/>
  <c r="U144" i="30"/>
  <c r="V144" i="30"/>
  <c r="W144" i="30"/>
  <c r="X144" i="30"/>
  <c r="Y144" i="30"/>
  <c r="Z144" i="30"/>
  <c r="AA144" i="30"/>
  <c r="AB144" i="30"/>
  <c r="AC144" i="30"/>
  <c r="AD144" i="30"/>
  <c r="AE144" i="30"/>
  <c r="AF144" i="30"/>
  <c r="AG144" i="30"/>
  <c r="AH144" i="30"/>
  <c r="AI144" i="30"/>
  <c r="AJ144" i="30"/>
  <c r="AK144" i="30"/>
  <c r="AL144" i="30"/>
  <c r="AM144" i="30"/>
  <c r="AN144" i="30"/>
  <c r="AO144" i="30"/>
  <c r="AP144" i="30"/>
  <c r="AQ144" i="30"/>
  <c r="AR144" i="30"/>
  <c r="AS144" i="30"/>
  <c r="AT144" i="30"/>
  <c r="AU144" i="30"/>
  <c r="AV144" i="30"/>
  <c r="AW144" i="30"/>
  <c r="AX144" i="30"/>
  <c r="AY144" i="30"/>
  <c r="AZ144" i="30"/>
  <c r="BA144" i="30"/>
  <c r="BB144" i="30"/>
  <c r="BC144" i="30"/>
  <c r="BD144" i="30"/>
  <c r="BE144" i="30"/>
  <c r="BF144" i="30"/>
  <c r="BG144" i="30"/>
  <c r="BH144" i="30"/>
  <c r="BI144" i="30"/>
  <c r="BJ144" i="30"/>
  <c r="BK144" i="30"/>
  <c r="BL144" i="30"/>
  <c r="BM144" i="30"/>
  <c r="BN144" i="30"/>
  <c r="BO144" i="30"/>
  <c r="BP144" i="30"/>
  <c r="BQ144" i="30"/>
  <c r="BR144" i="30"/>
  <c r="BS144" i="30"/>
  <c r="BT144" i="30"/>
  <c r="BU144" i="30"/>
  <c r="BV144" i="30"/>
  <c r="BW144" i="30"/>
  <c r="BX144" i="30"/>
  <c r="BY144" i="30"/>
  <c r="BZ144" i="30"/>
  <c r="CA144" i="30"/>
  <c r="CB144" i="30"/>
  <c r="CC144" i="30"/>
  <c r="CD144" i="30"/>
  <c r="CE144" i="30"/>
  <c r="CF144" i="30"/>
  <c r="CG144" i="30"/>
  <c r="CH144" i="30"/>
  <c r="CI144" i="30"/>
  <c r="CJ144" i="30"/>
  <c r="CK144" i="30"/>
  <c r="CL144" i="30"/>
  <c r="CM144" i="30"/>
  <c r="CN144" i="30"/>
  <c r="CO144" i="30"/>
  <c r="CP144" i="30"/>
  <c r="CQ144" i="30"/>
  <c r="CR144" i="30"/>
  <c r="CS144" i="30"/>
  <c r="CT144" i="30"/>
  <c r="CU144" i="30"/>
  <c r="CV144" i="30"/>
  <c r="CW144" i="30"/>
  <c r="CX144" i="30"/>
  <c r="CY144" i="30"/>
  <c r="CZ144" i="30"/>
  <c r="DA144" i="30"/>
  <c r="DB144" i="30"/>
  <c r="DC144" i="30"/>
  <c r="DD144" i="30"/>
  <c r="DE144" i="30"/>
  <c r="DF144" i="30"/>
  <c r="DG144" i="30"/>
  <c r="DH144" i="30"/>
  <c r="DI144" i="30"/>
  <c r="DJ144" i="30"/>
  <c r="DK144" i="30"/>
  <c r="DL144" i="30"/>
  <c r="DM144" i="30"/>
  <c r="DN144" i="30"/>
  <c r="DO144" i="30"/>
  <c r="DP144" i="30"/>
  <c r="DQ144" i="30"/>
  <c r="DR144" i="30"/>
  <c r="DS144" i="30"/>
  <c r="DT144" i="30"/>
  <c r="DU144" i="30"/>
  <c r="DV144" i="30"/>
  <c r="DW144" i="30"/>
  <c r="DX144" i="30"/>
  <c r="DY144" i="30"/>
  <c r="DZ144" i="30"/>
  <c r="EA144" i="30"/>
  <c r="H124" i="38"/>
  <c r="H123" i="38"/>
  <c r="H122" i="38"/>
  <c r="H121" i="38"/>
  <c r="H120" i="38"/>
  <c r="H119" i="38"/>
  <c r="H118" i="38"/>
  <c r="H117" i="38"/>
  <c r="H116" i="38"/>
  <c r="H115" i="38"/>
  <c r="H114" i="38"/>
  <c r="H113" i="38"/>
  <c r="H112" i="38"/>
  <c r="H111" i="38"/>
  <c r="H110" i="38"/>
  <c r="H109" i="38"/>
  <c r="H108" i="38"/>
  <c r="H107" i="38"/>
  <c r="H106" i="38"/>
  <c r="H105" i="38"/>
  <c r="H104" i="38"/>
  <c r="H103" i="38"/>
  <c r="H102" i="38"/>
  <c r="H101" i="38"/>
  <c r="H100" i="38"/>
  <c r="H99" i="38"/>
  <c r="H98" i="38"/>
  <c r="H97" i="38"/>
  <c r="H96" i="38"/>
  <c r="H95" i="38"/>
  <c r="H94" i="38"/>
  <c r="H93" i="38"/>
  <c r="H92" i="38"/>
  <c r="H91" i="38"/>
  <c r="H90" i="38"/>
  <c r="H89" i="38"/>
  <c r="H88" i="38"/>
  <c r="H87" i="38"/>
  <c r="H86" i="38"/>
  <c r="H85" i="38"/>
  <c r="H84" i="38"/>
  <c r="H83" i="38"/>
  <c r="H82" i="38"/>
  <c r="H81" i="38"/>
  <c r="H80" i="38"/>
  <c r="H79" i="38"/>
  <c r="H78" i="38"/>
  <c r="H77" i="38"/>
  <c r="H76" i="38"/>
  <c r="H75" i="38"/>
  <c r="H74" i="38"/>
  <c r="H73" i="38"/>
  <c r="H72" i="38"/>
  <c r="H71" i="38"/>
  <c r="H70" i="38"/>
  <c r="H69" i="38"/>
  <c r="H68" i="38"/>
  <c r="H67" i="38"/>
  <c r="H66" i="38"/>
  <c r="H65" i="38"/>
  <c r="H64" i="38"/>
  <c r="H63" i="38"/>
  <c r="H62" i="38"/>
  <c r="H61" i="38"/>
  <c r="H60" i="38"/>
  <c r="H59" i="38"/>
  <c r="H58" i="38"/>
  <c r="H57" i="38"/>
  <c r="H56" i="38"/>
  <c r="H55" i="38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S75" i="30" l="1"/>
  <c r="AA75" i="30"/>
  <c r="AI75" i="30"/>
  <c r="AQ75" i="30"/>
  <c r="AY75" i="30"/>
  <c r="BG75" i="30"/>
  <c r="BO75" i="30"/>
  <c r="BW75" i="30"/>
  <c r="CE75" i="30"/>
  <c r="CM75" i="30"/>
  <c r="CU75" i="30"/>
  <c r="DC75" i="30"/>
  <c r="DK75" i="30"/>
  <c r="DS75" i="30"/>
  <c r="EA75" i="30"/>
  <c r="L75" i="30"/>
  <c r="T75" i="30"/>
  <c r="AB75" i="30"/>
  <c r="AJ75" i="30"/>
  <c r="AR75" i="30"/>
  <c r="AZ75" i="30"/>
  <c r="BH75" i="30"/>
  <c r="BP75" i="30"/>
  <c r="BX75" i="30"/>
  <c r="CF75" i="30"/>
  <c r="CN75" i="30"/>
  <c r="CV75" i="30"/>
  <c r="DD75" i="30"/>
  <c r="DL75" i="30"/>
  <c r="DT75" i="30"/>
  <c r="M75" i="30"/>
  <c r="U75" i="30"/>
  <c r="AC75" i="30"/>
  <c r="AK75" i="30"/>
  <c r="AS75" i="30"/>
  <c r="BA75" i="30"/>
  <c r="BI75" i="30"/>
  <c r="BQ75" i="30"/>
  <c r="BY75" i="30"/>
  <c r="CG75" i="30"/>
  <c r="CO75" i="30"/>
  <c r="CW75" i="30"/>
  <c r="DE75" i="30"/>
  <c r="DM75" i="30"/>
  <c r="DU75" i="30"/>
  <c r="N75" i="30"/>
  <c r="V75" i="30"/>
  <c r="AD75" i="30"/>
  <c r="AL75" i="30"/>
  <c r="AT75" i="30"/>
  <c r="BB75" i="30"/>
  <c r="BJ75" i="30"/>
  <c r="BR75" i="30"/>
  <c r="BZ75" i="30"/>
  <c r="CH75" i="30"/>
  <c r="CP75" i="30"/>
  <c r="CX75" i="30"/>
  <c r="DF75" i="30"/>
  <c r="DN75" i="30"/>
  <c r="DV75" i="30"/>
  <c r="O75" i="30"/>
  <c r="W75" i="30"/>
  <c r="AE75" i="30"/>
  <c r="AM75" i="30"/>
  <c r="AU75" i="30"/>
  <c r="BC75" i="30"/>
  <c r="BK75" i="30"/>
  <c r="BS75" i="30"/>
  <c r="CA75" i="30"/>
  <c r="CI75" i="30"/>
  <c r="CQ75" i="30"/>
  <c r="DG75" i="30"/>
  <c r="DW75" i="30"/>
  <c r="P75" i="30"/>
  <c r="X75" i="30"/>
  <c r="AF75" i="30"/>
  <c r="AN75" i="30"/>
  <c r="AV75" i="30"/>
  <c r="BD75" i="30"/>
  <c r="BL75" i="30"/>
  <c r="BT75" i="30"/>
  <c r="CB75" i="30"/>
  <c r="CJ75" i="30"/>
  <c r="CR75" i="30"/>
  <c r="CZ75" i="30"/>
  <c r="DH75" i="30"/>
  <c r="DP75" i="30"/>
  <c r="DX75" i="30"/>
  <c r="CY75" i="30"/>
  <c r="DO75" i="30"/>
  <c r="Q75" i="30"/>
  <c r="Y75" i="30"/>
  <c r="AG75" i="30"/>
  <c r="AO75" i="30"/>
  <c r="AW75" i="30"/>
  <c r="BE75" i="30"/>
  <c r="BM75" i="30"/>
  <c r="BU75" i="30"/>
  <c r="CC75" i="30"/>
  <c r="CK75" i="30"/>
  <c r="CS75" i="30"/>
  <c r="DA75" i="30"/>
  <c r="DI75" i="30"/>
  <c r="DQ75" i="30"/>
  <c r="V32" i="47"/>
  <c r="V31" i="47"/>
  <c r="T31" i="47"/>
  <c r="I61" i="44"/>
  <c r="K39" i="11"/>
  <c r="F92" i="48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70" i="11" l="1"/>
  <c r="L42" i="32"/>
  <c r="F87" i="48" l="1"/>
  <c r="F79" i="48"/>
  <c r="F81" i="48" s="1"/>
  <c r="F73" i="48"/>
  <c r="F72" i="48" s="1"/>
  <c r="F70" i="48"/>
  <c r="F11" i="48"/>
  <c r="F33" i="48"/>
  <c r="K34" i="4"/>
  <c r="F27" i="48"/>
  <c r="F26" i="48"/>
  <c r="F24" i="48"/>
  <c r="F22" i="48"/>
  <c r="F51" i="48" s="1"/>
  <c r="H74" i="30"/>
  <c r="D89" i="46"/>
  <c r="E89" i="46"/>
  <c r="F89" i="46"/>
  <c r="G89" i="46"/>
  <c r="H89" i="46"/>
  <c r="I89" i="46"/>
  <c r="J89" i="46"/>
  <c r="K89" i="46"/>
  <c r="L89" i="46"/>
  <c r="M89" i="46"/>
  <c r="N89" i="46"/>
  <c r="O89" i="46"/>
  <c r="P89" i="46"/>
  <c r="Q89" i="46"/>
  <c r="R89" i="46"/>
  <c r="S89" i="46"/>
  <c r="T89" i="46"/>
  <c r="U89" i="46"/>
  <c r="V89" i="46"/>
  <c r="W89" i="46"/>
  <c r="X89" i="46"/>
  <c r="Y89" i="46"/>
  <c r="Z89" i="46"/>
  <c r="AA89" i="46"/>
  <c r="AB89" i="46"/>
  <c r="AC89" i="46"/>
  <c r="AD89" i="46"/>
  <c r="AE89" i="46"/>
  <c r="AF89" i="46"/>
  <c r="AG89" i="46"/>
  <c r="AH89" i="46"/>
  <c r="AI89" i="46"/>
  <c r="AJ89" i="46"/>
  <c r="AK89" i="46"/>
  <c r="AL89" i="46"/>
  <c r="AM89" i="46"/>
  <c r="AN89" i="46"/>
  <c r="AO89" i="46"/>
  <c r="AP89" i="46"/>
  <c r="AQ89" i="46"/>
  <c r="AR89" i="46"/>
  <c r="AS89" i="46"/>
  <c r="AT89" i="46"/>
  <c r="AU89" i="46"/>
  <c r="AV89" i="46"/>
  <c r="AW89" i="46"/>
  <c r="AX89" i="46"/>
  <c r="AY89" i="46"/>
  <c r="AZ89" i="46"/>
  <c r="BA89" i="46"/>
  <c r="BB89" i="46"/>
  <c r="BC89" i="46"/>
  <c r="BD89" i="46"/>
  <c r="BE89" i="46"/>
  <c r="BF89" i="46"/>
  <c r="BG89" i="46"/>
  <c r="BH89" i="46"/>
  <c r="BI89" i="46"/>
  <c r="BJ89" i="46"/>
  <c r="BK89" i="46"/>
  <c r="BL89" i="46"/>
  <c r="BM89" i="46"/>
  <c r="BN89" i="46"/>
  <c r="BO89" i="46"/>
  <c r="BP89" i="46"/>
  <c r="BQ89" i="46"/>
  <c r="BR89" i="46"/>
  <c r="BS89" i="46"/>
  <c r="BT89" i="46"/>
  <c r="BU89" i="46"/>
  <c r="BV89" i="46"/>
  <c r="BW89" i="46"/>
  <c r="BX89" i="46"/>
  <c r="BY89" i="46"/>
  <c r="BZ89" i="46"/>
  <c r="CA89" i="46"/>
  <c r="CB89" i="46"/>
  <c r="CC89" i="46"/>
  <c r="CD89" i="46"/>
  <c r="CE89" i="46"/>
  <c r="CF89" i="46"/>
  <c r="CG89" i="46"/>
  <c r="CH89" i="46"/>
  <c r="CI89" i="46"/>
  <c r="CJ89" i="46"/>
  <c r="CK89" i="46"/>
  <c r="CL89" i="46"/>
  <c r="CM89" i="46"/>
  <c r="CN89" i="46"/>
  <c r="CO89" i="46"/>
  <c r="CP89" i="46"/>
  <c r="CQ89" i="46"/>
  <c r="CR89" i="46"/>
  <c r="CS89" i="46"/>
  <c r="CT89" i="46"/>
  <c r="CU89" i="46"/>
  <c r="CV89" i="46"/>
  <c r="CW89" i="46"/>
  <c r="CX89" i="46"/>
  <c r="CY89" i="46"/>
  <c r="CZ89" i="46"/>
  <c r="DA89" i="46"/>
  <c r="DB89" i="46"/>
  <c r="DC89" i="46"/>
  <c r="DD89" i="46"/>
  <c r="DE89" i="46"/>
  <c r="DF89" i="46"/>
  <c r="DG89" i="46"/>
  <c r="DH89" i="46"/>
  <c r="DI89" i="46"/>
  <c r="DJ89" i="46"/>
  <c r="DK89" i="46"/>
  <c r="DL89" i="46"/>
  <c r="DM89" i="46"/>
  <c r="DN89" i="46"/>
  <c r="DO89" i="46"/>
  <c r="DP89" i="46"/>
  <c r="DQ89" i="46"/>
  <c r="DR89" i="46"/>
  <c r="DS89" i="46"/>
  <c r="DS81" i="46"/>
  <c r="DS83" i="46" s="1"/>
  <c r="DR81" i="46"/>
  <c r="DR83" i="46" s="1"/>
  <c r="DQ81" i="46"/>
  <c r="DQ83" i="46" s="1"/>
  <c r="DP81" i="46"/>
  <c r="DP83" i="46" s="1"/>
  <c r="DO81" i="46"/>
  <c r="DO83" i="46" s="1"/>
  <c r="DN81" i="46"/>
  <c r="DN83" i="46" s="1"/>
  <c r="DM81" i="46"/>
  <c r="DM83" i="46" s="1"/>
  <c r="DL81" i="46"/>
  <c r="DL83" i="46" s="1"/>
  <c r="DK81" i="46"/>
  <c r="DK83" i="46" s="1"/>
  <c r="DJ81" i="46"/>
  <c r="DJ83" i="46" s="1"/>
  <c r="DI81" i="46"/>
  <c r="DI83" i="46" s="1"/>
  <c r="DH81" i="46"/>
  <c r="DH83" i="46" s="1"/>
  <c r="DG81" i="46"/>
  <c r="DG83" i="46" s="1"/>
  <c r="DF81" i="46"/>
  <c r="DF83" i="46" s="1"/>
  <c r="DE81" i="46"/>
  <c r="DE83" i="46" s="1"/>
  <c r="DD81" i="46"/>
  <c r="DD83" i="46" s="1"/>
  <c r="DC81" i="46"/>
  <c r="DC83" i="46" s="1"/>
  <c r="DB81" i="46"/>
  <c r="DB83" i="46" s="1"/>
  <c r="DA81" i="46"/>
  <c r="DA83" i="46" s="1"/>
  <c r="CZ81" i="46"/>
  <c r="CZ83" i="46" s="1"/>
  <c r="CY81" i="46"/>
  <c r="CY83" i="46" s="1"/>
  <c r="CX81" i="46"/>
  <c r="CX83" i="46" s="1"/>
  <c r="CW81" i="46"/>
  <c r="CW83" i="46" s="1"/>
  <c r="CV81" i="46"/>
  <c r="CV83" i="46" s="1"/>
  <c r="CU81" i="46"/>
  <c r="CU83" i="46" s="1"/>
  <c r="CT81" i="46"/>
  <c r="CT83" i="46" s="1"/>
  <c r="CS81" i="46"/>
  <c r="CS83" i="46" s="1"/>
  <c r="CR81" i="46"/>
  <c r="CR83" i="46" s="1"/>
  <c r="CQ81" i="46"/>
  <c r="CQ83" i="46" s="1"/>
  <c r="CP81" i="46"/>
  <c r="CP83" i="46" s="1"/>
  <c r="CO81" i="46"/>
  <c r="CO83" i="46" s="1"/>
  <c r="CN81" i="46"/>
  <c r="CN83" i="46" s="1"/>
  <c r="CM81" i="46"/>
  <c r="CM83" i="46" s="1"/>
  <c r="CL81" i="46"/>
  <c r="CL83" i="46" s="1"/>
  <c r="CK81" i="46"/>
  <c r="CK83" i="46" s="1"/>
  <c r="CJ81" i="46"/>
  <c r="CJ83" i="46" s="1"/>
  <c r="CI81" i="46"/>
  <c r="CI83" i="46" s="1"/>
  <c r="CH81" i="46"/>
  <c r="CH83" i="46" s="1"/>
  <c r="CG81" i="46"/>
  <c r="CG83" i="46" s="1"/>
  <c r="CF81" i="46"/>
  <c r="CF83" i="46" s="1"/>
  <c r="CE81" i="46"/>
  <c r="CE83" i="46" s="1"/>
  <c r="CD81" i="46"/>
  <c r="CD83" i="46" s="1"/>
  <c r="CC81" i="46"/>
  <c r="CC83" i="46" s="1"/>
  <c r="CB81" i="46"/>
  <c r="CB83" i="46" s="1"/>
  <c r="CA81" i="46"/>
  <c r="CA83" i="46" s="1"/>
  <c r="BZ81" i="46"/>
  <c r="BZ83" i="46" s="1"/>
  <c r="BY81" i="46"/>
  <c r="BY83" i="46" s="1"/>
  <c r="BX81" i="46"/>
  <c r="BX83" i="46" s="1"/>
  <c r="BW81" i="46"/>
  <c r="BW83" i="46" s="1"/>
  <c r="BV81" i="46"/>
  <c r="BV83" i="46" s="1"/>
  <c r="BU81" i="46"/>
  <c r="BU83" i="46" s="1"/>
  <c r="BT81" i="46"/>
  <c r="BT83" i="46" s="1"/>
  <c r="BS81" i="46"/>
  <c r="BS83" i="46" s="1"/>
  <c r="BR81" i="46"/>
  <c r="BR83" i="46" s="1"/>
  <c r="BQ81" i="46"/>
  <c r="BQ83" i="46" s="1"/>
  <c r="BP81" i="46"/>
  <c r="BP83" i="46" s="1"/>
  <c r="BO81" i="46"/>
  <c r="BO83" i="46" s="1"/>
  <c r="BN81" i="46"/>
  <c r="BN83" i="46" s="1"/>
  <c r="BM81" i="46"/>
  <c r="BM83" i="46" s="1"/>
  <c r="BL81" i="46"/>
  <c r="BL83" i="46" s="1"/>
  <c r="BK81" i="46"/>
  <c r="BK83" i="46" s="1"/>
  <c r="BJ81" i="46"/>
  <c r="BJ83" i="46" s="1"/>
  <c r="BI81" i="46"/>
  <c r="BI83" i="46" s="1"/>
  <c r="BH81" i="46"/>
  <c r="BH83" i="46" s="1"/>
  <c r="BG81" i="46"/>
  <c r="BG83" i="46" s="1"/>
  <c r="BF81" i="46"/>
  <c r="BF83" i="46" s="1"/>
  <c r="BE81" i="46"/>
  <c r="BE83" i="46" s="1"/>
  <c r="BD81" i="46"/>
  <c r="BD83" i="46" s="1"/>
  <c r="BC81" i="46"/>
  <c r="BC83" i="46" s="1"/>
  <c r="BB81" i="46"/>
  <c r="BB83" i="46" s="1"/>
  <c r="BA81" i="46"/>
  <c r="BA83" i="46" s="1"/>
  <c r="AZ81" i="46"/>
  <c r="AZ83" i="46" s="1"/>
  <c r="AY81" i="46"/>
  <c r="AY83" i="46" s="1"/>
  <c r="AX81" i="46"/>
  <c r="AX83" i="46" s="1"/>
  <c r="AW81" i="46"/>
  <c r="AW83" i="46" s="1"/>
  <c r="AV81" i="46"/>
  <c r="AV83" i="46" s="1"/>
  <c r="AU81" i="46"/>
  <c r="AU83" i="46" s="1"/>
  <c r="AT81" i="46"/>
  <c r="AT83" i="46" s="1"/>
  <c r="AS81" i="46"/>
  <c r="AS83" i="46" s="1"/>
  <c r="AR81" i="46"/>
  <c r="AR83" i="46" s="1"/>
  <c r="AQ81" i="46"/>
  <c r="AQ83" i="46" s="1"/>
  <c r="AP81" i="46"/>
  <c r="AP83" i="46" s="1"/>
  <c r="AO81" i="46"/>
  <c r="AO83" i="46" s="1"/>
  <c r="AN81" i="46"/>
  <c r="AN83" i="46" s="1"/>
  <c r="AM81" i="46"/>
  <c r="AM83" i="46" s="1"/>
  <c r="AL81" i="46"/>
  <c r="AL83" i="46" s="1"/>
  <c r="AK81" i="46"/>
  <c r="AK83" i="46" s="1"/>
  <c r="AJ81" i="46"/>
  <c r="AJ83" i="46" s="1"/>
  <c r="AI81" i="46"/>
  <c r="AI83" i="46" s="1"/>
  <c r="AH81" i="46"/>
  <c r="AH83" i="46" s="1"/>
  <c r="AG81" i="46"/>
  <c r="AG83" i="46" s="1"/>
  <c r="AF81" i="46"/>
  <c r="AF83" i="46" s="1"/>
  <c r="AE81" i="46"/>
  <c r="AE83" i="46" s="1"/>
  <c r="AD81" i="46"/>
  <c r="AD83" i="46" s="1"/>
  <c r="AC81" i="46"/>
  <c r="AC83" i="46" s="1"/>
  <c r="AB81" i="46"/>
  <c r="AB83" i="46" s="1"/>
  <c r="AA81" i="46"/>
  <c r="AA83" i="46" s="1"/>
  <c r="Z81" i="46"/>
  <c r="Z83" i="46" s="1"/>
  <c r="Y81" i="46"/>
  <c r="Y83" i="46" s="1"/>
  <c r="X81" i="46"/>
  <c r="X83" i="46" s="1"/>
  <c r="W81" i="46"/>
  <c r="W83" i="46" s="1"/>
  <c r="V81" i="46"/>
  <c r="V83" i="46" s="1"/>
  <c r="U81" i="46"/>
  <c r="U83" i="46" s="1"/>
  <c r="T81" i="46"/>
  <c r="T83" i="46" s="1"/>
  <c r="S81" i="46"/>
  <c r="S83" i="46" s="1"/>
  <c r="R81" i="46"/>
  <c r="R83" i="46" s="1"/>
  <c r="Q81" i="46"/>
  <c r="Q83" i="46" s="1"/>
  <c r="P81" i="46"/>
  <c r="P83" i="46" s="1"/>
  <c r="O81" i="46"/>
  <c r="O83" i="46" s="1"/>
  <c r="N81" i="46"/>
  <c r="N83" i="46" s="1"/>
  <c r="M81" i="46"/>
  <c r="M83" i="46" s="1"/>
  <c r="L81" i="46"/>
  <c r="L83" i="46" s="1"/>
  <c r="K81" i="46"/>
  <c r="K83" i="46" s="1"/>
  <c r="J81" i="46"/>
  <c r="J83" i="46" s="1"/>
  <c r="I81" i="46"/>
  <c r="I83" i="46" s="1"/>
  <c r="H81" i="46"/>
  <c r="H83" i="46" s="1"/>
  <c r="G81" i="46"/>
  <c r="G83" i="46" s="1"/>
  <c r="F81" i="46"/>
  <c r="F83" i="46" s="1"/>
  <c r="E81" i="46"/>
  <c r="E83" i="46" s="1"/>
  <c r="D81" i="46"/>
  <c r="D83" i="46" s="1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J31" i="4"/>
  <c r="J30" i="4"/>
  <c r="F41" i="48" l="1"/>
  <c r="H33" i="48"/>
  <c r="F58" i="48"/>
  <c r="F59" i="48"/>
  <c r="F60" i="48"/>
  <c r="F61" i="48"/>
  <c r="F28" i="48"/>
  <c r="F32" i="48" s="1"/>
  <c r="F23" i="48"/>
  <c r="F25" i="48"/>
  <c r="F49" i="48"/>
  <c r="F50" i="48"/>
  <c r="L74" i="30"/>
  <c r="I24" i="4"/>
  <c r="I23" i="4"/>
  <c r="I22" i="4"/>
  <c r="J34" i="4"/>
  <c r="L41" i="44"/>
  <c r="L132" i="30"/>
  <c r="K136" i="30"/>
  <c r="J24" i="4"/>
  <c r="J23" i="4"/>
  <c r="J22" i="4"/>
  <c r="E73" i="44"/>
  <c r="E72" i="44"/>
  <c r="E71" i="44"/>
  <c r="F71" i="44" s="1"/>
  <c r="C73" i="44"/>
  <c r="C72" i="44"/>
  <c r="C71" i="44"/>
  <c r="F73" i="44"/>
  <c r="I73" i="44" s="1"/>
  <c r="D73" i="44"/>
  <c r="F72" i="44"/>
  <c r="I72" i="44" s="1"/>
  <c r="D72" i="44"/>
  <c r="D71" i="44"/>
  <c r="E24" i="4"/>
  <c r="E23" i="4"/>
  <c r="F23" i="4" s="1"/>
  <c r="E22" i="4"/>
  <c r="C24" i="4"/>
  <c r="C23" i="4"/>
  <c r="C22" i="4"/>
  <c r="F34" i="48" l="1"/>
  <c r="F57" i="48" s="1"/>
  <c r="H32" i="48"/>
  <c r="F55" i="48"/>
  <c r="F53" i="48"/>
  <c r="F39" i="48"/>
  <c r="F38" i="48"/>
  <c r="F37" i="48"/>
  <c r="F24" i="4"/>
  <c r="C26" i="4"/>
  <c r="D22" i="4" s="1"/>
  <c r="F22" i="4"/>
  <c r="F26" i="4" s="1"/>
  <c r="D24" i="4"/>
  <c r="K23" i="4"/>
  <c r="H23" i="4"/>
  <c r="H24" i="4"/>
  <c r="K24" i="4"/>
  <c r="C75" i="44"/>
  <c r="D75" i="44" s="1"/>
  <c r="I71" i="44"/>
  <c r="M93" i="48" l="1"/>
  <c r="F62" i="48"/>
  <c r="F69" i="48"/>
  <c r="F86" i="48"/>
  <c r="D23" i="4"/>
  <c r="D26" i="4"/>
  <c r="G22" i="4"/>
  <c r="G23" i="4"/>
  <c r="G24" i="4"/>
  <c r="H22" i="4"/>
  <c r="I26" i="4"/>
  <c r="K22" i="4"/>
  <c r="K26" i="4" s="1"/>
  <c r="I75" i="44"/>
  <c r="I77" i="44" s="1"/>
  <c r="F75" i="44"/>
  <c r="E75" i="44"/>
  <c r="J26" i="4" l="1"/>
  <c r="H26" i="4" s="1"/>
  <c r="K32" i="4" s="1"/>
  <c r="G26" i="4"/>
  <c r="J32" i="4" l="1"/>
  <c r="K35" i="4"/>
  <c r="H34" i="48" s="1"/>
  <c r="E33" i="44"/>
  <c r="D33" i="44"/>
  <c r="D40" i="44" s="1"/>
  <c r="C33" i="44"/>
  <c r="G13" i="44"/>
  <c r="E29" i="44"/>
  <c r="D29" i="44"/>
  <c r="D37" i="44" s="1"/>
  <c r="C29" i="44"/>
  <c r="D20" i="46"/>
  <c r="DS13" i="46"/>
  <c r="DR13" i="46"/>
  <c r="DQ13" i="46"/>
  <c r="DP13" i="46"/>
  <c r="DO13" i="46"/>
  <c r="DN13" i="46"/>
  <c r="DM13" i="46"/>
  <c r="DL13" i="46"/>
  <c r="DK13" i="46"/>
  <c r="DJ13" i="46"/>
  <c r="DI13" i="46"/>
  <c r="DH13" i="46"/>
  <c r="DG13" i="46"/>
  <c r="DF13" i="46"/>
  <c r="DE13" i="46"/>
  <c r="DD13" i="46"/>
  <c r="DC13" i="46"/>
  <c r="DB13" i="46"/>
  <c r="DA13" i="46"/>
  <c r="CZ13" i="46"/>
  <c r="CY13" i="46"/>
  <c r="CX13" i="46"/>
  <c r="CW13" i="46"/>
  <c r="CV13" i="46"/>
  <c r="CU13" i="46"/>
  <c r="CT13" i="46"/>
  <c r="CS13" i="46"/>
  <c r="CR13" i="46"/>
  <c r="CQ13" i="46"/>
  <c r="CP13" i="46"/>
  <c r="CO13" i="46"/>
  <c r="CN13" i="46"/>
  <c r="CM13" i="46"/>
  <c r="CL13" i="46"/>
  <c r="CK13" i="46"/>
  <c r="CJ13" i="46"/>
  <c r="CI13" i="46"/>
  <c r="CH13" i="46"/>
  <c r="CG13" i="46"/>
  <c r="CF13" i="46"/>
  <c r="CE13" i="46"/>
  <c r="CD13" i="46"/>
  <c r="CC13" i="46"/>
  <c r="CB13" i="46"/>
  <c r="CA13" i="46"/>
  <c r="BZ13" i="46"/>
  <c r="BY13" i="46"/>
  <c r="BX13" i="46"/>
  <c r="BW13" i="46"/>
  <c r="BV13" i="46"/>
  <c r="BU13" i="46"/>
  <c r="BT13" i="46"/>
  <c r="BS13" i="46"/>
  <c r="BR13" i="46"/>
  <c r="BQ13" i="46"/>
  <c r="BP13" i="46"/>
  <c r="BO13" i="46"/>
  <c r="BN13" i="46"/>
  <c r="BM13" i="46"/>
  <c r="BL13" i="46"/>
  <c r="BK13" i="46"/>
  <c r="BJ13" i="46"/>
  <c r="BI13" i="46"/>
  <c r="BH13" i="46"/>
  <c r="BG13" i="46"/>
  <c r="BF13" i="46"/>
  <c r="BE13" i="46"/>
  <c r="BD13" i="46"/>
  <c r="BC13" i="46"/>
  <c r="BB13" i="46"/>
  <c r="BA13" i="46"/>
  <c r="AZ13" i="46"/>
  <c r="AY13" i="46"/>
  <c r="AX13" i="46"/>
  <c r="AW13" i="46"/>
  <c r="AV13" i="46"/>
  <c r="AU13" i="46"/>
  <c r="AT13" i="46"/>
  <c r="AS13" i="46"/>
  <c r="AR13" i="46"/>
  <c r="AQ13" i="46"/>
  <c r="AP13" i="46"/>
  <c r="AO13" i="46"/>
  <c r="AN13" i="46"/>
  <c r="AM13" i="46"/>
  <c r="AL13" i="46"/>
  <c r="AK13" i="46"/>
  <c r="AJ13" i="46"/>
  <c r="AI13" i="46"/>
  <c r="AH13" i="46"/>
  <c r="AG13" i="46"/>
  <c r="AF13" i="46"/>
  <c r="AE13" i="46"/>
  <c r="AD13" i="46"/>
  <c r="AC13" i="46"/>
  <c r="AB13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DS12" i="46"/>
  <c r="DR12" i="46"/>
  <c r="DQ12" i="46"/>
  <c r="DP12" i="46"/>
  <c r="DO12" i="46"/>
  <c r="DN12" i="46"/>
  <c r="DM12" i="46"/>
  <c r="DL12" i="46"/>
  <c r="DK12" i="46"/>
  <c r="DJ12" i="46"/>
  <c r="DI12" i="46"/>
  <c r="DH12" i="46"/>
  <c r="DG12" i="46"/>
  <c r="DF12" i="46"/>
  <c r="DE12" i="46"/>
  <c r="DD12" i="46"/>
  <c r="DC12" i="46"/>
  <c r="DB12" i="46"/>
  <c r="DA12" i="46"/>
  <c r="CZ12" i="46"/>
  <c r="CY12" i="46"/>
  <c r="CX12" i="46"/>
  <c r="CW12" i="46"/>
  <c r="CV12" i="46"/>
  <c r="CU12" i="46"/>
  <c r="CT12" i="46"/>
  <c r="CS12" i="46"/>
  <c r="CR12" i="46"/>
  <c r="CQ12" i="46"/>
  <c r="CP12" i="46"/>
  <c r="CO12" i="46"/>
  <c r="CN12" i="46"/>
  <c r="CM12" i="46"/>
  <c r="CL12" i="46"/>
  <c r="CK12" i="46"/>
  <c r="CJ12" i="46"/>
  <c r="CI12" i="46"/>
  <c r="CH12" i="46"/>
  <c r="CG12" i="46"/>
  <c r="CF12" i="46"/>
  <c r="CE12" i="46"/>
  <c r="CD12" i="46"/>
  <c r="CC12" i="46"/>
  <c r="CB12" i="46"/>
  <c r="CA12" i="46"/>
  <c r="BZ12" i="46"/>
  <c r="BY12" i="46"/>
  <c r="BX12" i="46"/>
  <c r="BW12" i="46"/>
  <c r="BV12" i="46"/>
  <c r="BU12" i="46"/>
  <c r="BT12" i="46"/>
  <c r="BS12" i="46"/>
  <c r="BR12" i="46"/>
  <c r="BQ12" i="46"/>
  <c r="BP12" i="46"/>
  <c r="BO12" i="46"/>
  <c r="BN12" i="46"/>
  <c r="BM12" i="46"/>
  <c r="BL12" i="46"/>
  <c r="BK12" i="46"/>
  <c r="BJ12" i="46"/>
  <c r="BI12" i="46"/>
  <c r="BH12" i="46"/>
  <c r="BG12" i="46"/>
  <c r="BF12" i="46"/>
  <c r="BE12" i="46"/>
  <c r="BD12" i="46"/>
  <c r="BC12" i="46"/>
  <c r="BB12" i="46"/>
  <c r="BA12" i="46"/>
  <c r="AZ12" i="46"/>
  <c r="AY12" i="46"/>
  <c r="AX12" i="46"/>
  <c r="AW12" i="46"/>
  <c r="AV12" i="46"/>
  <c r="AU12" i="46"/>
  <c r="AT12" i="46"/>
  <c r="AS12" i="46"/>
  <c r="AR12" i="46"/>
  <c r="AQ12" i="46"/>
  <c r="AP12" i="46"/>
  <c r="AO12" i="46"/>
  <c r="AN12" i="46"/>
  <c r="AM12" i="46"/>
  <c r="AL1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DS11" i="46"/>
  <c r="DR11" i="46"/>
  <c r="DQ11" i="46"/>
  <c r="DP11" i="46"/>
  <c r="DO11" i="46"/>
  <c r="DN11" i="46"/>
  <c r="DM11" i="46"/>
  <c r="DL11" i="46"/>
  <c r="DK11" i="46"/>
  <c r="DJ11" i="46"/>
  <c r="DI11" i="46"/>
  <c r="DH11" i="46"/>
  <c r="DG11" i="46"/>
  <c r="DF11" i="46"/>
  <c r="DE11" i="46"/>
  <c r="DD11" i="46"/>
  <c r="DC11" i="46"/>
  <c r="DB11" i="46"/>
  <c r="DA11" i="46"/>
  <c r="CZ11" i="46"/>
  <c r="CY11" i="46"/>
  <c r="CX11" i="46"/>
  <c r="CW11" i="46"/>
  <c r="CV11" i="46"/>
  <c r="CU11" i="46"/>
  <c r="CT11" i="46"/>
  <c r="CS11" i="46"/>
  <c r="CR11" i="46"/>
  <c r="CQ11" i="46"/>
  <c r="CP11" i="46"/>
  <c r="CO11" i="46"/>
  <c r="CN11" i="46"/>
  <c r="CM11" i="46"/>
  <c r="CL11" i="46"/>
  <c r="CK11" i="46"/>
  <c r="CJ11" i="46"/>
  <c r="CI11" i="46"/>
  <c r="CH11" i="46"/>
  <c r="CG11" i="46"/>
  <c r="CF11" i="46"/>
  <c r="CE11" i="46"/>
  <c r="CD11" i="46"/>
  <c r="CC11" i="46"/>
  <c r="CB11" i="46"/>
  <c r="CA11" i="46"/>
  <c r="BZ11" i="46"/>
  <c r="BY11" i="46"/>
  <c r="BX11" i="46"/>
  <c r="BW11" i="46"/>
  <c r="BV11" i="46"/>
  <c r="BU11" i="46"/>
  <c r="BT11" i="46"/>
  <c r="BS11" i="46"/>
  <c r="BR11" i="46"/>
  <c r="BQ11" i="46"/>
  <c r="BP11" i="46"/>
  <c r="BO11" i="46"/>
  <c r="BN11" i="46"/>
  <c r="BM11" i="46"/>
  <c r="BL11" i="46"/>
  <c r="BK11" i="46"/>
  <c r="BJ11" i="46"/>
  <c r="BI11" i="46"/>
  <c r="BH11" i="46"/>
  <c r="BG11" i="46"/>
  <c r="BF11" i="46"/>
  <c r="BE11" i="46"/>
  <c r="BD11" i="46"/>
  <c r="BC11" i="46"/>
  <c r="BB11" i="46"/>
  <c r="BA11" i="46"/>
  <c r="AZ11" i="46"/>
  <c r="AY11" i="46"/>
  <c r="AX11" i="46"/>
  <c r="AW11" i="46"/>
  <c r="AV11" i="46"/>
  <c r="AU11" i="46"/>
  <c r="AT11" i="46"/>
  <c r="AS11" i="46"/>
  <c r="AR11" i="46"/>
  <c r="AQ11" i="46"/>
  <c r="AP11" i="46"/>
  <c r="AO11" i="46"/>
  <c r="AN11" i="46"/>
  <c r="AM11" i="46"/>
  <c r="AL11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E11" i="46"/>
  <c r="D11" i="46"/>
  <c r="D8" i="46"/>
  <c r="D7" i="46" s="1"/>
  <c r="D5" i="46" s="1"/>
  <c r="M69" i="45"/>
  <c r="L69" i="45"/>
  <c r="K69" i="45"/>
  <c r="J69" i="45"/>
  <c r="I69" i="45"/>
  <c r="H69" i="45"/>
  <c r="G69" i="45"/>
  <c r="F69" i="45"/>
  <c r="E69" i="45"/>
  <c r="D69" i="45"/>
  <c r="M67" i="45"/>
  <c r="L67" i="45"/>
  <c r="K67" i="45"/>
  <c r="J67" i="45"/>
  <c r="I67" i="45"/>
  <c r="H67" i="45"/>
  <c r="G67" i="45"/>
  <c r="F67" i="45"/>
  <c r="E67" i="45"/>
  <c r="D67" i="45"/>
  <c r="B48" i="45"/>
  <c r="D10" i="45"/>
  <c r="E10" i="45" s="1"/>
  <c r="F10" i="45" s="1"/>
  <c r="G10" i="45" s="1"/>
  <c r="H10" i="45" s="1"/>
  <c r="I10" i="45" s="1"/>
  <c r="J10" i="45" s="1"/>
  <c r="K10" i="45" s="1"/>
  <c r="L10" i="45" s="1"/>
  <c r="M10" i="45" s="1"/>
  <c r="L54" i="44"/>
  <c r="B51" i="44"/>
  <c r="B48" i="44"/>
  <c r="B47" i="44"/>
  <c r="E44" i="44"/>
  <c r="E48" i="44" s="1"/>
  <c r="B44" i="44"/>
  <c r="F43" i="44"/>
  <c r="F47" i="44" s="1"/>
  <c r="F49" i="44" s="1"/>
  <c r="B43" i="44"/>
  <c r="F41" i="44"/>
  <c r="F40" i="44"/>
  <c r="F44" i="44" s="1"/>
  <c r="F48" i="44" s="1"/>
  <c r="E40" i="44"/>
  <c r="C40" i="44"/>
  <c r="C44" i="44" s="1"/>
  <c r="B40" i="44"/>
  <c r="W39" i="44"/>
  <c r="F39" i="44"/>
  <c r="E39" i="44"/>
  <c r="E43" i="44" s="1"/>
  <c r="C39" i="44"/>
  <c r="C43" i="44" s="1"/>
  <c r="B39" i="44"/>
  <c r="W37" i="44"/>
  <c r="G36" i="44"/>
  <c r="B36" i="44"/>
  <c r="J35" i="44"/>
  <c r="I35" i="44"/>
  <c r="B35" i="44"/>
  <c r="L34" i="44"/>
  <c r="F31" i="44"/>
  <c r="F37" i="44" s="1"/>
  <c r="E31" i="44"/>
  <c r="D31" i="44"/>
  <c r="C31" i="44"/>
  <c r="G61" i="44" s="1"/>
  <c r="L30" i="44"/>
  <c r="G30" i="44"/>
  <c r="B30" i="44"/>
  <c r="B29" i="44"/>
  <c r="K27" i="44"/>
  <c r="G24" i="44"/>
  <c r="K15" i="44"/>
  <c r="P7" i="44"/>
  <c r="Z6" i="44"/>
  <c r="V5" i="44"/>
  <c r="B2" i="46"/>
  <c r="K9" i="43"/>
  <c r="C9" i="43"/>
  <c r="B9" i="43"/>
  <c r="J9" i="43" s="1"/>
  <c r="E32" i="42"/>
  <c r="F32" i="42" s="1"/>
  <c r="G32" i="42" s="1"/>
  <c r="D28" i="42"/>
  <c r="E27" i="42"/>
  <c r="F27" i="42" s="1"/>
  <c r="G27" i="42" s="1"/>
  <c r="E26" i="42"/>
  <c r="F26" i="42" s="1"/>
  <c r="G26" i="42" s="1"/>
  <c r="E25" i="42"/>
  <c r="E24" i="42"/>
  <c r="F24" i="42" s="1"/>
  <c r="D20" i="42"/>
  <c r="E19" i="42"/>
  <c r="F19" i="42" s="1"/>
  <c r="G19" i="42" s="1"/>
  <c r="E18" i="42"/>
  <c r="F18" i="42" s="1"/>
  <c r="G18" i="42" s="1"/>
  <c r="E17" i="42"/>
  <c r="F17" i="42" s="1"/>
  <c r="D11" i="42"/>
  <c r="H7" i="42"/>
  <c r="H5" i="42"/>
  <c r="B2" i="42"/>
  <c r="G28" i="41"/>
  <c r="F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28" i="41" s="1"/>
  <c r="B2" i="41"/>
  <c r="D6" i="46" l="1"/>
  <c r="E41" i="44"/>
  <c r="D39" i="44"/>
  <c r="D43" i="44" s="1"/>
  <c r="D47" i="44" s="1"/>
  <c r="D41" i="44"/>
  <c r="G29" i="44"/>
  <c r="G39" i="44" s="1"/>
  <c r="G60" i="44"/>
  <c r="E28" i="42"/>
  <c r="E20" i="42"/>
  <c r="C48" i="44"/>
  <c r="C47" i="44"/>
  <c r="C45" i="44"/>
  <c r="G43" i="44"/>
  <c r="G17" i="42"/>
  <c r="F20" i="42"/>
  <c r="E47" i="44"/>
  <c r="E49" i="44" s="1"/>
  <c r="E45" i="44"/>
  <c r="J75" i="45"/>
  <c r="I75" i="45"/>
  <c r="H75" i="45"/>
  <c r="G75" i="45"/>
  <c r="F75" i="45"/>
  <c r="M75" i="45"/>
  <c r="E75" i="45"/>
  <c r="L75" i="45"/>
  <c r="G66" i="44"/>
  <c r="G65" i="44"/>
  <c r="G68" i="44" s="1"/>
  <c r="K75" i="45"/>
  <c r="F25" i="42"/>
  <c r="D9" i="43"/>
  <c r="L9" i="43"/>
  <c r="G35" i="44"/>
  <c r="C37" i="44"/>
  <c r="B2" i="45"/>
  <c r="B5" i="45" s="1"/>
  <c r="M9" i="43"/>
  <c r="N9" i="43"/>
  <c r="G40" i="44"/>
  <c r="F9" i="43"/>
  <c r="E37" i="44"/>
  <c r="G9" i="43"/>
  <c r="B15" i="43"/>
  <c r="G31" i="44"/>
  <c r="G63" i="44" s="1"/>
  <c r="K35" i="44"/>
  <c r="L35" i="44" s="1"/>
  <c r="E9" i="43"/>
  <c r="H9" i="43"/>
  <c r="DO14" i="46"/>
  <c r="DG14" i="46"/>
  <c r="CY14" i="46"/>
  <c r="CQ14" i="46"/>
  <c r="CI14" i="46"/>
  <c r="CA14" i="46"/>
  <c r="BS14" i="46"/>
  <c r="BK14" i="46"/>
  <c r="BC14" i="46"/>
  <c r="AU14" i="46"/>
  <c r="AM14" i="46"/>
  <c r="AE14" i="46"/>
  <c r="W14" i="46"/>
  <c r="O14" i="46"/>
  <c r="G14" i="46"/>
  <c r="DL14" i="46"/>
  <c r="DD14" i="46"/>
  <c r="CV14" i="46"/>
  <c r="CN14" i="46"/>
  <c r="CF14" i="46"/>
  <c r="BX14" i="46"/>
  <c r="BP14" i="46"/>
  <c r="BH14" i="46"/>
  <c r="AZ14" i="46"/>
  <c r="AR14" i="46"/>
  <c r="AJ14" i="46"/>
  <c r="AB14" i="46"/>
  <c r="T14" i="46"/>
  <c r="L14" i="46"/>
  <c r="D14" i="46"/>
  <c r="DS14" i="46"/>
  <c r="DI14" i="46"/>
  <c r="CX14" i="46"/>
  <c r="CM14" i="46"/>
  <c r="CC14" i="46"/>
  <c r="BR14" i="46"/>
  <c r="BG14" i="46"/>
  <c r="AW14" i="46"/>
  <c r="AL14" i="46"/>
  <c r="AA14" i="46"/>
  <c r="Q14" i="46"/>
  <c r="F14" i="46"/>
  <c r="DR14" i="46"/>
  <c r="DH14" i="46"/>
  <c r="CW14" i="46"/>
  <c r="CL14" i="46"/>
  <c r="CB14" i="46"/>
  <c r="BQ14" i="46"/>
  <c r="BF14" i="46"/>
  <c r="AV14" i="46"/>
  <c r="AK14" i="46"/>
  <c r="Z14" i="46"/>
  <c r="P14" i="46"/>
  <c r="E14" i="46"/>
  <c r="DQ14" i="46"/>
  <c r="DF14" i="46"/>
  <c r="CU14" i="46"/>
  <c r="CK14" i="46"/>
  <c r="BZ14" i="46"/>
  <c r="BO14" i="46"/>
  <c r="BE14" i="46"/>
  <c r="AT14" i="46"/>
  <c r="AI14" i="46"/>
  <c r="Y14" i="46"/>
  <c r="N14" i="46"/>
  <c r="DP14" i="46"/>
  <c r="DE14" i="46"/>
  <c r="CT14" i="46"/>
  <c r="CJ14" i="46"/>
  <c r="BY14" i="46"/>
  <c r="BN14" i="46"/>
  <c r="BD14" i="46"/>
  <c r="AS14" i="46"/>
  <c r="AH14" i="46"/>
  <c r="X14" i="46"/>
  <c r="M14" i="46"/>
  <c r="DN14" i="46"/>
  <c r="DC14" i="46"/>
  <c r="CS14" i="46"/>
  <c r="CH14" i="46"/>
  <c r="BW14" i="46"/>
  <c r="BM14" i="46"/>
  <c r="BB14" i="46"/>
  <c r="AQ14" i="46"/>
  <c r="AG14" i="46"/>
  <c r="V14" i="46"/>
  <c r="K14" i="46"/>
  <c r="DM14" i="46"/>
  <c r="DB14" i="46"/>
  <c r="CR14" i="46"/>
  <c r="CG14" i="46"/>
  <c r="BV14" i="46"/>
  <c r="BL14" i="46"/>
  <c r="BA14" i="46"/>
  <c r="AP14" i="46"/>
  <c r="AF14" i="46"/>
  <c r="U14" i="46"/>
  <c r="J14" i="46"/>
  <c r="DK14" i="46"/>
  <c r="DA14" i="46"/>
  <c r="CP14" i="46"/>
  <c r="CE14" i="46"/>
  <c r="BU14" i="46"/>
  <c r="BJ14" i="46"/>
  <c r="AY14" i="46"/>
  <c r="AO14" i="46"/>
  <c r="AD14" i="46"/>
  <c r="S14" i="46"/>
  <c r="I14" i="46"/>
  <c r="DJ14" i="46"/>
  <c r="CZ14" i="46"/>
  <c r="CO14" i="46"/>
  <c r="CD14" i="46"/>
  <c r="BT14" i="46"/>
  <c r="BI14" i="46"/>
  <c r="AX14" i="46"/>
  <c r="AN14" i="46"/>
  <c r="AC14" i="46"/>
  <c r="R14" i="46"/>
  <c r="H14" i="46"/>
  <c r="C41" i="44"/>
  <c r="D44" i="44"/>
  <c r="D48" i="44" s="1"/>
  <c r="D49" i="44" s="1"/>
  <c r="F45" i="44"/>
  <c r="B6" i="45"/>
  <c r="I9" i="43"/>
  <c r="D75" i="46"/>
  <c r="D16" i="46"/>
  <c r="D15" i="46"/>
  <c r="D28" i="46"/>
  <c r="D21" i="46"/>
  <c r="E8" i="46"/>
  <c r="E7" i="46" s="1"/>
  <c r="G44" i="44" l="1"/>
  <c r="G48" i="44"/>
  <c r="O7" i="44"/>
  <c r="F28" i="42"/>
  <c r="G25" i="42"/>
  <c r="G20" i="42"/>
  <c r="E20" i="46"/>
  <c r="E5" i="46"/>
  <c r="D24" i="46"/>
  <c r="E24" i="46"/>
  <c r="G55" i="44"/>
  <c r="G33" i="44"/>
  <c r="D5" i="42"/>
  <c r="G53" i="44"/>
  <c r="Q7" i="44"/>
  <c r="G54" i="44"/>
  <c r="W36" i="44"/>
  <c r="D45" i="44"/>
  <c r="G45" i="44" s="1"/>
  <c r="C49" i="44"/>
  <c r="G47" i="44"/>
  <c r="G49" i="44" s="1"/>
  <c r="E21" i="46"/>
  <c r="E6" i="46"/>
  <c r="E28" i="46"/>
  <c r="F8" i="46"/>
  <c r="G41" i="44"/>
  <c r="G37" i="44"/>
  <c r="M15" i="43"/>
  <c r="E15" i="43"/>
  <c r="L15" i="43"/>
  <c r="D15" i="43"/>
  <c r="E23" i="46" s="1"/>
  <c r="K15" i="43"/>
  <c r="C15" i="43"/>
  <c r="D23" i="46" s="1"/>
  <c r="H15" i="43"/>
  <c r="N15" i="43"/>
  <c r="J15" i="43"/>
  <c r="I15" i="43"/>
  <c r="G15" i="43"/>
  <c r="F15" i="43"/>
  <c r="F7" i="46" l="1"/>
  <c r="F5" i="46" s="1"/>
  <c r="H25" i="42"/>
  <c r="F75" i="46"/>
  <c r="F16" i="46"/>
  <c r="F15" i="46"/>
  <c r="D7" i="42"/>
  <c r="G24" i="42" s="1"/>
  <c r="H19" i="42"/>
  <c r="H32" i="42"/>
  <c r="H26" i="42"/>
  <c r="H27" i="42"/>
  <c r="H18" i="42"/>
  <c r="F24" i="46"/>
  <c r="F27" i="46" s="1"/>
  <c r="H17" i="42"/>
  <c r="E75" i="46"/>
  <c r="E74" i="46" s="1"/>
  <c r="E16" i="46"/>
  <c r="E15" i="46"/>
  <c r="F28" i="46"/>
  <c r="F21" i="46"/>
  <c r="F23" i="46"/>
  <c r="G8" i="46"/>
  <c r="F6" i="46"/>
  <c r="W50" i="44"/>
  <c r="W40" i="44"/>
  <c r="W41" i="44" s="1"/>
  <c r="W42" i="44" s="1"/>
  <c r="W43" i="44" s="1"/>
  <c r="W44" i="44" s="1"/>
  <c r="W45" i="44" s="1"/>
  <c r="W46" i="44" s="1"/>
  <c r="W47" i="44" s="1"/>
  <c r="W48" i="44" s="1"/>
  <c r="W49" i="44" s="1"/>
  <c r="F20" i="46"/>
  <c r="D74" i="46"/>
  <c r="F74" i="46"/>
  <c r="Q20" i="44"/>
  <c r="Q23" i="44"/>
  <c r="Q12" i="44"/>
  <c r="Q28" i="44"/>
  <c r="Q25" i="44"/>
  <c r="Q31" i="44"/>
  <c r="Q19" i="44"/>
  <c r="Q18" i="44"/>
  <c r="Q22" i="44"/>
  <c r="Q17" i="44"/>
  <c r="Q30" i="44"/>
  <c r="Q26" i="44"/>
  <c r="Q27" i="44"/>
  <c r="Q11" i="44"/>
  <c r="Q29" i="44"/>
  <c r="Q24" i="44"/>
  <c r="Q13" i="44"/>
  <c r="D27" i="46"/>
  <c r="E27" i="46"/>
  <c r="E62" i="46" l="1"/>
  <c r="E61" i="46"/>
  <c r="E63" i="46"/>
  <c r="E55" i="46"/>
  <c r="E60" i="46"/>
  <c r="E53" i="46"/>
  <c r="E54" i="46"/>
  <c r="G7" i="46"/>
  <c r="G20" i="46" s="1"/>
  <c r="H20" i="42"/>
  <c r="F63" i="46"/>
  <c r="F61" i="46"/>
  <c r="F60" i="46"/>
  <c r="F62" i="46"/>
  <c r="F54" i="46"/>
  <c r="F55" i="46"/>
  <c r="F53" i="46"/>
  <c r="G28" i="46"/>
  <c r="G23" i="46"/>
  <c r="G21" i="46"/>
  <c r="H8" i="46"/>
  <c r="G6" i="46"/>
  <c r="E29" i="46"/>
  <c r="D63" i="46"/>
  <c r="D62" i="46"/>
  <c r="D61" i="46"/>
  <c r="D60" i="46"/>
  <c r="D55" i="46"/>
  <c r="D54" i="46"/>
  <c r="D53" i="46"/>
  <c r="D29" i="46"/>
  <c r="G28" i="42"/>
  <c r="H24" i="42"/>
  <c r="H28" i="42" s="1"/>
  <c r="DP72" i="46"/>
  <c r="DH72" i="46"/>
  <c r="CZ72" i="46"/>
  <c r="CR72" i="46"/>
  <c r="CJ72" i="46"/>
  <c r="CB72" i="46"/>
  <c r="BT72" i="46"/>
  <c r="BL72" i="46"/>
  <c r="BD72" i="46"/>
  <c r="AV72" i="46"/>
  <c r="AN72" i="46"/>
  <c r="AF72" i="46"/>
  <c r="X72" i="46"/>
  <c r="P72" i="46"/>
  <c r="H72" i="46"/>
  <c r="DO72" i="46"/>
  <c r="DG72" i="46"/>
  <c r="CY72" i="46"/>
  <c r="CQ72" i="46"/>
  <c r="CI72" i="46"/>
  <c r="CA72" i="46"/>
  <c r="BS72" i="46"/>
  <c r="BK72" i="46"/>
  <c r="BC72" i="46"/>
  <c r="AU72" i="46"/>
  <c r="AM72" i="46"/>
  <c r="AE72" i="46"/>
  <c r="W72" i="46"/>
  <c r="O72" i="46"/>
  <c r="G72" i="46"/>
  <c r="DL72" i="46"/>
  <c r="DD72" i="46"/>
  <c r="CV72" i="46"/>
  <c r="CN72" i="46"/>
  <c r="CF72" i="46"/>
  <c r="BX72" i="46"/>
  <c r="BP72" i="46"/>
  <c r="BH72" i="46"/>
  <c r="AZ72" i="46"/>
  <c r="AR72" i="46"/>
  <c r="AJ72" i="46"/>
  <c r="AB72" i="46"/>
  <c r="T72" i="46"/>
  <c r="L72" i="46"/>
  <c r="D72" i="46"/>
  <c r="DS72" i="46"/>
  <c r="DK72" i="46"/>
  <c r="DC72" i="46"/>
  <c r="CU72" i="46"/>
  <c r="CM72" i="46"/>
  <c r="CE72" i="46"/>
  <c r="DN72" i="46"/>
  <c r="CX72" i="46"/>
  <c r="CH72" i="46"/>
  <c r="BU72" i="46"/>
  <c r="BG72" i="46"/>
  <c r="AT72" i="46"/>
  <c r="AH72" i="46"/>
  <c r="U72" i="46"/>
  <c r="I72" i="46"/>
  <c r="DM72" i="46"/>
  <c r="CW72" i="46"/>
  <c r="CG72" i="46"/>
  <c r="BR72" i="46"/>
  <c r="BF72" i="46"/>
  <c r="AS72" i="46"/>
  <c r="AG72" i="46"/>
  <c r="S72" i="46"/>
  <c r="F72" i="46"/>
  <c r="DF72" i="46"/>
  <c r="CP72" i="46"/>
  <c r="BZ72" i="46"/>
  <c r="BN72" i="46"/>
  <c r="BA72" i="46"/>
  <c r="AO72" i="46"/>
  <c r="AA72" i="46"/>
  <c r="N72" i="46"/>
  <c r="DE72" i="46"/>
  <c r="CO72" i="46"/>
  <c r="BY72" i="46"/>
  <c r="BM72" i="46"/>
  <c r="AY72" i="46"/>
  <c r="AL72" i="46"/>
  <c r="Z72" i="46"/>
  <c r="M72" i="46"/>
  <c r="DA72" i="46"/>
  <c r="BV72" i="46"/>
  <c r="AW72" i="46"/>
  <c r="V72" i="46"/>
  <c r="CT72" i="46"/>
  <c r="BQ72" i="46"/>
  <c r="AQ72" i="46"/>
  <c r="R72" i="46"/>
  <c r="DI72" i="46"/>
  <c r="BO72" i="46"/>
  <c r="AI72" i="46"/>
  <c r="DB72" i="46"/>
  <c r="BJ72" i="46"/>
  <c r="AD72" i="46"/>
  <c r="CS72" i="46"/>
  <c r="BI72" i="46"/>
  <c r="AC72" i="46"/>
  <c r="CL72" i="46"/>
  <c r="BE72" i="46"/>
  <c r="Y72" i="46"/>
  <c r="CK72" i="46"/>
  <c r="BB72" i="46"/>
  <c r="Q72" i="46"/>
  <c r="DR72" i="46"/>
  <c r="CD72" i="46"/>
  <c r="AX72" i="46"/>
  <c r="K72" i="46"/>
  <c r="BW72" i="46"/>
  <c r="E72" i="46"/>
  <c r="DQ72" i="46"/>
  <c r="DJ72" i="46"/>
  <c r="AK72" i="46"/>
  <c r="CC72" i="46"/>
  <c r="AP72" i="46"/>
  <c r="J72" i="46"/>
  <c r="H7" i="46"/>
  <c r="F29" i="46"/>
  <c r="O21" i="44"/>
  <c r="P21" i="44"/>
  <c r="F54" i="48" l="1"/>
  <c r="H20" i="46"/>
  <c r="Q21" i="44"/>
  <c r="F57" i="46" s="1"/>
  <c r="H5" i="46"/>
  <c r="H24" i="46"/>
  <c r="P14" i="44"/>
  <c r="O14" i="44"/>
  <c r="P15" i="44"/>
  <c r="O15" i="44"/>
  <c r="F48" i="48" s="1"/>
  <c r="H28" i="46"/>
  <c r="H23" i="46"/>
  <c r="H21" i="46"/>
  <c r="I8" i="46"/>
  <c r="H6" i="46"/>
  <c r="G5" i="46"/>
  <c r="G24" i="46"/>
  <c r="F56" i="48" l="1"/>
  <c r="H54" i="48"/>
  <c r="F52" i="48"/>
  <c r="H48" i="48"/>
  <c r="F40" i="48"/>
  <c r="Q14" i="44"/>
  <c r="D44" i="46" s="1"/>
  <c r="D57" i="46"/>
  <c r="E57" i="46"/>
  <c r="Q15" i="44"/>
  <c r="D52" i="46" s="1"/>
  <c r="H27" i="46"/>
  <c r="G27" i="46"/>
  <c r="G75" i="46"/>
  <c r="G74" i="46" s="1"/>
  <c r="G16" i="46"/>
  <c r="G15" i="46"/>
  <c r="I21" i="46"/>
  <c r="I28" i="46"/>
  <c r="I23" i="46"/>
  <c r="J8" i="46"/>
  <c r="J7" i="46" s="1"/>
  <c r="I6" i="46"/>
  <c r="I7" i="46"/>
  <c r="H75" i="46"/>
  <c r="H74" i="46" s="1"/>
  <c r="H16" i="46"/>
  <c r="H15" i="46"/>
  <c r="F63" i="48" l="1"/>
  <c r="F64" i="48" s="1"/>
  <c r="F42" i="48"/>
  <c r="F44" i="48" s="1"/>
  <c r="F45" i="48" s="1"/>
  <c r="H40" i="48"/>
  <c r="E44" i="46"/>
  <c r="F44" i="46"/>
  <c r="E52" i="46"/>
  <c r="F52" i="46"/>
  <c r="J21" i="46"/>
  <c r="J28" i="46"/>
  <c r="J23" i="46"/>
  <c r="K8" i="46"/>
  <c r="J6" i="46"/>
  <c r="J5" i="46"/>
  <c r="J24" i="46"/>
  <c r="G63" i="46"/>
  <c r="G62" i="46"/>
  <c r="G61" i="46"/>
  <c r="G60" i="46"/>
  <c r="G57" i="46"/>
  <c r="G55" i="46"/>
  <c r="G54" i="46"/>
  <c r="G53" i="46"/>
  <c r="G44" i="46"/>
  <c r="G52" i="46"/>
  <c r="G29" i="46"/>
  <c r="H63" i="46"/>
  <c r="H62" i="46"/>
  <c r="H60" i="46"/>
  <c r="H55" i="46"/>
  <c r="H54" i="46"/>
  <c r="H53" i="46"/>
  <c r="H52" i="46"/>
  <c r="H57" i="46"/>
  <c r="H44" i="46"/>
  <c r="H61" i="46"/>
  <c r="H29" i="46"/>
  <c r="I5" i="46"/>
  <c r="I24" i="46"/>
  <c r="I20" i="46"/>
  <c r="J20" i="46" s="1"/>
  <c r="F66" i="48" l="1"/>
  <c r="F67" i="48" s="1"/>
  <c r="K21" i="46"/>
  <c r="K28" i="46"/>
  <c r="K23" i="46"/>
  <c r="L8" i="46"/>
  <c r="K6" i="46"/>
  <c r="K7" i="46"/>
  <c r="K20" i="46" s="1"/>
  <c r="J75" i="46"/>
  <c r="J74" i="46" s="1"/>
  <c r="J15" i="46"/>
  <c r="J16" i="46"/>
  <c r="I75" i="46"/>
  <c r="I74" i="46" s="1"/>
  <c r="I16" i="46"/>
  <c r="I15" i="46"/>
  <c r="I27" i="46"/>
  <c r="J27" i="46"/>
  <c r="F75" i="48" l="1"/>
  <c r="F80" i="48" s="1"/>
  <c r="I80" i="48" s="1"/>
  <c r="K5" i="46"/>
  <c r="K24" i="46"/>
  <c r="L28" i="46"/>
  <c r="L23" i="46"/>
  <c r="L21" i="46"/>
  <c r="M8" i="46"/>
  <c r="L6" i="46"/>
  <c r="L7" i="46"/>
  <c r="L20" i="46" s="1"/>
  <c r="J63" i="46"/>
  <c r="J62" i="46"/>
  <c r="J61" i="46"/>
  <c r="J60" i="46"/>
  <c r="J57" i="46"/>
  <c r="J54" i="46"/>
  <c r="J52" i="46"/>
  <c r="J55" i="46"/>
  <c r="J44" i="46"/>
  <c r="J53" i="46"/>
  <c r="J29" i="46"/>
  <c r="I63" i="46"/>
  <c r="I62" i="46"/>
  <c r="I60" i="46"/>
  <c r="I61" i="46"/>
  <c r="I57" i="46"/>
  <c r="I54" i="46"/>
  <c r="I53" i="46"/>
  <c r="I55" i="46"/>
  <c r="I52" i="46"/>
  <c r="I44" i="46"/>
  <c r="I29" i="46"/>
  <c r="M94" i="48" l="1"/>
  <c r="O94" i="48" s="1"/>
  <c r="F78" i="48"/>
  <c r="F83" i="48" s="1"/>
  <c r="F89" i="48" s="1"/>
  <c r="F76" i="48"/>
  <c r="K27" i="46"/>
  <c r="L5" i="46"/>
  <c r="L24" i="46"/>
  <c r="L27" i="46" s="1"/>
  <c r="K75" i="46"/>
  <c r="K74" i="46" s="1"/>
  <c r="K15" i="46"/>
  <c r="K16" i="46"/>
  <c r="M21" i="46"/>
  <c r="M28" i="46"/>
  <c r="M23" i="46"/>
  <c r="M6" i="46"/>
  <c r="N8" i="46"/>
  <c r="M7" i="46"/>
  <c r="L75" i="46" l="1"/>
  <c r="L74" i="46" s="1"/>
  <c r="L16" i="46"/>
  <c r="L15" i="46"/>
  <c r="L63" i="46"/>
  <c r="L62" i="46"/>
  <c r="L61" i="46"/>
  <c r="L55" i="46"/>
  <c r="L54" i="46"/>
  <c r="L53" i="46"/>
  <c r="L52" i="46"/>
  <c r="L57" i="46"/>
  <c r="L60" i="46"/>
  <c r="L44" i="46"/>
  <c r="L29" i="46"/>
  <c r="N28" i="46"/>
  <c r="N23" i="46"/>
  <c r="N21" i="46"/>
  <c r="O8" i="46"/>
  <c r="N6" i="46"/>
  <c r="N7" i="46"/>
  <c r="M5" i="46"/>
  <c r="M24" i="46"/>
  <c r="K63" i="46"/>
  <c r="K62" i="46"/>
  <c r="K61" i="46"/>
  <c r="K57" i="46"/>
  <c r="K60" i="46"/>
  <c r="K55" i="46"/>
  <c r="K52" i="46"/>
  <c r="K44" i="46"/>
  <c r="K53" i="46"/>
  <c r="K54" i="46"/>
  <c r="K29" i="46"/>
  <c r="M20" i="46"/>
  <c r="O28" i="46" l="1"/>
  <c r="O23" i="46"/>
  <c r="O21" i="46"/>
  <c r="P8" i="46"/>
  <c r="O6" i="46"/>
  <c r="O7" i="46"/>
  <c r="M75" i="46"/>
  <c r="M74" i="46" s="1"/>
  <c r="M15" i="46"/>
  <c r="M16" i="46"/>
  <c r="M27" i="46"/>
  <c r="N5" i="46"/>
  <c r="N24" i="46"/>
  <c r="N27" i="46" s="1"/>
  <c r="N20" i="46"/>
  <c r="O20" i="46" s="1"/>
  <c r="O5" i="46" l="1"/>
  <c r="O24" i="46"/>
  <c r="O27" i="46" s="1"/>
  <c r="M60" i="46"/>
  <c r="M63" i="46"/>
  <c r="M57" i="46"/>
  <c r="M61" i="46"/>
  <c r="M53" i="46"/>
  <c r="M62" i="46"/>
  <c r="M44" i="46"/>
  <c r="M54" i="46"/>
  <c r="M55" i="46"/>
  <c r="M52" i="46"/>
  <c r="M29" i="46"/>
  <c r="N57" i="46"/>
  <c r="N61" i="46"/>
  <c r="N53" i="46"/>
  <c r="N60" i="46"/>
  <c r="N52" i="46"/>
  <c r="N62" i="46"/>
  <c r="N63" i="46"/>
  <c r="N54" i="46"/>
  <c r="N55" i="46"/>
  <c r="N44" i="46"/>
  <c r="N29" i="46"/>
  <c r="N75" i="46"/>
  <c r="N74" i="46" s="1"/>
  <c r="N16" i="46"/>
  <c r="N15" i="46"/>
  <c r="P28" i="46"/>
  <c r="P23" i="46"/>
  <c r="P21" i="46"/>
  <c r="Q8" i="46"/>
  <c r="P6" i="46"/>
  <c r="P7" i="46"/>
  <c r="P20" i="46" s="1"/>
  <c r="O63" i="46" l="1"/>
  <c r="O62" i="46"/>
  <c r="O61" i="46"/>
  <c r="O60" i="46"/>
  <c r="O57" i="46"/>
  <c r="O55" i="46"/>
  <c r="O54" i="46"/>
  <c r="O53" i="46"/>
  <c r="O52" i="46"/>
  <c r="O44" i="46"/>
  <c r="O29" i="46"/>
  <c r="P5" i="46"/>
  <c r="P24" i="46"/>
  <c r="P27" i="46" s="1"/>
  <c r="Q23" i="46"/>
  <c r="Q28" i="46"/>
  <c r="R8" i="46"/>
  <c r="Q6" i="46"/>
  <c r="Q21" i="46"/>
  <c r="Q7" i="46"/>
  <c r="Q20" i="46" s="1"/>
  <c r="O75" i="46"/>
  <c r="O74" i="46" s="1"/>
  <c r="O16" i="46"/>
  <c r="O15" i="46"/>
  <c r="P63" i="46" l="1"/>
  <c r="P62" i="46"/>
  <c r="P61" i="46"/>
  <c r="P57" i="46"/>
  <c r="P55" i="46"/>
  <c r="P54" i="46"/>
  <c r="P53" i="46"/>
  <c r="P52" i="46"/>
  <c r="P60" i="46"/>
  <c r="P44" i="46"/>
  <c r="P29" i="46"/>
  <c r="R21" i="46"/>
  <c r="R23" i="46"/>
  <c r="S8" i="46"/>
  <c r="R6" i="46"/>
  <c r="R28" i="46"/>
  <c r="R7" i="46"/>
  <c r="P75" i="46"/>
  <c r="P74" i="46" s="1"/>
  <c r="P16" i="46"/>
  <c r="P15" i="46"/>
  <c r="Q5" i="46"/>
  <c r="Q24" i="46"/>
  <c r="Q27" i="46" s="1"/>
  <c r="S28" i="46" l="1"/>
  <c r="S23" i="46"/>
  <c r="T8" i="46"/>
  <c r="S6" i="46"/>
  <c r="S21" i="46"/>
  <c r="S7" i="46"/>
  <c r="R5" i="46"/>
  <c r="R24" i="46"/>
  <c r="R27" i="46" s="1"/>
  <c r="Q63" i="46"/>
  <c r="Q62" i="46"/>
  <c r="Q61" i="46"/>
  <c r="Q60" i="46"/>
  <c r="Q57" i="46"/>
  <c r="Q55" i="46"/>
  <c r="Q54" i="46"/>
  <c r="Q53" i="46"/>
  <c r="Q52" i="46"/>
  <c r="Q44" i="46"/>
  <c r="Q29" i="46"/>
  <c r="Q75" i="46"/>
  <c r="Q74" i="46" s="1"/>
  <c r="Q16" i="46"/>
  <c r="Q15" i="46"/>
  <c r="R20" i="46"/>
  <c r="R75" i="46" l="1"/>
  <c r="R74" i="46" s="1"/>
  <c r="R16" i="46"/>
  <c r="R15" i="46"/>
  <c r="S5" i="46"/>
  <c r="S24" i="46"/>
  <c r="S27" i="46" s="1"/>
  <c r="T28" i="46"/>
  <c r="T23" i="46"/>
  <c r="T21" i="46"/>
  <c r="U8" i="46"/>
  <c r="T6" i="46"/>
  <c r="T7" i="46"/>
  <c r="S20" i="46"/>
  <c r="T20" i="46" s="1"/>
  <c r="R63" i="46"/>
  <c r="R62" i="46"/>
  <c r="R61" i="46"/>
  <c r="R60" i="46"/>
  <c r="R57" i="46"/>
  <c r="R55" i="46"/>
  <c r="R53" i="46"/>
  <c r="R54" i="46"/>
  <c r="R52" i="46"/>
  <c r="R44" i="46"/>
  <c r="R29" i="46"/>
  <c r="S63" i="46" l="1"/>
  <c r="S62" i="46"/>
  <c r="S60" i="46"/>
  <c r="S61" i="46"/>
  <c r="S57" i="46"/>
  <c r="S53" i="46"/>
  <c r="S54" i="46"/>
  <c r="S52" i="46"/>
  <c r="S44" i="46"/>
  <c r="S55" i="46"/>
  <c r="S29" i="46"/>
  <c r="T5" i="46"/>
  <c r="T24" i="46"/>
  <c r="T27" i="46" s="1"/>
  <c r="U21" i="46"/>
  <c r="U28" i="46"/>
  <c r="U23" i="46"/>
  <c r="U6" i="46"/>
  <c r="V8" i="46"/>
  <c r="U7" i="46"/>
  <c r="S75" i="46"/>
  <c r="S74" i="46" s="1"/>
  <c r="S16" i="46"/>
  <c r="S15" i="46"/>
  <c r="U5" i="46" l="1"/>
  <c r="U24" i="46"/>
  <c r="U27" i="46" s="1"/>
  <c r="T75" i="46"/>
  <c r="T74" i="46" s="1"/>
  <c r="T16" i="46"/>
  <c r="T15" i="46"/>
  <c r="T63" i="46"/>
  <c r="T62" i="46"/>
  <c r="T55" i="46"/>
  <c r="T54" i="46"/>
  <c r="T53" i="46"/>
  <c r="T52" i="46"/>
  <c r="T60" i="46"/>
  <c r="T44" i="46"/>
  <c r="T57" i="46"/>
  <c r="T61" i="46"/>
  <c r="T29" i="46"/>
  <c r="V21" i="46"/>
  <c r="V28" i="46"/>
  <c r="V23" i="46"/>
  <c r="W8" i="46"/>
  <c r="V6" i="46"/>
  <c r="V7" i="46"/>
  <c r="U20" i="46"/>
  <c r="V5" i="46" l="1"/>
  <c r="V24" i="46"/>
  <c r="V27" i="46" s="1"/>
  <c r="V20" i="46"/>
  <c r="U62" i="46"/>
  <c r="U61" i="46"/>
  <c r="U57" i="46"/>
  <c r="U60" i="46"/>
  <c r="U54" i="46"/>
  <c r="U63" i="46"/>
  <c r="U53" i="46"/>
  <c r="U52" i="46"/>
  <c r="U44" i="46"/>
  <c r="U55" i="46"/>
  <c r="U29" i="46"/>
  <c r="W28" i="46"/>
  <c r="W23" i="46"/>
  <c r="W21" i="46"/>
  <c r="X8" i="46"/>
  <c r="W6" i="46"/>
  <c r="W7" i="46"/>
  <c r="U75" i="46"/>
  <c r="U74" i="46" s="1"/>
  <c r="U16" i="46"/>
  <c r="U15" i="46"/>
  <c r="W20" i="46" l="1"/>
  <c r="W5" i="46"/>
  <c r="W24" i="46"/>
  <c r="W27" i="46" s="1"/>
  <c r="V60" i="46"/>
  <c r="V62" i="46"/>
  <c r="V57" i="46"/>
  <c r="V54" i="46"/>
  <c r="V63" i="46"/>
  <c r="V61" i="46"/>
  <c r="V53" i="46"/>
  <c r="V44" i="46"/>
  <c r="V55" i="46"/>
  <c r="V52" i="46"/>
  <c r="V29" i="46"/>
  <c r="X28" i="46"/>
  <c r="X23" i="46"/>
  <c r="X21" i="46"/>
  <c r="Y8" i="46"/>
  <c r="X6" i="46"/>
  <c r="X7" i="46"/>
  <c r="V75" i="46"/>
  <c r="V74" i="46" s="1"/>
  <c r="V16" i="46"/>
  <c r="V15" i="46"/>
  <c r="X5" i="46" l="1"/>
  <c r="X24" i="46"/>
  <c r="X27" i="46" s="1"/>
  <c r="Y21" i="46"/>
  <c r="Y28" i="46"/>
  <c r="Y23" i="46"/>
  <c r="Z8" i="46"/>
  <c r="Y6" i="46"/>
  <c r="Y7" i="46"/>
  <c r="W63" i="46"/>
  <c r="W62" i="46"/>
  <c r="W61" i="46"/>
  <c r="W60" i="46"/>
  <c r="W57" i="46"/>
  <c r="W55" i="46"/>
  <c r="W54" i="46"/>
  <c r="W53" i="46"/>
  <c r="W44" i="46"/>
  <c r="W52" i="46"/>
  <c r="W29" i="46"/>
  <c r="W75" i="46"/>
  <c r="W74" i="46" s="1"/>
  <c r="W16" i="46"/>
  <c r="W15" i="46"/>
  <c r="X20" i="46"/>
  <c r="Y20" i="46" s="1"/>
  <c r="Z21" i="46" l="1"/>
  <c r="Z28" i="46"/>
  <c r="Z23" i="46"/>
  <c r="AA8" i="46"/>
  <c r="Z6" i="46"/>
  <c r="Z7" i="46"/>
  <c r="Z20" i="46" s="1"/>
  <c r="Y5" i="46"/>
  <c r="Y24" i="46"/>
  <c r="Y27" i="46" s="1"/>
  <c r="X63" i="46"/>
  <c r="X62" i="46"/>
  <c r="X60" i="46"/>
  <c r="X55" i="46"/>
  <c r="X54" i="46"/>
  <c r="X53" i="46"/>
  <c r="X52" i="46"/>
  <c r="X44" i="46"/>
  <c r="X61" i="46"/>
  <c r="X57" i="46"/>
  <c r="X29" i="46"/>
  <c r="X75" i="46"/>
  <c r="X74" i="46" s="1"/>
  <c r="X16" i="46"/>
  <c r="X15" i="46"/>
  <c r="Z5" i="46" l="1"/>
  <c r="Z24" i="46"/>
  <c r="Z27" i="46" s="1"/>
  <c r="AA28" i="46"/>
  <c r="AA23" i="46"/>
  <c r="AB8" i="46"/>
  <c r="AA6" i="46"/>
  <c r="AA21" i="46"/>
  <c r="AA7" i="46"/>
  <c r="AA20" i="46" s="1"/>
  <c r="Y63" i="46"/>
  <c r="Y62" i="46"/>
  <c r="Y60" i="46"/>
  <c r="Y61" i="46"/>
  <c r="Y52" i="46"/>
  <c r="Y57" i="46"/>
  <c r="Y55" i="46"/>
  <c r="Y53" i="46"/>
  <c r="Y44" i="46"/>
  <c r="Y54" i="46"/>
  <c r="Y29" i="46"/>
  <c r="Y75" i="46"/>
  <c r="Y74" i="46" s="1"/>
  <c r="Y16" i="46"/>
  <c r="Y15" i="46"/>
  <c r="AB28" i="46" l="1"/>
  <c r="AB23" i="46"/>
  <c r="AB21" i="46"/>
  <c r="AC8" i="46"/>
  <c r="AB6" i="46"/>
  <c r="AB7" i="46"/>
  <c r="Z63" i="46"/>
  <c r="Z62" i="46"/>
  <c r="Z61" i="46"/>
  <c r="Z60" i="46"/>
  <c r="Z57" i="46"/>
  <c r="Z52" i="46"/>
  <c r="Z53" i="46"/>
  <c r="Z44" i="46"/>
  <c r="Z54" i="46"/>
  <c r="Z55" i="46"/>
  <c r="Z29" i="46"/>
  <c r="AA5" i="46"/>
  <c r="AA24" i="46"/>
  <c r="AA27" i="46" s="1"/>
  <c r="Z75" i="46"/>
  <c r="Z74" i="46" s="1"/>
  <c r="Z16" i="46"/>
  <c r="Z15" i="46"/>
  <c r="AB5" i="46" l="1"/>
  <c r="AB24" i="46"/>
  <c r="AB27" i="46" s="1"/>
  <c r="AA63" i="46"/>
  <c r="AA62" i="46"/>
  <c r="AA61" i="46"/>
  <c r="AA57" i="46"/>
  <c r="AA53" i="46"/>
  <c r="AA54" i="46"/>
  <c r="AA55" i="46"/>
  <c r="AA52" i="46"/>
  <c r="AA60" i="46"/>
  <c r="AA44" i="46"/>
  <c r="AA29" i="46"/>
  <c r="AC23" i="46"/>
  <c r="AC28" i="46"/>
  <c r="AC6" i="46"/>
  <c r="AC21" i="46"/>
  <c r="AD8" i="46"/>
  <c r="AC7" i="46"/>
  <c r="AA75" i="46"/>
  <c r="AA74" i="46" s="1"/>
  <c r="AA16" i="46"/>
  <c r="AA15" i="46"/>
  <c r="AB20" i="46"/>
  <c r="AC5" i="46" l="1"/>
  <c r="AC24" i="46"/>
  <c r="AC27" i="46" s="1"/>
  <c r="AB63" i="46"/>
  <c r="AB62" i="46"/>
  <c r="AB57" i="46"/>
  <c r="AB55" i="46"/>
  <c r="AB54" i="46"/>
  <c r="AB53" i="46"/>
  <c r="AB52" i="46"/>
  <c r="AB61" i="46"/>
  <c r="AB60" i="46"/>
  <c r="AB44" i="46"/>
  <c r="AB29" i="46"/>
  <c r="AC20" i="46"/>
  <c r="AB75" i="46"/>
  <c r="AB74" i="46" s="1"/>
  <c r="AB16" i="46"/>
  <c r="AB15" i="46"/>
  <c r="AD21" i="46"/>
  <c r="AD23" i="46"/>
  <c r="AD28" i="46"/>
  <c r="AE8" i="46"/>
  <c r="AD6" i="46"/>
  <c r="AD7" i="46"/>
  <c r="AD20" i="46" l="1"/>
  <c r="AE28" i="46"/>
  <c r="AE23" i="46"/>
  <c r="AE21" i="46"/>
  <c r="AF8" i="46"/>
  <c r="AE6" i="46"/>
  <c r="AE7" i="46"/>
  <c r="AD5" i="46"/>
  <c r="AD24" i="46"/>
  <c r="AD27" i="46" s="1"/>
  <c r="AC63" i="46"/>
  <c r="AC60" i="46"/>
  <c r="AC57" i="46"/>
  <c r="AC62" i="46"/>
  <c r="AC61" i="46"/>
  <c r="AC55" i="46"/>
  <c r="AC54" i="46"/>
  <c r="AC52" i="46"/>
  <c r="AC44" i="46"/>
  <c r="AC53" i="46"/>
  <c r="AC29" i="46"/>
  <c r="AC75" i="46"/>
  <c r="AC74" i="46" s="1"/>
  <c r="AC16" i="46"/>
  <c r="AC15" i="46"/>
  <c r="AF28" i="46" l="1"/>
  <c r="AF23" i="46"/>
  <c r="AF21" i="46"/>
  <c r="AG8" i="46"/>
  <c r="AF6" i="46"/>
  <c r="AF7" i="46"/>
  <c r="AE5" i="46"/>
  <c r="AE24" i="46"/>
  <c r="AE27" i="46" s="1"/>
  <c r="AD61" i="46"/>
  <c r="AD63" i="46"/>
  <c r="AD62" i="46"/>
  <c r="AD55" i="46"/>
  <c r="AD57" i="46"/>
  <c r="AD60" i="46"/>
  <c r="AD44" i="46"/>
  <c r="AD53" i="46"/>
  <c r="AD52" i="46"/>
  <c r="AD54" i="46"/>
  <c r="AD29" i="46"/>
  <c r="AD75" i="46"/>
  <c r="AD74" i="46" s="1"/>
  <c r="AD16" i="46"/>
  <c r="AD15" i="46"/>
  <c r="AE20" i="46"/>
  <c r="AF5" i="46" l="1"/>
  <c r="AF24" i="46"/>
  <c r="AF27" i="46" s="1"/>
  <c r="AG28" i="46"/>
  <c r="AG23" i="46"/>
  <c r="AG21" i="46"/>
  <c r="AH8" i="46"/>
  <c r="AG6" i="46"/>
  <c r="AG7" i="46"/>
  <c r="AE75" i="46"/>
  <c r="AE74" i="46" s="1"/>
  <c r="AE16" i="46"/>
  <c r="AE15" i="46"/>
  <c r="AF20" i="46"/>
  <c r="AE63" i="46"/>
  <c r="AE62" i="46"/>
  <c r="AE61" i="46"/>
  <c r="AE60" i="46"/>
  <c r="AE57" i="46"/>
  <c r="AE55" i="46"/>
  <c r="AE54" i="46"/>
  <c r="AE53" i="46"/>
  <c r="AE44" i="46"/>
  <c r="AE52" i="46"/>
  <c r="AE29" i="46"/>
  <c r="AG20" i="46" l="1"/>
  <c r="AH21" i="46"/>
  <c r="AH28" i="46"/>
  <c r="AH23" i="46"/>
  <c r="AI8" i="46"/>
  <c r="AH6" i="46"/>
  <c r="AH7" i="46"/>
  <c r="AF63" i="46"/>
  <c r="AF62" i="46"/>
  <c r="AF61" i="46"/>
  <c r="AF57" i="46"/>
  <c r="AF55" i="46"/>
  <c r="AF54" i="46"/>
  <c r="AF53" i="46"/>
  <c r="AF52" i="46"/>
  <c r="AF60" i="46"/>
  <c r="AF44" i="46"/>
  <c r="AF29" i="46"/>
  <c r="AG5" i="46"/>
  <c r="AG24" i="46"/>
  <c r="AG27" i="46" s="1"/>
  <c r="AF75" i="46"/>
  <c r="AF74" i="46" s="1"/>
  <c r="AF16" i="46"/>
  <c r="AF15" i="46"/>
  <c r="AG63" i="46" l="1"/>
  <c r="AG62" i="46"/>
  <c r="AG61" i="46"/>
  <c r="AG57" i="46"/>
  <c r="AG60" i="46"/>
  <c r="AG55" i="46"/>
  <c r="AG44" i="46"/>
  <c r="AG53" i="46"/>
  <c r="AG54" i="46"/>
  <c r="AG52" i="46"/>
  <c r="AG29" i="46"/>
  <c r="AI21" i="46"/>
  <c r="AI28" i="46"/>
  <c r="AI23" i="46"/>
  <c r="AJ8" i="46"/>
  <c r="AI6" i="46"/>
  <c r="AI7" i="46"/>
  <c r="AG75" i="46"/>
  <c r="AG74" i="46" s="1"/>
  <c r="AG16" i="46"/>
  <c r="AG15" i="46"/>
  <c r="AH5" i="46"/>
  <c r="AH24" i="46"/>
  <c r="AH27" i="46" s="1"/>
  <c r="AH20" i="46"/>
  <c r="AI5" i="46" l="1"/>
  <c r="AI24" i="46"/>
  <c r="AI27" i="46" s="1"/>
  <c r="AH75" i="46"/>
  <c r="AH74" i="46" s="1"/>
  <c r="AH15" i="46"/>
  <c r="AH16" i="46"/>
  <c r="AI20" i="46"/>
  <c r="AH63" i="46"/>
  <c r="AH62" i="46"/>
  <c r="AH61" i="46"/>
  <c r="AH60" i="46"/>
  <c r="AH57" i="46"/>
  <c r="AH54" i="46"/>
  <c r="AH53" i="46"/>
  <c r="AH44" i="46"/>
  <c r="AH52" i="46"/>
  <c r="AH55" i="46"/>
  <c r="AH29" i="46"/>
  <c r="AJ28" i="46"/>
  <c r="AJ23" i="46"/>
  <c r="AJ21" i="46"/>
  <c r="AK8" i="46"/>
  <c r="AJ6" i="46"/>
  <c r="AJ7" i="46"/>
  <c r="AJ20" i="46" l="1"/>
  <c r="AK21" i="46"/>
  <c r="AK28" i="46"/>
  <c r="AK23" i="46"/>
  <c r="AK6" i="46"/>
  <c r="AL8" i="46"/>
  <c r="AK7" i="46"/>
  <c r="AK20" i="46" s="1"/>
  <c r="AJ5" i="46"/>
  <c r="AJ24" i="46"/>
  <c r="AJ27" i="46" s="1"/>
  <c r="AI63" i="46"/>
  <c r="AI62" i="46"/>
  <c r="AI60" i="46"/>
  <c r="AI61" i="46"/>
  <c r="AI57" i="46"/>
  <c r="AI54" i="46"/>
  <c r="AI52" i="46"/>
  <c r="AI44" i="46"/>
  <c r="AI53" i="46"/>
  <c r="AI55" i="46"/>
  <c r="AI29" i="46"/>
  <c r="AI75" i="46"/>
  <c r="AI74" i="46" s="1"/>
  <c r="AI15" i="46"/>
  <c r="AI16" i="46"/>
  <c r="AL21" i="46" l="1"/>
  <c r="AL28" i="46"/>
  <c r="AL23" i="46"/>
  <c r="AM8" i="46"/>
  <c r="AL6" i="46"/>
  <c r="AL7" i="46"/>
  <c r="AK5" i="46"/>
  <c r="AK24" i="46"/>
  <c r="AK27" i="46" s="1"/>
  <c r="AJ63" i="46"/>
  <c r="AJ62" i="46"/>
  <c r="AJ57" i="46"/>
  <c r="AJ55" i="46"/>
  <c r="AJ54" i="46"/>
  <c r="AJ53" i="46"/>
  <c r="AJ52" i="46"/>
  <c r="AJ61" i="46"/>
  <c r="AJ60" i="46"/>
  <c r="AJ44" i="46"/>
  <c r="AJ29" i="46"/>
  <c r="AJ75" i="46"/>
  <c r="AJ74" i="46" s="1"/>
  <c r="AJ16" i="46"/>
  <c r="AJ15" i="46"/>
  <c r="AM28" i="46" l="1"/>
  <c r="AM23" i="46"/>
  <c r="AM21" i="46"/>
  <c r="AN8" i="46"/>
  <c r="AM6" i="46"/>
  <c r="AM7" i="46"/>
  <c r="AL5" i="46"/>
  <c r="AL24" i="46"/>
  <c r="AL27" i="46" s="1"/>
  <c r="AK62" i="46"/>
  <c r="AK61" i="46"/>
  <c r="AK57" i="46"/>
  <c r="AK60" i="46"/>
  <c r="AK52" i="46"/>
  <c r="AK63" i="46"/>
  <c r="AK55" i="46"/>
  <c r="AK44" i="46"/>
  <c r="AK53" i="46"/>
  <c r="AK54" i="46"/>
  <c r="AK29" i="46"/>
  <c r="AK75" i="46"/>
  <c r="AK74" i="46" s="1"/>
  <c r="AK16" i="46"/>
  <c r="AK15" i="46"/>
  <c r="AL20" i="46"/>
  <c r="AL75" i="46" l="1"/>
  <c r="AL74" i="46" s="1"/>
  <c r="AL16" i="46"/>
  <c r="AL15" i="46"/>
  <c r="AN28" i="46"/>
  <c r="AN23" i="46"/>
  <c r="AN21" i="46"/>
  <c r="AO8" i="46"/>
  <c r="AN6" i="46"/>
  <c r="AN7" i="46"/>
  <c r="AM20" i="46"/>
  <c r="AN20" i="46" s="1"/>
  <c r="AM5" i="46"/>
  <c r="AM24" i="46"/>
  <c r="AM27" i="46" s="1"/>
  <c r="AL60" i="46"/>
  <c r="AL62" i="46"/>
  <c r="AL61" i="46"/>
  <c r="AL57" i="46"/>
  <c r="AL63" i="46"/>
  <c r="AL53" i="46"/>
  <c r="AL44" i="46"/>
  <c r="AL54" i="46"/>
  <c r="AL52" i="46"/>
  <c r="AL55" i="46"/>
  <c r="AL29" i="46"/>
  <c r="AM63" i="46" l="1"/>
  <c r="AM62" i="46"/>
  <c r="AM61" i="46"/>
  <c r="AM60" i="46"/>
  <c r="AM57" i="46"/>
  <c r="AM55" i="46"/>
  <c r="AM54" i="46"/>
  <c r="AM53" i="46"/>
  <c r="AM44" i="46"/>
  <c r="AM52" i="46"/>
  <c r="AM29" i="46"/>
  <c r="AM75" i="46"/>
  <c r="AM74" i="46" s="1"/>
  <c r="AM16" i="46"/>
  <c r="AM15" i="46"/>
  <c r="AO28" i="46"/>
  <c r="AO23" i="46"/>
  <c r="AO21" i="46"/>
  <c r="AP8" i="46"/>
  <c r="AO6" i="46"/>
  <c r="AO7" i="46"/>
  <c r="AN5" i="46"/>
  <c r="AN24" i="46"/>
  <c r="AN27" i="46" s="1"/>
  <c r="AP23" i="46" l="1"/>
  <c r="AP28" i="46"/>
  <c r="AP21" i="46"/>
  <c r="AQ8" i="46"/>
  <c r="AP6" i="46"/>
  <c r="AP7" i="46"/>
  <c r="AO5" i="46"/>
  <c r="AO24" i="46"/>
  <c r="AO27" i="46" s="1"/>
  <c r="AN63" i="46"/>
  <c r="AN62" i="46"/>
  <c r="AN60" i="46"/>
  <c r="AN55" i="46"/>
  <c r="AN54" i="46"/>
  <c r="AN53" i="46"/>
  <c r="AN52" i="46"/>
  <c r="AN61" i="46"/>
  <c r="AN57" i="46"/>
  <c r="AN44" i="46"/>
  <c r="AN29" i="46"/>
  <c r="AN75" i="46"/>
  <c r="AN74" i="46" s="1"/>
  <c r="AN16" i="46"/>
  <c r="AN15" i="46"/>
  <c r="AO20" i="46"/>
  <c r="AP5" i="46" l="1"/>
  <c r="AP24" i="46"/>
  <c r="AP27" i="46" s="1"/>
  <c r="AQ21" i="46"/>
  <c r="AQ23" i="46"/>
  <c r="AR8" i="46"/>
  <c r="AQ6" i="46"/>
  <c r="AQ28" i="46"/>
  <c r="AQ7" i="46"/>
  <c r="AP20" i="46"/>
  <c r="AO75" i="46"/>
  <c r="AO74" i="46" s="1"/>
  <c r="AO16" i="46"/>
  <c r="AO15" i="46"/>
  <c r="AO63" i="46"/>
  <c r="AO62" i="46"/>
  <c r="AO57" i="46"/>
  <c r="AO60" i="46"/>
  <c r="AO53" i="46"/>
  <c r="AO52" i="46"/>
  <c r="AO54" i="46"/>
  <c r="AO61" i="46"/>
  <c r="AO55" i="46"/>
  <c r="AO44" i="46"/>
  <c r="AO29" i="46"/>
  <c r="AQ20" i="46" l="1"/>
  <c r="AR28" i="46"/>
  <c r="AR23" i="46"/>
  <c r="AR21" i="46"/>
  <c r="AS8" i="46"/>
  <c r="AR6" i="46"/>
  <c r="AR7" i="46"/>
  <c r="AP63" i="46"/>
  <c r="AP62" i="46"/>
  <c r="AP61" i="46"/>
  <c r="AP60" i="46"/>
  <c r="AP57" i="46"/>
  <c r="AP55" i="46"/>
  <c r="AP54" i="46"/>
  <c r="AP52" i="46"/>
  <c r="AP53" i="46"/>
  <c r="AP44" i="46"/>
  <c r="AP29" i="46"/>
  <c r="AQ5" i="46"/>
  <c r="AQ24" i="46"/>
  <c r="AQ27" i="46" s="1"/>
  <c r="AP75" i="46"/>
  <c r="AP74" i="46" s="1"/>
  <c r="AP16" i="46"/>
  <c r="AP15" i="46"/>
  <c r="AR5" i="46" l="1"/>
  <c r="AR24" i="46"/>
  <c r="AR27" i="46" s="1"/>
  <c r="AQ63" i="46"/>
  <c r="AQ62" i="46"/>
  <c r="AQ61" i="46"/>
  <c r="AQ57" i="46"/>
  <c r="AQ60" i="46"/>
  <c r="AQ55" i="46"/>
  <c r="AQ53" i="46"/>
  <c r="AQ52" i="46"/>
  <c r="AQ54" i="46"/>
  <c r="AQ44" i="46"/>
  <c r="AQ29" i="46"/>
  <c r="AS28" i="46"/>
  <c r="AS21" i="46"/>
  <c r="AS6" i="46"/>
  <c r="AS23" i="46"/>
  <c r="AT8" i="46"/>
  <c r="AS7" i="46"/>
  <c r="AQ75" i="46"/>
  <c r="AQ74" i="46" s="1"/>
  <c r="AQ16" i="46"/>
  <c r="AQ15" i="46"/>
  <c r="AR20" i="46"/>
  <c r="AS5" i="46" l="1"/>
  <c r="AS24" i="46"/>
  <c r="AS27" i="46" s="1"/>
  <c r="AT21" i="46"/>
  <c r="AT28" i="46"/>
  <c r="AT23" i="46"/>
  <c r="AU8" i="46"/>
  <c r="AT6" i="46"/>
  <c r="AT7" i="46"/>
  <c r="AR63" i="46"/>
  <c r="AR62" i="46"/>
  <c r="AR57" i="46"/>
  <c r="AR55" i="46"/>
  <c r="AR54" i="46"/>
  <c r="AR53" i="46"/>
  <c r="AR52" i="46"/>
  <c r="AR60" i="46"/>
  <c r="AR61" i="46"/>
  <c r="AR44" i="46"/>
  <c r="AR29" i="46"/>
  <c r="AS20" i="46"/>
  <c r="AR75" i="46"/>
  <c r="AR74" i="46" s="1"/>
  <c r="AR16" i="46"/>
  <c r="AR15" i="46"/>
  <c r="AT20" i="46" l="1"/>
  <c r="AU28" i="46"/>
  <c r="AU23" i="46"/>
  <c r="AU21" i="46"/>
  <c r="AV8" i="46"/>
  <c r="AU6" i="46"/>
  <c r="AU7" i="46"/>
  <c r="AU20" i="46" s="1"/>
  <c r="AS60" i="46"/>
  <c r="AS63" i="46"/>
  <c r="AS62" i="46"/>
  <c r="AS61" i="46"/>
  <c r="AS53" i="46"/>
  <c r="AS52" i="46"/>
  <c r="AS57" i="46"/>
  <c r="AS54" i="46"/>
  <c r="AS55" i="46"/>
  <c r="AS44" i="46"/>
  <c r="AS29" i="46"/>
  <c r="AT5" i="46"/>
  <c r="AT24" i="46"/>
  <c r="AT27" i="46" s="1"/>
  <c r="AS75" i="46"/>
  <c r="AS74" i="46" s="1"/>
  <c r="AS15" i="46"/>
  <c r="AS16" i="46"/>
  <c r="AT61" i="46" l="1"/>
  <c r="AT63" i="46"/>
  <c r="AT60" i="46"/>
  <c r="AT62" i="46"/>
  <c r="AT54" i="46"/>
  <c r="AT52" i="46"/>
  <c r="AT57" i="46"/>
  <c r="AT53" i="46"/>
  <c r="AT55" i="46"/>
  <c r="AT44" i="46"/>
  <c r="AT29" i="46"/>
  <c r="AV28" i="46"/>
  <c r="AV23" i="46"/>
  <c r="AV21" i="46"/>
  <c r="AW8" i="46"/>
  <c r="AV6" i="46"/>
  <c r="AV7" i="46"/>
  <c r="AU5" i="46"/>
  <c r="AU24" i="46"/>
  <c r="AU27" i="46" s="1"/>
  <c r="AT75" i="46"/>
  <c r="AT74" i="46" s="1"/>
  <c r="AT16" i="46"/>
  <c r="AT15" i="46"/>
  <c r="AU63" i="46" l="1"/>
  <c r="AU62" i="46"/>
  <c r="AU61" i="46"/>
  <c r="AU60" i="46"/>
  <c r="AU57" i="46"/>
  <c r="AU55" i="46"/>
  <c r="AU54" i="46"/>
  <c r="AU53" i="46"/>
  <c r="AU52" i="46"/>
  <c r="AU44" i="46"/>
  <c r="AU29" i="46"/>
  <c r="AV5" i="46"/>
  <c r="AV24" i="46"/>
  <c r="AV27" i="46" s="1"/>
  <c r="AW21" i="46"/>
  <c r="AW28" i="46"/>
  <c r="AW23" i="46"/>
  <c r="AX8" i="46"/>
  <c r="AW6" i="46"/>
  <c r="AW7" i="46"/>
  <c r="AU75" i="46"/>
  <c r="AU74" i="46" s="1"/>
  <c r="AU16" i="46"/>
  <c r="AU15" i="46"/>
  <c r="AV20" i="46"/>
  <c r="AW5" i="46" l="1"/>
  <c r="AW24" i="46"/>
  <c r="AW27" i="46" s="1"/>
  <c r="AV63" i="46"/>
  <c r="AV62" i="46"/>
  <c r="AV61" i="46"/>
  <c r="AV57" i="46"/>
  <c r="AV55" i="46"/>
  <c r="AV54" i="46"/>
  <c r="AV53" i="46"/>
  <c r="AV52" i="46"/>
  <c r="AV44" i="46"/>
  <c r="AV60" i="46"/>
  <c r="AV29" i="46"/>
  <c r="AV75" i="46"/>
  <c r="AV74" i="46" s="1"/>
  <c r="AV16" i="46"/>
  <c r="AV15" i="46"/>
  <c r="AW20" i="46"/>
  <c r="AX21" i="46"/>
  <c r="AX28" i="46"/>
  <c r="AX23" i="46"/>
  <c r="AY8" i="46"/>
  <c r="AX6" i="46"/>
  <c r="AX7" i="46"/>
  <c r="AX20" i="46" l="1"/>
  <c r="AY21" i="46"/>
  <c r="AY28" i="46"/>
  <c r="AY23" i="46"/>
  <c r="AZ8" i="46"/>
  <c r="AY6" i="46"/>
  <c r="AY7" i="46"/>
  <c r="AW63" i="46"/>
  <c r="AW62" i="46"/>
  <c r="AW54" i="46"/>
  <c r="AW61" i="46"/>
  <c r="AW57" i="46"/>
  <c r="AW60" i="46"/>
  <c r="AW55" i="46"/>
  <c r="AW44" i="46"/>
  <c r="AW52" i="46"/>
  <c r="AW53" i="46"/>
  <c r="AW29" i="46"/>
  <c r="AX5" i="46"/>
  <c r="AX24" i="46"/>
  <c r="AX27" i="46" s="1"/>
  <c r="AW75" i="46"/>
  <c r="AW74" i="46" s="1"/>
  <c r="AW16" i="46"/>
  <c r="AW15" i="46"/>
  <c r="AX63" i="46" l="1"/>
  <c r="AX62" i="46"/>
  <c r="AX61" i="46"/>
  <c r="AX60" i="46"/>
  <c r="AX57" i="46"/>
  <c r="AX55" i="46"/>
  <c r="AX54" i="46"/>
  <c r="AX44" i="46"/>
  <c r="AX53" i="46"/>
  <c r="AX52" i="46"/>
  <c r="AX29" i="46"/>
  <c r="AY5" i="46"/>
  <c r="AY24" i="46"/>
  <c r="AY27" i="46" s="1"/>
  <c r="AY20" i="46"/>
  <c r="AZ20" i="46" s="1"/>
  <c r="AZ28" i="46"/>
  <c r="AZ23" i="46"/>
  <c r="AZ21" i="46"/>
  <c r="BA8" i="46"/>
  <c r="AZ6" i="46"/>
  <c r="AZ7" i="46"/>
  <c r="AX75" i="46"/>
  <c r="AX74" i="46" s="1"/>
  <c r="AX15" i="46"/>
  <c r="AX16" i="46"/>
  <c r="BA28" i="46" l="1"/>
  <c r="BA23" i="46"/>
  <c r="BA6" i="46"/>
  <c r="BA21" i="46"/>
  <c r="BB8" i="46"/>
  <c r="BA7" i="46"/>
  <c r="AZ5" i="46"/>
  <c r="AZ24" i="46"/>
  <c r="AZ27" i="46" s="1"/>
  <c r="AY75" i="46"/>
  <c r="AY74" i="46" s="1"/>
  <c r="AY15" i="46"/>
  <c r="AY16" i="46"/>
  <c r="AY63" i="46"/>
  <c r="AY62" i="46"/>
  <c r="AY60" i="46"/>
  <c r="AY57" i="46"/>
  <c r="AY53" i="46"/>
  <c r="AY61" i="46"/>
  <c r="AY55" i="46"/>
  <c r="AY44" i="46"/>
  <c r="AY52" i="46"/>
  <c r="AY54" i="46"/>
  <c r="AY29" i="46"/>
  <c r="BB23" i="46" l="1"/>
  <c r="BB28" i="46"/>
  <c r="BB21" i="46"/>
  <c r="BC8" i="46"/>
  <c r="BB6" i="46"/>
  <c r="BB7" i="46"/>
  <c r="BA5" i="46"/>
  <c r="BA24" i="46"/>
  <c r="BA27" i="46" s="1"/>
  <c r="AZ63" i="46"/>
  <c r="AZ62" i="46"/>
  <c r="AZ60" i="46"/>
  <c r="AZ55" i="46"/>
  <c r="AZ54" i="46"/>
  <c r="AZ53" i="46"/>
  <c r="AZ52" i="46"/>
  <c r="AZ61" i="46"/>
  <c r="AZ57" i="46"/>
  <c r="AZ44" i="46"/>
  <c r="AZ29" i="46"/>
  <c r="AZ75" i="46"/>
  <c r="AZ74" i="46" s="1"/>
  <c r="AZ16" i="46"/>
  <c r="AZ15" i="46"/>
  <c r="BA20" i="46"/>
  <c r="BC28" i="46" l="1"/>
  <c r="BC23" i="46"/>
  <c r="BC21" i="46"/>
  <c r="BD8" i="46"/>
  <c r="BC6" i="46"/>
  <c r="BC7" i="46"/>
  <c r="BB20" i="46"/>
  <c r="BC20" i="46" s="1"/>
  <c r="BA62" i="46"/>
  <c r="BA61" i="46"/>
  <c r="BA57" i="46"/>
  <c r="BA63" i="46"/>
  <c r="BA60" i="46"/>
  <c r="BA53" i="46"/>
  <c r="BA52" i="46"/>
  <c r="BA54" i="46"/>
  <c r="BA55" i="46"/>
  <c r="BA44" i="46"/>
  <c r="BA29" i="46"/>
  <c r="BB5" i="46"/>
  <c r="BB24" i="46"/>
  <c r="BB27" i="46" s="1"/>
  <c r="BA75" i="46"/>
  <c r="BA74" i="46" s="1"/>
  <c r="BA15" i="46"/>
  <c r="BA16" i="46"/>
  <c r="BD28" i="46" l="1"/>
  <c r="BD23" i="46"/>
  <c r="BD21" i="46"/>
  <c r="BE8" i="46"/>
  <c r="BD6" i="46"/>
  <c r="BD7" i="46"/>
  <c r="BD20" i="46" s="1"/>
  <c r="BB61" i="46"/>
  <c r="BB62" i="46"/>
  <c r="BB63" i="46"/>
  <c r="BB57" i="46"/>
  <c r="BB55" i="46"/>
  <c r="BB60" i="46"/>
  <c r="BB54" i="46"/>
  <c r="BB52" i="46"/>
  <c r="BB53" i="46"/>
  <c r="BB44" i="46"/>
  <c r="BB29" i="46"/>
  <c r="BC5" i="46"/>
  <c r="BC24" i="46"/>
  <c r="BC27" i="46" s="1"/>
  <c r="BB75" i="46"/>
  <c r="BB74" i="46" s="1"/>
  <c r="BB16" i="46"/>
  <c r="BB15" i="46"/>
  <c r="BD5" i="46" l="1"/>
  <c r="BD24" i="46"/>
  <c r="BD27" i="46" s="1"/>
  <c r="BC63" i="46"/>
  <c r="BC62" i="46"/>
  <c r="BC61" i="46"/>
  <c r="BC60" i="46"/>
  <c r="BC57" i="46"/>
  <c r="BC55" i="46"/>
  <c r="BC54" i="46"/>
  <c r="BC53" i="46"/>
  <c r="BC44" i="46"/>
  <c r="BC52" i="46"/>
  <c r="BC29" i="46"/>
  <c r="BC75" i="46"/>
  <c r="BC74" i="46" s="1"/>
  <c r="BC16" i="46"/>
  <c r="BC15" i="46"/>
  <c r="BE21" i="46"/>
  <c r="BE23" i="46"/>
  <c r="BE28" i="46"/>
  <c r="BF8" i="46"/>
  <c r="BE6" i="46"/>
  <c r="BE7" i="46"/>
  <c r="BE20" i="46"/>
  <c r="BF28" i="46" l="1"/>
  <c r="BG8" i="46"/>
  <c r="BF6" i="46"/>
  <c r="BF21" i="46"/>
  <c r="BF23" i="46"/>
  <c r="BF7" i="46"/>
  <c r="BD63" i="46"/>
  <c r="BD62" i="46"/>
  <c r="BD60" i="46"/>
  <c r="BD55" i="46"/>
  <c r="BD54" i="46"/>
  <c r="BD53" i="46"/>
  <c r="BD52" i="46"/>
  <c r="BD57" i="46"/>
  <c r="BD61" i="46"/>
  <c r="BD44" i="46"/>
  <c r="BD29" i="46"/>
  <c r="BE5" i="46"/>
  <c r="BE24" i="46"/>
  <c r="BE27" i="46" s="1"/>
  <c r="BD75" i="46"/>
  <c r="BD74" i="46" s="1"/>
  <c r="BD16" i="46"/>
  <c r="BD15" i="46"/>
  <c r="BE63" i="46" l="1"/>
  <c r="BE62" i="46"/>
  <c r="BE61" i="46"/>
  <c r="BE57" i="46"/>
  <c r="BE55" i="46"/>
  <c r="BE52" i="46"/>
  <c r="BE60" i="46"/>
  <c r="BE53" i="46"/>
  <c r="BE54" i="46"/>
  <c r="BE44" i="46"/>
  <c r="BE29" i="46"/>
  <c r="BE75" i="46"/>
  <c r="BE74" i="46" s="1"/>
  <c r="BE16" i="46"/>
  <c r="BE15" i="46"/>
  <c r="BG21" i="46"/>
  <c r="BG28" i="46"/>
  <c r="BG23" i="46"/>
  <c r="BH8" i="46"/>
  <c r="BG6" i="46"/>
  <c r="BG7" i="46"/>
  <c r="BF5" i="46"/>
  <c r="BF24" i="46"/>
  <c r="BF27" i="46" s="1"/>
  <c r="BF20" i="46"/>
  <c r="BF75" i="46" l="1"/>
  <c r="BF74" i="46" s="1"/>
  <c r="BF15" i="46"/>
  <c r="BF16" i="46"/>
  <c r="BG5" i="46"/>
  <c r="BG24" i="46"/>
  <c r="BG27" i="46" s="1"/>
  <c r="BH28" i="46"/>
  <c r="BH23" i="46"/>
  <c r="BH21" i="46"/>
  <c r="BI8" i="46"/>
  <c r="BH6" i="46"/>
  <c r="BH7" i="46"/>
  <c r="BG20" i="46"/>
  <c r="BH20" i="46" s="1"/>
  <c r="BF63" i="46"/>
  <c r="BF62" i="46"/>
  <c r="BF61" i="46"/>
  <c r="BF60" i="46"/>
  <c r="BF57" i="46"/>
  <c r="BF52" i="46"/>
  <c r="BF53" i="46"/>
  <c r="BF54" i="46"/>
  <c r="BF44" i="46"/>
  <c r="BF55" i="46"/>
  <c r="BF29" i="46"/>
  <c r="BH5" i="46" l="1"/>
  <c r="BH24" i="46"/>
  <c r="BH27" i="46" s="1"/>
  <c r="BG75" i="46"/>
  <c r="BG74" i="46" s="1"/>
  <c r="BG16" i="46"/>
  <c r="BG15" i="46"/>
  <c r="BG63" i="46"/>
  <c r="BG62" i="46"/>
  <c r="BG57" i="46"/>
  <c r="BG61" i="46"/>
  <c r="BG60" i="46"/>
  <c r="BG54" i="46"/>
  <c r="BG53" i="46"/>
  <c r="BG52" i="46"/>
  <c r="BG44" i="46"/>
  <c r="BG55" i="46"/>
  <c r="BG29" i="46"/>
  <c r="BI21" i="46"/>
  <c r="BI28" i="46"/>
  <c r="BI23" i="46"/>
  <c r="BI6" i="46"/>
  <c r="BJ8" i="46"/>
  <c r="BI7" i="46"/>
  <c r="BI5" i="46" l="1"/>
  <c r="BI24" i="46"/>
  <c r="BI27" i="46" s="1"/>
  <c r="BI20" i="46"/>
  <c r="BH63" i="46"/>
  <c r="BH62" i="46"/>
  <c r="BH61" i="46"/>
  <c r="BH60" i="46"/>
  <c r="BH55" i="46"/>
  <c r="BH54" i="46"/>
  <c r="BH53" i="46"/>
  <c r="BH52" i="46"/>
  <c r="BH57" i="46"/>
  <c r="BH44" i="46"/>
  <c r="BH29" i="46"/>
  <c r="BJ21" i="46"/>
  <c r="BJ28" i="46"/>
  <c r="BJ23" i="46"/>
  <c r="BK8" i="46"/>
  <c r="BJ6" i="46"/>
  <c r="BJ7" i="46"/>
  <c r="BH75" i="46"/>
  <c r="BH74" i="46" s="1"/>
  <c r="BH16" i="46"/>
  <c r="BH15" i="46"/>
  <c r="BJ5" i="46" l="1"/>
  <c r="BJ24" i="46"/>
  <c r="BJ27" i="46" s="1"/>
  <c r="BJ20" i="46"/>
  <c r="BK20" i="46" s="1"/>
  <c r="BK28" i="46"/>
  <c r="BK23" i="46"/>
  <c r="BK21" i="46"/>
  <c r="BL8" i="46"/>
  <c r="BK6" i="46"/>
  <c r="BK7" i="46"/>
  <c r="BI63" i="46"/>
  <c r="BI61" i="46"/>
  <c r="BI60" i="46"/>
  <c r="BI57" i="46"/>
  <c r="BI54" i="46"/>
  <c r="BI62" i="46"/>
  <c r="BI52" i="46"/>
  <c r="BI53" i="46"/>
  <c r="BI44" i="46"/>
  <c r="BI55" i="46"/>
  <c r="BI29" i="46"/>
  <c r="BI75" i="46"/>
  <c r="BI74" i="46" s="1"/>
  <c r="BI16" i="46"/>
  <c r="BI15" i="46"/>
  <c r="BL28" i="46" l="1"/>
  <c r="BL23" i="46"/>
  <c r="BL21" i="46"/>
  <c r="BM8" i="46"/>
  <c r="BL6" i="46"/>
  <c r="BL7" i="46"/>
  <c r="BL20" i="46"/>
  <c r="BK5" i="46"/>
  <c r="BK24" i="46"/>
  <c r="BK27" i="46" s="1"/>
  <c r="BJ61" i="46"/>
  <c r="BJ62" i="46"/>
  <c r="BJ57" i="46"/>
  <c r="BJ63" i="46"/>
  <c r="BJ60" i="46"/>
  <c r="BJ55" i="46"/>
  <c r="BJ52" i="46"/>
  <c r="BJ53" i="46"/>
  <c r="BJ44" i="46"/>
  <c r="BJ54" i="46"/>
  <c r="BJ29" i="46"/>
  <c r="BJ75" i="46"/>
  <c r="BJ74" i="46" s="1"/>
  <c r="BJ16" i="46"/>
  <c r="BJ15" i="46"/>
  <c r="BL5" i="46" l="1"/>
  <c r="BL24" i="46"/>
  <c r="BL27" i="46" s="1"/>
  <c r="BK63" i="46"/>
  <c r="BK62" i="46"/>
  <c r="BK61" i="46"/>
  <c r="BK60" i="46"/>
  <c r="BK57" i="46"/>
  <c r="BK55" i="46"/>
  <c r="BK54" i="46"/>
  <c r="BK53" i="46"/>
  <c r="BK52" i="46"/>
  <c r="BK44" i="46"/>
  <c r="BK29" i="46"/>
  <c r="BM21" i="46"/>
  <c r="BM28" i="46"/>
  <c r="BM23" i="46"/>
  <c r="BN8" i="46"/>
  <c r="BM6" i="46"/>
  <c r="BM7" i="46"/>
  <c r="BK75" i="46"/>
  <c r="BK74" i="46" s="1"/>
  <c r="BK16" i="46"/>
  <c r="BK15" i="46"/>
  <c r="BM5" i="46" l="1"/>
  <c r="BM24" i="46"/>
  <c r="BM27" i="46" s="1"/>
  <c r="BL63" i="46"/>
  <c r="BL62" i="46"/>
  <c r="BL57" i="46"/>
  <c r="BL61" i="46"/>
  <c r="BL55" i="46"/>
  <c r="BL54" i="46"/>
  <c r="BL53" i="46"/>
  <c r="BL52" i="46"/>
  <c r="BL60" i="46"/>
  <c r="BL44" i="46"/>
  <c r="BL29" i="46"/>
  <c r="BL75" i="46"/>
  <c r="BL74" i="46" s="1"/>
  <c r="BL16" i="46"/>
  <c r="BL15" i="46"/>
  <c r="BN28" i="46"/>
  <c r="BN23" i="46"/>
  <c r="BO8" i="46"/>
  <c r="BN6" i="46"/>
  <c r="BN21" i="46"/>
  <c r="BN7" i="46"/>
  <c r="BM20" i="46"/>
  <c r="BN20" i="46" s="1"/>
  <c r="BO23" i="46" l="1"/>
  <c r="BO28" i="46"/>
  <c r="BP8" i="46"/>
  <c r="BO6" i="46"/>
  <c r="BO21" i="46"/>
  <c r="BO7" i="46"/>
  <c r="BM63" i="46"/>
  <c r="BM62" i="46"/>
  <c r="BM61" i="46"/>
  <c r="BM60" i="46"/>
  <c r="BM57" i="46"/>
  <c r="BM53" i="46"/>
  <c r="BM52" i="46"/>
  <c r="BM44" i="46"/>
  <c r="BM54" i="46"/>
  <c r="BM55" i="46"/>
  <c r="BM29" i="46"/>
  <c r="BN5" i="46"/>
  <c r="BN24" i="46"/>
  <c r="BN27" i="46" s="1"/>
  <c r="BM75" i="46"/>
  <c r="BM74" i="46" s="1"/>
  <c r="BM16" i="46"/>
  <c r="BM15" i="46"/>
  <c r="BN63" i="46" l="1"/>
  <c r="BN62" i="46"/>
  <c r="BN61" i="46"/>
  <c r="BN60" i="46"/>
  <c r="BN57" i="46"/>
  <c r="BN53" i="46"/>
  <c r="BN54" i="46"/>
  <c r="BN55" i="46"/>
  <c r="BN44" i="46"/>
  <c r="BN52" i="46"/>
  <c r="BN29" i="46"/>
  <c r="BO5" i="46"/>
  <c r="BO24" i="46"/>
  <c r="BO27" i="46" s="1"/>
  <c r="BN75" i="46"/>
  <c r="BN74" i="46" s="1"/>
  <c r="BN16" i="46"/>
  <c r="BN15" i="46"/>
  <c r="BP28" i="46"/>
  <c r="BP23" i="46"/>
  <c r="BP21" i="46"/>
  <c r="BQ8" i="46"/>
  <c r="BP6" i="46"/>
  <c r="BP7" i="46"/>
  <c r="BO20" i="46"/>
  <c r="BP20" i="46" s="1"/>
  <c r="BQ21" i="46" l="1"/>
  <c r="BQ23" i="46"/>
  <c r="BQ6" i="46"/>
  <c r="BQ28" i="46"/>
  <c r="BR8" i="46"/>
  <c r="BQ7" i="46"/>
  <c r="BO75" i="46"/>
  <c r="BO74" i="46" s="1"/>
  <c r="BO15" i="46"/>
  <c r="BO16" i="46"/>
  <c r="BO63" i="46"/>
  <c r="BO62" i="46"/>
  <c r="BO60" i="46"/>
  <c r="BO61" i="46"/>
  <c r="BO55" i="46"/>
  <c r="BO54" i="46"/>
  <c r="BO57" i="46"/>
  <c r="BO53" i="46"/>
  <c r="BO52" i="46"/>
  <c r="BO44" i="46"/>
  <c r="BO29" i="46"/>
  <c r="BP5" i="46"/>
  <c r="BP24" i="46"/>
  <c r="BP27" i="46" s="1"/>
  <c r="BQ5" i="46" l="1"/>
  <c r="BQ24" i="46"/>
  <c r="BQ27" i="46" s="1"/>
  <c r="BR21" i="46"/>
  <c r="BR28" i="46"/>
  <c r="BR23" i="46"/>
  <c r="BS8" i="46"/>
  <c r="BR6" i="46"/>
  <c r="BR7" i="46"/>
  <c r="BP63" i="46"/>
  <c r="BP62" i="46"/>
  <c r="BP61" i="46"/>
  <c r="BP60" i="46"/>
  <c r="BP55" i="46"/>
  <c r="BP54" i="46"/>
  <c r="BP53" i="46"/>
  <c r="BP52" i="46"/>
  <c r="BP57" i="46"/>
  <c r="BP44" i="46"/>
  <c r="BP29" i="46"/>
  <c r="BQ20" i="46"/>
  <c r="BP75" i="46"/>
  <c r="BP74" i="46" s="1"/>
  <c r="BP16" i="46"/>
  <c r="BP15" i="46"/>
  <c r="BR20" i="46" l="1"/>
  <c r="BS28" i="46"/>
  <c r="BS23" i="46"/>
  <c r="BS21" i="46"/>
  <c r="BT8" i="46"/>
  <c r="BS6" i="46"/>
  <c r="BS7" i="46"/>
  <c r="BR5" i="46"/>
  <c r="BR24" i="46"/>
  <c r="BR27" i="46" s="1"/>
  <c r="BQ61" i="46"/>
  <c r="BQ62" i="46"/>
  <c r="BQ57" i="46"/>
  <c r="BQ63" i="46"/>
  <c r="BQ60" i="46"/>
  <c r="BQ55" i="46"/>
  <c r="BQ52" i="46"/>
  <c r="BQ54" i="46"/>
  <c r="BQ44" i="46"/>
  <c r="BQ53" i="46"/>
  <c r="BQ29" i="46"/>
  <c r="BQ75" i="46"/>
  <c r="BQ74" i="46" s="1"/>
  <c r="BQ15" i="46"/>
  <c r="BQ16" i="46"/>
  <c r="BT28" i="46" l="1"/>
  <c r="BT23" i="46"/>
  <c r="BT21" i="46"/>
  <c r="BU8" i="46"/>
  <c r="BT6" i="46"/>
  <c r="BT7" i="46"/>
  <c r="BR57" i="46"/>
  <c r="BR63" i="46"/>
  <c r="BR52" i="46"/>
  <c r="BR62" i="46"/>
  <c r="BR60" i="46"/>
  <c r="BR55" i="46"/>
  <c r="BR61" i="46"/>
  <c r="BR44" i="46"/>
  <c r="BR53" i="46"/>
  <c r="BR54" i="46"/>
  <c r="BR29" i="46"/>
  <c r="BR75" i="46"/>
  <c r="BR74" i="46" s="1"/>
  <c r="BR16" i="46"/>
  <c r="BR15" i="46"/>
  <c r="BS5" i="46"/>
  <c r="BS24" i="46"/>
  <c r="BS27" i="46" s="1"/>
  <c r="BS20" i="46"/>
  <c r="BS75" i="46" l="1"/>
  <c r="BS74" i="46" s="1"/>
  <c r="BS16" i="46"/>
  <c r="BS15" i="46"/>
  <c r="BU21" i="46"/>
  <c r="BU28" i="46"/>
  <c r="BU23" i="46"/>
  <c r="BV8" i="46"/>
  <c r="BU6" i="46"/>
  <c r="BU7" i="46"/>
  <c r="BT5" i="46"/>
  <c r="BT24" i="46"/>
  <c r="BT27" i="46" s="1"/>
  <c r="BT20" i="46"/>
  <c r="BU20" i="46" s="1"/>
  <c r="BS63" i="46"/>
  <c r="BS62" i="46"/>
  <c r="BS61" i="46"/>
  <c r="BS60" i="46"/>
  <c r="BS57" i="46"/>
  <c r="BS55" i="46"/>
  <c r="BS54" i="46"/>
  <c r="BS53" i="46"/>
  <c r="BS52" i="46"/>
  <c r="BS44" i="46"/>
  <c r="BS29" i="46"/>
  <c r="BU5" i="46" l="1"/>
  <c r="BU24" i="46"/>
  <c r="BU27" i="46" s="1"/>
  <c r="BT75" i="46"/>
  <c r="BT74" i="46" s="1"/>
  <c r="BT16" i="46"/>
  <c r="BT15" i="46"/>
  <c r="BT63" i="46"/>
  <c r="BT62" i="46"/>
  <c r="BT60" i="46"/>
  <c r="BT57" i="46"/>
  <c r="BT55" i="46"/>
  <c r="BT54" i="46"/>
  <c r="BT53" i="46"/>
  <c r="BT52" i="46"/>
  <c r="BT44" i="46"/>
  <c r="BT61" i="46"/>
  <c r="BT29" i="46"/>
  <c r="BV21" i="46"/>
  <c r="BV28" i="46"/>
  <c r="BV23" i="46"/>
  <c r="BW8" i="46"/>
  <c r="BV6" i="46"/>
  <c r="BV7" i="46"/>
  <c r="BW21" i="46" l="1"/>
  <c r="BW28" i="46"/>
  <c r="BW23" i="46"/>
  <c r="BX8" i="46"/>
  <c r="BW6" i="46"/>
  <c r="BW7" i="46"/>
  <c r="BU63" i="46"/>
  <c r="BU62" i="46"/>
  <c r="BU61" i="46"/>
  <c r="BU54" i="46"/>
  <c r="BU57" i="46"/>
  <c r="BU60" i="46"/>
  <c r="BU53" i="46"/>
  <c r="BU55" i="46"/>
  <c r="BU44" i="46"/>
  <c r="BU52" i="46"/>
  <c r="BU29" i="46"/>
  <c r="BV5" i="46"/>
  <c r="BV24" i="46"/>
  <c r="BV27" i="46" s="1"/>
  <c r="BU75" i="46"/>
  <c r="BU74" i="46" s="1"/>
  <c r="BU16" i="46"/>
  <c r="BU15" i="46"/>
  <c r="BV20" i="46"/>
  <c r="BW5" i="46" l="1"/>
  <c r="BW24" i="46"/>
  <c r="BW27" i="46" s="1"/>
  <c r="BX28" i="46"/>
  <c r="BX23" i="46"/>
  <c r="BX21" i="46"/>
  <c r="BY8" i="46"/>
  <c r="BX6" i="46"/>
  <c r="BX7" i="46"/>
  <c r="BV63" i="46"/>
  <c r="BV62" i="46"/>
  <c r="BV61" i="46"/>
  <c r="BV60" i="46"/>
  <c r="BV57" i="46"/>
  <c r="BV54" i="46"/>
  <c r="BV44" i="46"/>
  <c r="BV52" i="46"/>
  <c r="BV53" i="46"/>
  <c r="BV55" i="46"/>
  <c r="BV29" i="46"/>
  <c r="BV75" i="46"/>
  <c r="BV74" i="46" s="1"/>
  <c r="BV15" i="46"/>
  <c r="BV16" i="46"/>
  <c r="BW20" i="46"/>
  <c r="BX20" i="46" s="1"/>
  <c r="BY21" i="46" l="1"/>
  <c r="BY28" i="46"/>
  <c r="BY23" i="46"/>
  <c r="BY6" i="46"/>
  <c r="BZ8" i="46"/>
  <c r="BY7" i="46"/>
  <c r="BW63" i="46"/>
  <c r="BW62" i="46"/>
  <c r="BW57" i="46"/>
  <c r="BW61" i="46"/>
  <c r="BW60" i="46"/>
  <c r="BW55" i="46"/>
  <c r="BW44" i="46"/>
  <c r="BW52" i="46"/>
  <c r="BW53" i="46"/>
  <c r="BW54" i="46"/>
  <c r="BW29" i="46"/>
  <c r="BX5" i="46"/>
  <c r="BX24" i="46"/>
  <c r="BX27" i="46" s="1"/>
  <c r="BW75" i="46"/>
  <c r="BW74" i="46" s="1"/>
  <c r="BW15" i="46"/>
  <c r="BW16" i="46"/>
  <c r="BZ28" i="46" l="1"/>
  <c r="BZ23" i="46"/>
  <c r="BZ21" i="46"/>
  <c r="CA8" i="46"/>
  <c r="BZ6" i="46"/>
  <c r="BZ7" i="46"/>
  <c r="BX75" i="46"/>
  <c r="BX74" i="46" s="1"/>
  <c r="BX16" i="46"/>
  <c r="BX15" i="46"/>
  <c r="BY5" i="46"/>
  <c r="BY24" i="46"/>
  <c r="BY27" i="46" s="1"/>
  <c r="BY20" i="46"/>
  <c r="BX63" i="46"/>
  <c r="BX62" i="46"/>
  <c r="BX61" i="46"/>
  <c r="BX55" i="46"/>
  <c r="BX54" i="46"/>
  <c r="BX53" i="46"/>
  <c r="BX52" i="46"/>
  <c r="BX57" i="46"/>
  <c r="BX60" i="46"/>
  <c r="BX44" i="46"/>
  <c r="BX29" i="46"/>
  <c r="BZ20" i="46" l="1"/>
  <c r="BY60" i="46"/>
  <c r="BY63" i="46"/>
  <c r="BY61" i="46"/>
  <c r="BY57" i="46"/>
  <c r="BY53" i="46"/>
  <c r="BY62" i="46"/>
  <c r="BY52" i="46"/>
  <c r="BY44" i="46"/>
  <c r="BY54" i="46"/>
  <c r="BY55" i="46"/>
  <c r="BY29" i="46"/>
  <c r="BZ5" i="46"/>
  <c r="BZ24" i="46"/>
  <c r="BZ27" i="46" s="1"/>
  <c r="CA20" i="46"/>
  <c r="CA28" i="46"/>
  <c r="CA23" i="46"/>
  <c r="CA21" i="46"/>
  <c r="CB8" i="46"/>
  <c r="CA6" i="46"/>
  <c r="CA7" i="46"/>
  <c r="BY75" i="46"/>
  <c r="BY74" i="46" s="1"/>
  <c r="BY15" i="46"/>
  <c r="BY16" i="46"/>
  <c r="CA5" i="46" l="1"/>
  <c r="CA24" i="46"/>
  <c r="CA27" i="46" s="1"/>
  <c r="CB28" i="46"/>
  <c r="CB23" i="46"/>
  <c r="CB21" i="46"/>
  <c r="CC8" i="46"/>
  <c r="CB6" i="46"/>
  <c r="CB7" i="46"/>
  <c r="BZ62" i="46"/>
  <c r="BZ57" i="46"/>
  <c r="BZ53" i="46"/>
  <c r="BZ60" i="46"/>
  <c r="BZ61" i="46"/>
  <c r="BZ52" i="46"/>
  <c r="BZ54" i="46"/>
  <c r="BZ55" i="46"/>
  <c r="BZ63" i="46"/>
  <c r="BZ44" i="46"/>
  <c r="BZ29" i="46"/>
  <c r="BZ75" i="46"/>
  <c r="BZ74" i="46" s="1"/>
  <c r="BZ16" i="46"/>
  <c r="BZ15" i="46"/>
  <c r="CA63" i="46" l="1"/>
  <c r="CA62" i="46"/>
  <c r="CA61" i="46"/>
  <c r="CA60" i="46"/>
  <c r="CA57" i="46"/>
  <c r="CA55" i="46"/>
  <c r="CA54" i="46"/>
  <c r="CA53" i="46"/>
  <c r="CA52" i="46"/>
  <c r="CA44" i="46"/>
  <c r="CA29" i="46"/>
  <c r="CC23" i="46"/>
  <c r="CC28" i="46"/>
  <c r="CC21" i="46"/>
  <c r="CD8" i="46"/>
  <c r="CC6" i="46"/>
  <c r="CC7" i="46"/>
  <c r="CB5" i="46"/>
  <c r="CB24" i="46"/>
  <c r="CB27" i="46" s="1"/>
  <c r="CA75" i="46"/>
  <c r="CA74" i="46" s="1"/>
  <c r="CA16" i="46"/>
  <c r="CA15" i="46"/>
  <c r="CB20" i="46"/>
  <c r="CC20" i="46" s="1"/>
  <c r="CB75" i="46" l="1"/>
  <c r="CB74" i="46" s="1"/>
  <c r="CB16" i="46"/>
  <c r="CB15" i="46"/>
  <c r="CB63" i="46"/>
  <c r="CB62" i="46"/>
  <c r="CB57" i="46"/>
  <c r="CB55" i="46"/>
  <c r="CB54" i="46"/>
  <c r="CB53" i="46"/>
  <c r="CB52" i="46"/>
  <c r="CB60" i="46"/>
  <c r="CB44" i="46"/>
  <c r="CB61" i="46"/>
  <c r="CB29" i="46"/>
  <c r="CC5" i="46"/>
  <c r="CC24" i="46"/>
  <c r="CC27" i="46" s="1"/>
  <c r="CD21" i="46"/>
  <c r="CD23" i="46"/>
  <c r="CD28" i="46"/>
  <c r="CE8" i="46"/>
  <c r="CD6" i="46"/>
  <c r="CD7" i="46"/>
  <c r="CE21" i="46" l="1"/>
  <c r="CE28" i="46"/>
  <c r="CF8" i="46"/>
  <c r="CE6" i="46"/>
  <c r="CE23" i="46"/>
  <c r="CE7" i="46"/>
  <c r="CC75" i="46"/>
  <c r="CC74" i="46" s="1"/>
  <c r="CC16" i="46"/>
  <c r="CC15" i="46"/>
  <c r="CD5" i="46"/>
  <c r="CD24" i="46"/>
  <c r="CD27" i="46" s="1"/>
  <c r="CD20" i="46"/>
  <c r="CC63" i="46"/>
  <c r="CC62" i="46"/>
  <c r="CC61" i="46"/>
  <c r="CC60" i="46"/>
  <c r="CC57" i="46"/>
  <c r="CC55" i="46"/>
  <c r="CC54" i="46"/>
  <c r="CC52" i="46"/>
  <c r="CC53" i="46"/>
  <c r="CC44" i="46"/>
  <c r="CC29" i="46"/>
  <c r="CE20" i="46" l="1"/>
  <c r="CF28" i="46"/>
  <c r="CF23" i="46"/>
  <c r="CF21" i="46"/>
  <c r="CG8" i="46"/>
  <c r="CF6" i="46"/>
  <c r="CF7" i="46"/>
  <c r="CD63" i="46"/>
  <c r="CD62" i="46"/>
  <c r="CD61" i="46"/>
  <c r="CD60" i="46"/>
  <c r="CD57" i="46"/>
  <c r="CD55" i="46"/>
  <c r="CD52" i="46"/>
  <c r="CD53" i="46"/>
  <c r="CD54" i="46"/>
  <c r="CD44" i="46"/>
  <c r="CD29" i="46"/>
  <c r="CE5" i="46"/>
  <c r="CE24" i="46"/>
  <c r="CE27" i="46" s="1"/>
  <c r="CD75" i="46"/>
  <c r="CD74" i="46" s="1"/>
  <c r="CD16" i="46"/>
  <c r="CD15" i="46"/>
  <c r="CG21" i="46" l="1"/>
  <c r="CG28" i="46"/>
  <c r="CG23" i="46"/>
  <c r="CG6" i="46"/>
  <c r="CH8" i="46"/>
  <c r="CG7" i="46"/>
  <c r="CF5" i="46"/>
  <c r="CF24" i="46"/>
  <c r="CF27" i="46" s="1"/>
  <c r="CF20" i="46"/>
  <c r="CE63" i="46"/>
  <c r="CE62" i="46"/>
  <c r="CE60" i="46"/>
  <c r="CE61" i="46"/>
  <c r="CE57" i="46"/>
  <c r="CE52" i="46"/>
  <c r="CE53" i="46"/>
  <c r="CE54" i="46"/>
  <c r="CE55" i="46"/>
  <c r="CE44" i="46"/>
  <c r="CE29" i="46"/>
  <c r="CE75" i="46"/>
  <c r="CE74" i="46" s="1"/>
  <c r="CE16" i="46"/>
  <c r="CE15" i="46"/>
  <c r="CG5" i="46" l="1"/>
  <c r="CG24" i="46"/>
  <c r="CG27" i="46" s="1"/>
  <c r="CF63" i="46"/>
  <c r="CF62" i="46"/>
  <c r="CF61" i="46"/>
  <c r="CF57" i="46"/>
  <c r="CF55" i="46"/>
  <c r="CF54" i="46"/>
  <c r="CF53" i="46"/>
  <c r="CF52" i="46"/>
  <c r="CF60" i="46"/>
  <c r="CF44" i="46"/>
  <c r="CF29" i="46"/>
  <c r="CH21" i="46"/>
  <c r="CH28" i="46"/>
  <c r="CH23" i="46"/>
  <c r="CI8" i="46"/>
  <c r="CH6" i="46"/>
  <c r="CH7" i="46"/>
  <c r="CG20" i="46"/>
  <c r="CH20" i="46" s="1"/>
  <c r="CF75" i="46"/>
  <c r="CF74" i="46" s="1"/>
  <c r="CF16" i="46"/>
  <c r="CF15" i="46"/>
  <c r="CH5" i="46" l="1"/>
  <c r="CH24" i="46"/>
  <c r="CH27" i="46" s="1"/>
  <c r="CI28" i="46"/>
  <c r="CI23" i="46"/>
  <c r="CI21" i="46"/>
  <c r="CJ8" i="46"/>
  <c r="CI6" i="46"/>
  <c r="CI7" i="46"/>
  <c r="CG62" i="46"/>
  <c r="CG61" i="46"/>
  <c r="CG57" i="46"/>
  <c r="CG60" i="46"/>
  <c r="CG54" i="46"/>
  <c r="CG63" i="46"/>
  <c r="CG53" i="46"/>
  <c r="CG52" i="46"/>
  <c r="CG55" i="46"/>
  <c r="CG44" i="46"/>
  <c r="CG29" i="46"/>
  <c r="CG75" i="46"/>
  <c r="CG74" i="46" s="1"/>
  <c r="CG16" i="46"/>
  <c r="CG15" i="46"/>
  <c r="CJ28" i="46" l="1"/>
  <c r="CJ23" i="46"/>
  <c r="CJ21" i="46"/>
  <c r="CK8" i="46"/>
  <c r="CJ6" i="46"/>
  <c r="CJ7" i="46"/>
  <c r="CH62" i="46"/>
  <c r="CH61" i="46"/>
  <c r="CH57" i="46"/>
  <c r="CH63" i="46"/>
  <c r="CH60" i="46"/>
  <c r="CH54" i="46"/>
  <c r="CH53" i="46"/>
  <c r="CH55" i="46"/>
  <c r="CH44" i="46"/>
  <c r="CH52" i="46"/>
  <c r="CH29" i="46"/>
  <c r="CI5" i="46"/>
  <c r="CI24" i="46"/>
  <c r="CI27" i="46" s="1"/>
  <c r="CH75" i="46"/>
  <c r="CH74" i="46" s="1"/>
  <c r="CH16" i="46"/>
  <c r="CH15" i="46"/>
  <c r="CI20" i="46"/>
  <c r="CJ5" i="46" l="1"/>
  <c r="CJ24" i="46"/>
  <c r="CJ27" i="46" s="1"/>
  <c r="CI63" i="46"/>
  <c r="CI62" i="46"/>
  <c r="CI61" i="46"/>
  <c r="CI60" i="46"/>
  <c r="CI57" i="46"/>
  <c r="CI55" i="46"/>
  <c r="CI54" i="46"/>
  <c r="CI53" i="46"/>
  <c r="CI52" i="46"/>
  <c r="CI44" i="46"/>
  <c r="CI29" i="46"/>
  <c r="CI75" i="46"/>
  <c r="CI74" i="46" s="1"/>
  <c r="CI16" i="46"/>
  <c r="CI15" i="46"/>
  <c r="CK21" i="46"/>
  <c r="CK28" i="46"/>
  <c r="CK23" i="46"/>
  <c r="CL8" i="46"/>
  <c r="CK6" i="46"/>
  <c r="CK7" i="46"/>
  <c r="CJ20" i="46"/>
  <c r="CK20" i="46" s="1"/>
  <c r="CL21" i="46" l="1"/>
  <c r="CL28" i="46"/>
  <c r="CL23" i="46"/>
  <c r="CM8" i="46"/>
  <c r="CL6" i="46"/>
  <c r="CL7" i="46"/>
  <c r="CL20" i="46" s="1"/>
  <c r="CK5" i="46"/>
  <c r="CK24" i="46"/>
  <c r="CK27" i="46" s="1"/>
  <c r="CJ63" i="46"/>
  <c r="CJ62" i="46"/>
  <c r="CJ60" i="46"/>
  <c r="CJ55" i="46"/>
  <c r="CJ54" i="46"/>
  <c r="CJ53" i="46"/>
  <c r="CJ52" i="46"/>
  <c r="CJ57" i="46"/>
  <c r="CJ44" i="46"/>
  <c r="CJ61" i="46"/>
  <c r="CJ29" i="46"/>
  <c r="CJ75" i="46"/>
  <c r="CJ74" i="46" s="1"/>
  <c r="CJ16" i="46"/>
  <c r="CJ15" i="46"/>
  <c r="CL5" i="46" l="1"/>
  <c r="CL24" i="46"/>
  <c r="CL27" i="46" s="1"/>
  <c r="CM28" i="46"/>
  <c r="CM23" i="46"/>
  <c r="CM21" i="46"/>
  <c r="CN8" i="46"/>
  <c r="CM6" i="46"/>
  <c r="CM7" i="46"/>
  <c r="CK63" i="46"/>
  <c r="CK62" i="46"/>
  <c r="CK61" i="46"/>
  <c r="CK60" i="46"/>
  <c r="CK55" i="46"/>
  <c r="CK54" i="46"/>
  <c r="CK44" i="46"/>
  <c r="CK52" i="46"/>
  <c r="CK53" i="46"/>
  <c r="CK57" i="46"/>
  <c r="CK29" i="46"/>
  <c r="CK75" i="46"/>
  <c r="CK74" i="46" s="1"/>
  <c r="CK15" i="46"/>
  <c r="CK16" i="46"/>
  <c r="CL75" i="46" l="1"/>
  <c r="CL74" i="46" s="1"/>
  <c r="CL16" i="46"/>
  <c r="CL15" i="46"/>
  <c r="CM5" i="46"/>
  <c r="CM24" i="46"/>
  <c r="CM27" i="46" s="1"/>
  <c r="CN28" i="46"/>
  <c r="CN23" i="46"/>
  <c r="CN21" i="46"/>
  <c r="CO8" i="46"/>
  <c r="CN6" i="46"/>
  <c r="CN7" i="46"/>
  <c r="CM20" i="46"/>
  <c r="CN20" i="46" s="1"/>
  <c r="CL63" i="46"/>
  <c r="CL62" i="46"/>
  <c r="CL61" i="46"/>
  <c r="CL60" i="46"/>
  <c r="CL57" i="46"/>
  <c r="CL53" i="46"/>
  <c r="CL52" i="46"/>
  <c r="CL54" i="46"/>
  <c r="CL44" i="46"/>
  <c r="CL55" i="46"/>
  <c r="CL29" i="46"/>
  <c r="CM63" i="46" l="1"/>
  <c r="CM62" i="46"/>
  <c r="CM57" i="46"/>
  <c r="CM60" i="46"/>
  <c r="CM61" i="46"/>
  <c r="CM53" i="46"/>
  <c r="CM55" i="46"/>
  <c r="CM52" i="46"/>
  <c r="CM54" i="46"/>
  <c r="CM44" i="46"/>
  <c r="CM29" i="46"/>
  <c r="CM75" i="46"/>
  <c r="CM74" i="46" s="1"/>
  <c r="CM15" i="46"/>
  <c r="CM16" i="46"/>
  <c r="CN5" i="46"/>
  <c r="CN24" i="46"/>
  <c r="CN27" i="46" s="1"/>
  <c r="CO23" i="46"/>
  <c r="CO28" i="46"/>
  <c r="CO6" i="46"/>
  <c r="CO21" i="46"/>
  <c r="CP8" i="46"/>
  <c r="CO7" i="46"/>
  <c r="CN63" i="46" l="1"/>
  <c r="CN62" i="46"/>
  <c r="CN61" i="46"/>
  <c r="CN55" i="46"/>
  <c r="CN54" i="46"/>
  <c r="CN53" i="46"/>
  <c r="CN52" i="46"/>
  <c r="CN57" i="46"/>
  <c r="CN44" i="46"/>
  <c r="CN60" i="46"/>
  <c r="CN29" i="46"/>
  <c r="CN75" i="46"/>
  <c r="CN74" i="46" s="1"/>
  <c r="CN15" i="46"/>
  <c r="CN16" i="46"/>
  <c r="CO5" i="46"/>
  <c r="CO24" i="46"/>
  <c r="CO27" i="46" s="1"/>
  <c r="CP21" i="46"/>
  <c r="CP23" i="46"/>
  <c r="CQ8" i="46"/>
  <c r="CP28" i="46"/>
  <c r="CP6" i="46"/>
  <c r="CP7" i="46"/>
  <c r="CO20" i="46"/>
  <c r="CP5" i="46" l="1"/>
  <c r="CP24" i="46"/>
  <c r="CP27" i="46" s="1"/>
  <c r="CO75" i="46"/>
  <c r="CO74" i="46" s="1"/>
  <c r="CO16" i="46"/>
  <c r="CO15" i="46"/>
  <c r="CQ28" i="46"/>
  <c r="CQ23" i="46"/>
  <c r="CQ21" i="46"/>
  <c r="CR8" i="46"/>
  <c r="CQ6" i="46"/>
  <c r="CQ7" i="46"/>
  <c r="CP20" i="46"/>
  <c r="CQ20" i="46" s="1"/>
  <c r="CO63" i="46"/>
  <c r="CO61" i="46"/>
  <c r="CO60" i="46"/>
  <c r="CO57" i="46"/>
  <c r="CO55" i="46"/>
  <c r="CO62" i="46"/>
  <c r="CO54" i="46"/>
  <c r="CO52" i="46"/>
  <c r="CO53" i="46"/>
  <c r="CO44" i="46"/>
  <c r="CO29" i="46"/>
  <c r="CQ5" i="46" l="1"/>
  <c r="CQ24" i="46"/>
  <c r="CQ27" i="46" s="1"/>
  <c r="CR28" i="46"/>
  <c r="CR23" i="46"/>
  <c r="CR21" i="46"/>
  <c r="CS8" i="46"/>
  <c r="CR6" i="46"/>
  <c r="CR7" i="46"/>
  <c r="CR20" i="46" s="1"/>
  <c r="CP63" i="46"/>
  <c r="CP60" i="46"/>
  <c r="CP61" i="46"/>
  <c r="CP55" i="46"/>
  <c r="CP62" i="46"/>
  <c r="CP52" i="46"/>
  <c r="CP57" i="46"/>
  <c r="CP53" i="46"/>
  <c r="CP44" i="46"/>
  <c r="CP54" i="46"/>
  <c r="CP29" i="46"/>
  <c r="CP75" i="46"/>
  <c r="CP74" i="46" s="1"/>
  <c r="CP15" i="46"/>
  <c r="CP16" i="46"/>
  <c r="CS21" i="46" l="1"/>
  <c r="CS28" i="46"/>
  <c r="CS23" i="46"/>
  <c r="CT8" i="46"/>
  <c r="CS6" i="46"/>
  <c r="CS7" i="46"/>
  <c r="CQ75" i="46"/>
  <c r="CQ74" i="46" s="1"/>
  <c r="CQ15" i="46"/>
  <c r="CQ16" i="46"/>
  <c r="CR5" i="46"/>
  <c r="CR24" i="46"/>
  <c r="CR27" i="46" s="1"/>
  <c r="CQ63" i="46"/>
  <c r="CQ62" i="46"/>
  <c r="CQ61" i="46"/>
  <c r="CQ60" i="46"/>
  <c r="CQ57" i="46"/>
  <c r="CQ55" i="46"/>
  <c r="CQ54" i="46"/>
  <c r="CQ53" i="46"/>
  <c r="CQ52" i="46"/>
  <c r="CQ44" i="46"/>
  <c r="CQ29" i="46"/>
  <c r="CR63" i="46" l="1"/>
  <c r="CR62" i="46"/>
  <c r="CR61" i="46"/>
  <c r="CR57" i="46"/>
  <c r="CR60" i="46"/>
  <c r="CR55" i="46"/>
  <c r="CR54" i="46"/>
  <c r="CR53" i="46"/>
  <c r="CR52" i="46"/>
  <c r="CR44" i="46"/>
  <c r="CR29" i="46"/>
  <c r="CR75" i="46"/>
  <c r="CR74" i="46" s="1"/>
  <c r="CR16" i="46"/>
  <c r="CR15" i="46"/>
  <c r="CT21" i="46"/>
  <c r="CT28" i="46"/>
  <c r="CT23" i="46"/>
  <c r="CU8" i="46"/>
  <c r="CT6" i="46"/>
  <c r="CT7" i="46"/>
  <c r="CS5" i="46"/>
  <c r="CS24" i="46"/>
  <c r="CS27" i="46" s="1"/>
  <c r="CS20" i="46"/>
  <c r="CS75" i="46" l="1"/>
  <c r="CS74" i="46" s="1"/>
  <c r="CS15" i="46"/>
  <c r="CS16" i="46"/>
  <c r="CT5" i="46"/>
  <c r="CT24" i="46"/>
  <c r="CT27" i="46" s="1"/>
  <c r="CT20" i="46"/>
  <c r="CU20" i="46" s="1"/>
  <c r="CU21" i="46"/>
  <c r="CU28" i="46"/>
  <c r="CU23" i="46"/>
  <c r="CV8" i="46"/>
  <c r="CU6" i="46"/>
  <c r="CU7" i="46"/>
  <c r="CS63" i="46"/>
  <c r="CS62" i="46"/>
  <c r="CS61" i="46"/>
  <c r="CS52" i="46"/>
  <c r="CS57" i="46"/>
  <c r="CS60" i="46"/>
  <c r="CS53" i="46"/>
  <c r="CS44" i="46"/>
  <c r="CS54" i="46"/>
  <c r="CS55" i="46"/>
  <c r="CS29" i="46"/>
  <c r="CT63" i="46" l="1"/>
  <c r="CT62" i="46"/>
  <c r="CT61" i="46"/>
  <c r="CT60" i="46"/>
  <c r="CT57" i="46"/>
  <c r="CT54" i="46"/>
  <c r="CT53" i="46"/>
  <c r="CT52" i="46"/>
  <c r="CT44" i="46"/>
  <c r="CT55" i="46"/>
  <c r="CT29" i="46"/>
  <c r="CT75" i="46"/>
  <c r="CT74" i="46" s="1"/>
  <c r="CT16" i="46"/>
  <c r="CT15" i="46"/>
  <c r="CU5" i="46"/>
  <c r="CU24" i="46"/>
  <c r="CU27" i="46" s="1"/>
  <c r="CV28" i="46"/>
  <c r="CV23" i="46"/>
  <c r="CV21" i="46"/>
  <c r="CW8" i="46"/>
  <c r="CV6" i="46"/>
  <c r="CV7" i="46"/>
  <c r="CV20" i="46" s="1"/>
  <c r="CW21" i="46" l="1"/>
  <c r="CW28" i="46"/>
  <c r="CW23" i="46"/>
  <c r="CW6" i="46"/>
  <c r="CX8" i="46"/>
  <c r="CW7" i="46"/>
  <c r="CW20" i="46" s="1"/>
  <c r="CV5" i="46"/>
  <c r="CV24" i="46"/>
  <c r="CV27" i="46" s="1"/>
  <c r="CU63" i="46"/>
  <c r="CU62" i="46"/>
  <c r="CU61" i="46"/>
  <c r="CU60" i="46"/>
  <c r="CU57" i="46"/>
  <c r="CU54" i="46"/>
  <c r="CU52" i="46"/>
  <c r="CU44" i="46"/>
  <c r="CU53" i="46"/>
  <c r="CU55" i="46"/>
  <c r="CU29" i="46"/>
  <c r="CU75" i="46"/>
  <c r="CU74" i="46" s="1"/>
  <c r="CU16" i="46"/>
  <c r="CU15" i="46"/>
  <c r="CW5" i="46" l="1"/>
  <c r="CW24" i="46"/>
  <c r="CW27" i="46" s="1"/>
  <c r="CX21" i="46"/>
  <c r="CX28" i="46"/>
  <c r="CX23" i="46"/>
  <c r="CY8" i="46"/>
  <c r="CX6" i="46"/>
  <c r="CX7" i="46"/>
  <c r="CX20" i="46" s="1"/>
  <c r="CV75" i="46"/>
  <c r="CV74" i="46" s="1"/>
  <c r="CV16" i="46"/>
  <c r="CV15" i="46"/>
  <c r="CV63" i="46"/>
  <c r="CV62" i="46"/>
  <c r="CV61" i="46"/>
  <c r="CV57" i="46"/>
  <c r="CV55" i="46"/>
  <c r="CV54" i="46"/>
  <c r="CV53" i="46"/>
  <c r="CV52" i="46"/>
  <c r="CV60" i="46"/>
  <c r="CV44" i="46"/>
  <c r="CV29" i="46"/>
  <c r="CY28" i="46" l="1"/>
  <c r="CY23" i="46"/>
  <c r="CY21" i="46"/>
  <c r="CZ8" i="46"/>
  <c r="CY6" i="46"/>
  <c r="CY7" i="46"/>
  <c r="CY20" i="46" s="1"/>
  <c r="CW62" i="46"/>
  <c r="CW57" i="46"/>
  <c r="CW61" i="46"/>
  <c r="CW60" i="46"/>
  <c r="CW63" i="46"/>
  <c r="CW55" i="46"/>
  <c r="CW52" i="46"/>
  <c r="CW44" i="46"/>
  <c r="CW53" i="46"/>
  <c r="CW54" i="46"/>
  <c r="CW29" i="46"/>
  <c r="CX5" i="46"/>
  <c r="CX24" i="46"/>
  <c r="CX27" i="46" s="1"/>
  <c r="CW75" i="46"/>
  <c r="CW74" i="46" s="1"/>
  <c r="CW16" i="46"/>
  <c r="CW15" i="46"/>
  <c r="CX60" i="46" l="1"/>
  <c r="CX61" i="46"/>
  <c r="CX62" i="46"/>
  <c r="CX57" i="46"/>
  <c r="CX53" i="46"/>
  <c r="CX63" i="46"/>
  <c r="CX52" i="46"/>
  <c r="CX44" i="46"/>
  <c r="CX54" i="46"/>
  <c r="CX55" i="46"/>
  <c r="CX29" i="46"/>
  <c r="CZ20" i="46"/>
  <c r="CZ28" i="46"/>
  <c r="CZ23" i="46"/>
  <c r="CZ21" i="46"/>
  <c r="DA8" i="46"/>
  <c r="CZ6" i="46"/>
  <c r="CZ7" i="46"/>
  <c r="CY5" i="46"/>
  <c r="CY24" i="46"/>
  <c r="CY27" i="46" s="1"/>
  <c r="CX75" i="46"/>
  <c r="CX74" i="46" s="1"/>
  <c r="CX15" i="46"/>
  <c r="CX16" i="46"/>
  <c r="CY63" i="46" l="1"/>
  <c r="CY62" i="46"/>
  <c r="CY61" i="46"/>
  <c r="CY60" i="46"/>
  <c r="CY57" i="46"/>
  <c r="CY55" i="46"/>
  <c r="CY54" i="46"/>
  <c r="CY53" i="46"/>
  <c r="CY52" i="46"/>
  <c r="CY44" i="46"/>
  <c r="CY29" i="46"/>
  <c r="CY75" i="46"/>
  <c r="CY74" i="46" s="1"/>
  <c r="CY15" i="46"/>
  <c r="CY16" i="46"/>
  <c r="CZ5" i="46"/>
  <c r="CZ24" i="46"/>
  <c r="CZ27" i="46" s="1"/>
  <c r="DA28" i="46"/>
  <c r="DA23" i="46"/>
  <c r="DB8" i="46"/>
  <c r="DA6" i="46"/>
  <c r="DA21" i="46"/>
  <c r="DA7" i="46"/>
  <c r="DA20" i="46" s="1"/>
  <c r="DB23" i="46" l="1"/>
  <c r="DB28" i="46"/>
  <c r="DC8" i="46"/>
  <c r="DB6" i="46"/>
  <c r="DB21" i="46"/>
  <c r="DB7" i="46"/>
  <c r="DA5" i="46"/>
  <c r="DA24" i="46"/>
  <c r="DA27" i="46" s="1"/>
  <c r="CZ63" i="46"/>
  <c r="CZ62" i="46"/>
  <c r="CZ61" i="46"/>
  <c r="CZ60" i="46"/>
  <c r="CZ55" i="46"/>
  <c r="CZ54" i="46"/>
  <c r="CZ53" i="46"/>
  <c r="CZ52" i="46"/>
  <c r="CZ57" i="46"/>
  <c r="CZ44" i="46"/>
  <c r="CZ29" i="46"/>
  <c r="CZ75" i="46"/>
  <c r="CZ74" i="46" s="1"/>
  <c r="CZ16" i="46"/>
  <c r="CZ15" i="46"/>
  <c r="DB5" i="46" l="1"/>
  <c r="DB24" i="46"/>
  <c r="DB27" i="46" s="1"/>
  <c r="DC21" i="46"/>
  <c r="DC23" i="46"/>
  <c r="DD8" i="46"/>
  <c r="DC6" i="46"/>
  <c r="DC28" i="46"/>
  <c r="DC7" i="46"/>
  <c r="DA63" i="46"/>
  <c r="DA62" i="46"/>
  <c r="DA61" i="46"/>
  <c r="DA57" i="46"/>
  <c r="DA53" i="46"/>
  <c r="DA60" i="46"/>
  <c r="DA52" i="46"/>
  <c r="DA54" i="46"/>
  <c r="DA55" i="46"/>
  <c r="DA44" i="46"/>
  <c r="DA29" i="46"/>
  <c r="DA75" i="46"/>
  <c r="DA74" i="46" s="1"/>
  <c r="DA15" i="46"/>
  <c r="DA16" i="46"/>
  <c r="DB20" i="46"/>
  <c r="DC20" i="46" s="1"/>
  <c r="DD28" i="46" l="1"/>
  <c r="DD23" i="46"/>
  <c r="DD21" i="46"/>
  <c r="DE8" i="46"/>
  <c r="DD6" i="46"/>
  <c r="DD7" i="46"/>
  <c r="DB63" i="46"/>
  <c r="DB62" i="46"/>
  <c r="DB61" i="46"/>
  <c r="DB60" i="46"/>
  <c r="DB57" i="46"/>
  <c r="DB55" i="46"/>
  <c r="DB54" i="46"/>
  <c r="DB53" i="46"/>
  <c r="DB44" i="46"/>
  <c r="DB52" i="46"/>
  <c r="DB29" i="46"/>
  <c r="DC5" i="46"/>
  <c r="DC24" i="46"/>
  <c r="DC27" i="46" s="1"/>
  <c r="DB75" i="46"/>
  <c r="DB74" i="46" s="1"/>
  <c r="DB16" i="46"/>
  <c r="DB15" i="46"/>
  <c r="DD5" i="46" l="1"/>
  <c r="DD24" i="46"/>
  <c r="DD27" i="46" s="1"/>
  <c r="DC62" i="46"/>
  <c r="DC61" i="46"/>
  <c r="DC63" i="46"/>
  <c r="DC57" i="46"/>
  <c r="DC60" i="46"/>
  <c r="DC55" i="46"/>
  <c r="DC52" i="46"/>
  <c r="DC53" i="46"/>
  <c r="DC54" i="46"/>
  <c r="DC44" i="46"/>
  <c r="DC29" i="46"/>
  <c r="DC75" i="46"/>
  <c r="DC74" i="46" s="1"/>
  <c r="DC16" i="46"/>
  <c r="DC15" i="46"/>
  <c r="DE21" i="46"/>
  <c r="DE28" i="46"/>
  <c r="DE6" i="46"/>
  <c r="DE23" i="46"/>
  <c r="DF8" i="46"/>
  <c r="DE7" i="46"/>
  <c r="DD20" i="46"/>
  <c r="DF21" i="46" l="1"/>
  <c r="DF28" i="46"/>
  <c r="DF23" i="46"/>
  <c r="DG8" i="46"/>
  <c r="DF6" i="46"/>
  <c r="DF7" i="46"/>
  <c r="DE5" i="46"/>
  <c r="DE24" i="46"/>
  <c r="DE27" i="46" s="1"/>
  <c r="DD62" i="46"/>
  <c r="DD61" i="46"/>
  <c r="DD63" i="46"/>
  <c r="DD60" i="46"/>
  <c r="DD57" i="46"/>
  <c r="DD55" i="46"/>
  <c r="DD54" i="46"/>
  <c r="DD53" i="46"/>
  <c r="DD52" i="46"/>
  <c r="DD44" i="46"/>
  <c r="DD29" i="46"/>
  <c r="DE20" i="46"/>
  <c r="DD75" i="46"/>
  <c r="DD74" i="46" s="1"/>
  <c r="DD16" i="46"/>
  <c r="DD15" i="46"/>
  <c r="DF5" i="46" l="1"/>
  <c r="DF24" i="46"/>
  <c r="DF27" i="46" s="1"/>
  <c r="DG28" i="46"/>
  <c r="DG23" i="46"/>
  <c r="DG21" i="46"/>
  <c r="DH8" i="46"/>
  <c r="DG6" i="46"/>
  <c r="DG7" i="46"/>
  <c r="DF20" i="46"/>
  <c r="DE75" i="46"/>
  <c r="DE74" i="46" s="1"/>
  <c r="DE16" i="46"/>
  <c r="DE15" i="46"/>
  <c r="DE63" i="46"/>
  <c r="DE61" i="46"/>
  <c r="DE60" i="46"/>
  <c r="DE62" i="46"/>
  <c r="DE57" i="46"/>
  <c r="DE52" i="46"/>
  <c r="DE54" i="46"/>
  <c r="DE55" i="46"/>
  <c r="DE44" i="46"/>
  <c r="DE53" i="46"/>
  <c r="DE29" i="46"/>
  <c r="DG20" i="46" l="1"/>
  <c r="DH28" i="46"/>
  <c r="DH23" i="46"/>
  <c r="DH21" i="46"/>
  <c r="DI8" i="46"/>
  <c r="DH6" i="46"/>
  <c r="DH7" i="46"/>
  <c r="DH20" i="46" s="1"/>
  <c r="DF63" i="46"/>
  <c r="DF60" i="46"/>
  <c r="DF62" i="46"/>
  <c r="DF54" i="46"/>
  <c r="DF53" i="46"/>
  <c r="DF55" i="46"/>
  <c r="DF61" i="46"/>
  <c r="DF44" i="46"/>
  <c r="DF57" i="46"/>
  <c r="DF52" i="46"/>
  <c r="DF29" i="46"/>
  <c r="DG5" i="46"/>
  <c r="DG24" i="46"/>
  <c r="DG27" i="46" s="1"/>
  <c r="DF75" i="46"/>
  <c r="DF74" i="46" s="1"/>
  <c r="DF16" i="46"/>
  <c r="DF15" i="46"/>
  <c r="DI21" i="46" l="1"/>
  <c r="DI28" i="46"/>
  <c r="DI23" i="46"/>
  <c r="DJ8" i="46"/>
  <c r="DI6" i="46"/>
  <c r="DI7" i="46"/>
  <c r="DG62" i="46"/>
  <c r="DG61" i="46"/>
  <c r="DG60" i="46"/>
  <c r="DG57" i="46"/>
  <c r="DG55" i="46"/>
  <c r="DG54" i="46"/>
  <c r="DG53" i="46"/>
  <c r="DG52" i="46"/>
  <c r="DG63" i="46"/>
  <c r="DG44" i="46"/>
  <c r="DG29" i="46"/>
  <c r="DG75" i="46"/>
  <c r="DG74" i="46" s="1"/>
  <c r="DG15" i="46"/>
  <c r="DG16" i="46"/>
  <c r="DH5" i="46"/>
  <c r="DH24" i="46"/>
  <c r="DH27" i="46" s="1"/>
  <c r="DI5" i="46" l="1"/>
  <c r="DI24" i="46"/>
  <c r="DI27" i="46" s="1"/>
  <c r="DJ21" i="46"/>
  <c r="DJ28" i="46"/>
  <c r="DJ23" i="46"/>
  <c r="DK8" i="46"/>
  <c r="DJ6" i="46"/>
  <c r="DJ7" i="46"/>
  <c r="DH62" i="46"/>
  <c r="DH61" i="46"/>
  <c r="DH63" i="46"/>
  <c r="DH57" i="46"/>
  <c r="DH55" i="46"/>
  <c r="DH54" i="46"/>
  <c r="DH53" i="46"/>
  <c r="DH52" i="46"/>
  <c r="DH60" i="46"/>
  <c r="DH44" i="46"/>
  <c r="DH29" i="46"/>
  <c r="DH75" i="46"/>
  <c r="DH74" i="46" s="1"/>
  <c r="DH16" i="46"/>
  <c r="DH15" i="46"/>
  <c r="DI20" i="46"/>
  <c r="DJ20" i="46" s="1"/>
  <c r="DI62" i="46" l="1"/>
  <c r="DI61" i="46"/>
  <c r="DI63" i="46"/>
  <c r="DI57" i="46"/>
  <c r="DI60" i="46"/>
  <c r="DI54" i="46"/>
  <c r="DI55" i="46"/>
  <c r="DI44" i="46"/>
  <c r="DI52" i="46"/>
  <c r="DI53" i="46"/>
  <c r="DI29" i="46"/>
  <c r="DJ5" i="46"/>
  <c r="DJ24" i="46"/>
  <c r="DJ27" i="46" s="1"/>
  <c r="DI75" i="46"/>
  <c r="DI74" i="46" s="1"/>
  <c r="DI15" i="46"/>
  <c r="DI16" i="46"/>
  <c r="DK21" i="46"/>
  <c r="DK28" i="46"/>
  <c r="DK23" i="46"/>
  <c r="DL8" i="46"/>
  <c r="DK6" i="46"/>
  <c r="DK7" i="46"/>
  <c r="DK20" i="46" s="1"/>
  <c r="DJ63" i="46" l="1"/>
  <c r="DJ62" i="46"/>
  <c r="DJ61" i="46"/>
  <c r="DJ60" i="46"/>
  <c r="DJ57" i="46"/>
  <c r="DJ55" i="46"/>
  <c r="DJ44" i="46"/>
  <c r="DJ52" i="46"/>
  <c r="DJ53" i="46"/>
  <c r="DJ54" i="46"/>
  <c r="DJ29" i="46"/>
  <c r="DJ75" i="46"/>
  <c r="DJ74" i="46" s="1"/>
  <c r="DJ16" i="46"/>
  <c r="DJ15" i="46"/>
  <c r="DL28" i="46"/>
  <c r="DL23" i="46"/>
  <c r="DL21" i="46"/>
  <c r="DM8" i="46"/>
  <c r="DL6" i="46"/>
  <c r="DL7" i="46"/>
  <c r="DK5" i="46"/>
  <c r="DK24" i="46"/>
  <c r="DK27" i="46" s="1"/>
  <c r="DL5" i="46" l="1"/>
  <c r="DL24" i="46"/>
  <c r="DL27" i="46" s="1"/>
  <c r="DM28" i="46"/>
  <c r="DM23" i="46"/>
  <c r="DM6" i="46"/>
  <c r="DM21" i="46"/>
  <c r="DN8" i="46"/>
  <c r="DM7" i="46"/>
  <c r="DK75" i="46"/>
  <c r="DK74" i="46" s="1"/>
  <c r="DK15" i="46"/>
  <c r="DK16" i="46"/>
  <c r="DK63" i="46"/>
  <c r="DK62" i="46"/>
  <c r="DK61" i="46"/>
  <c r="DK60" i="46"/>
  <c r="DK57" i="46"/>
  <c r="DK53" i="46"/>
  <c r="DK52" i="46"/>
  <c r="DK44" i="46"/>
  <c r="DK54" i="46"/>
  <c r="DK55" i="46"/>
  <c r="DK29" i="46"/>
  <c r="DL20" i="46"/>
  <c r="DM20" i="46" s="1"/>
  <c r="DL62" i="46" l="1"/>
  <c r="DL61" i="46"/>
  <c r="DL63" i="46"/>
  <c r="DL55" i="46"/>
  <c r="DL54" i="46"/>
  <c r="DL53" i="46"/>
  <c r="DL52" i="46"/>
  <c r="DL57" i="46"/>
  <c r="DL44" i="46"/>
  <c r="DL60" i="46"/>
  <c r="DL29" i="46"/>
  <c r="DN23" i="46"/>
  <c r="DN28" i="46"/>
  <c r="DN21" i="46"/>
  <c r="DO8" i="46"/>
  <c r="DN6" i="46"/>
  <c r="DN7" i="46"/>
  <c r="DN20" i="46"/>
  <c r="DM5" i="46"/>
  <c r="DM24" i="46"/>
  <c r="DM27" i="46" s="1"/>
  <c r="DL75" i="46"/>
  <c r="DL74" i="46" s="1"/>
  <c r="DL16" i="46"/>
  <c r="DL15" i="46"/>
  <c r="DM63" i="46" l="1"/>
  <c r="DM62" i="46"/>
  <c r="DM57" i="46"/>
  <c r="DM61" i="46"/>
  <c r="DM60" i="46"/>
  <c r="DM53" i="46"/>
  <c r="DM52" i="46"/>
  <c r="DM54" i="46"/>
  <c r="DM55" i="46"/>
  <c r="DM44" i="46"/>
  <c r="DM29" i="46"/>
  <c r="DN5" i="46"/>
  <c r="DN24" i="46"/>
  <c r="DN27" i="46" s="1"/>
  <c r="DM75" i="46"/>
  <c r="DM74" i="46" s="1"/>
  <c r="DM16" i="46"/>
  <c r="DM15" i="46"/>
  <c r="DO28" i="46"/>
  <c r="DO23" i="46"/>
  <c r="DO21" i="46"/>
  <c r="DP8" i="46"/>
  <c r="DO6" i="46"/>
  <c r="DO7" i="46"/>
  <c r="DO20" i="46" s="1"/>
  <c r="DP28" i="46" l="1"/>
  <c r="DP23" i="46"/>
  <c r="DP21" i="46"/>
  <c r="DQ8" i="46"/>
  <c r="DP6" i="46"/>
  <c r="DP7" i="46"/>
  <c r="DN75" i="46"/>
  <c r="DN74" i="46" s="1"/>
  <c r="DN16" i="46"/>
  <c r="DN15" i="46"/>
  <c r="DN63" i="46"/>
  <c r="DN61" i="46"/>
  <c r="DN62" i="46"/>
  <c r="DN55" i="46"/>
  <c r="DN57" i="46"/>
  <c r="DN60" i="46"/>
  <c r="DN54" i="46"/>
  <c r="DN52" i="46"/>
  <c r="DN53" i="46"/>
  <c r="DN44" i="46"/>
  <c r="DN29" i="46"/>
  <c r="DO5" i="46"/>
  <c r="DO24" i="46"/>
  <c r="DO27" i="46" s="1"/>
  <c r="DQ21" i="46" l="1"/>
  <c r="DQ23" i="46"/>
  <c r="DR8" i="46"/>
  <c r="DQ6" i="46"/>
  <c r="DQ28" i="46"/>
  <c r="DQ7" i="46"/>
  <c r="DP5" i="46"/>
  <c r="DP24" i="46"/>
  <c r="DP27" i="46" s="1"/>
  <c r="DO75" i="46"/>
  <c r="DO74" i="46" s="1"/>
  <c r="DO16" i="46"/>
  <c r="DO15" i="46"/>
  <c r="DO63" i="46"/>
  <c r="DO62" i="46"/>
  <c r="DO61" i="46"/>
  <c r="DO60" i="46"/>
  <c r="DO57" i="46"/>
  <c r="DO55" i="46"/>
  <c r="DO54" i="46"/>
  <c r="DO53" i="46"/>
  <c r="DO52" i="46"/>
  <c r="DO44" i="46"/>
  <c r="DO29" i="46"/>
  <c r="DP20" i="46"/>
  <c r="DQ5" i="46" l="1"/>
  <c r="DQ24" i="46"/>
  <c r="DQ27" i="46" s="1"/>
  <c r="DP62" i="46"/>
  <c r="DP61" i="46"/>
  <c r="DP60" i="46"/>
  <c r="DP55" i="46"/>
  <c r="DP54" i="46"/>
  <c r="DP53" i="46"/>
  <c r="DP52" i="46"/>
  <c r="DP63" i="46"/>
  <c r="DP44" i="46"/>
  <c r="DP57" i="46"/>
  <c r="DP29" i="46"/>
  <c r="DP75" i="46"/>
  <c r="DP74" i="46" s="1"/>
  <c r="DP16" i="46"/>
  <c r="DP15" i="46"/>
  <c r="DR21" i="46"/>
  <c r="DR28" i="46"/>
  <c r="DR23" i="46"/>
  <c r="DS8" i="46"/>
  <c r="DR6" i="46"/>
  <c r="DR7" i="46"/>
  <c r="DQ20" i="46"/>
  <c r="DS21" i="46" l="1"/>
  <c r="DS28" i="46"/>
  <c r="DS23" i="46"/>
  <c r="DS6" i="46"/>
  <c r="DS7" i="46"/>
  <c r="DR5" i="46"/>
  <c r="DR24" i="46"/>
  <c r="DR27" i="46" s="1"/>
  <c r="DR20" i="46"/>
  <c r="DQ62" i="46"/>
  <c r="DQ61" i="46"/>
  <c r="DQ57" i="46"/>
  <c r="DQ63" i="46"/>
  <c r="DQ55" i="46"/>
  <c r="DQ52" i="46"/>
  <c r="DQ60" i="46"/>
  <c r="DQ53" i="46"/>
  <c r="DQ54" i="46"/>
  <c r="DQ44" i="46"/>
  <c r="DQ29" i="46"/>
  <c r="DQ75" i="46"/>
  <c r="DQ74" i="46" s="1"/>
  <c r="DQ16" i="46"/>
  <c r="DQ15" i="46"/>
  <c r="DR75" i="46" l="1"/>
  <c r="DR74" i="46" s="1"/>
  <c r="DR15" i="46"/>
  <c r="DR16" i="46"/>
  <c r="DS5" i="46"/>
  <c r="DS24" i="46"/>
  <c r="DS27" i="46" s="1"/>
  <c r="DR63" i="46"/>
  <c r="DR62" i="46"/>
  <c r="DR61" i="46"/>
  <c r="DR60" i="46"/>
  <c r="DR57" i="46"/>
  <c r="DR52" i="46"/>
  <c r="DR53" i="46"/>
  <c r="DR54" i="46"/>
  <c r="DR44" i="46"/>
  <c r="DR55" i="46"/>
  <c r="DR29" i="46"/>
  <c r="DS20" i="46"/>
  <c r="DS75" i="46" l="1"/>
  <c r="DS74" i="46" s="1"/>
  <c r="DS16" i="46"/>
  <c r="DS15" i="46"/>
  <c r="D13" i="45"/>
  <c r="D60" i="45"/>
  <c r="E40" i="45"/>
  <c r="E38" i="45"/>
  <c r="K40" i="45"/>
  <c r="K48" i="45"/>
  <c r="G49" i="45"/>
  <c r="H13" i="45"/>
  <c r="L39" i="45"/>
  <c r="H44" i="45"/>
  <c r="F41" i="45"/>
  <c r="K49" i="45"/>
  <c r="E49" i="45"/>
  <c r="H38" i="45"/>
  <c r="G60" i="45"/>
  <c r="E48" i="45"/>
  <c r="K38" i="45"/>
  <c r="L44" i="45"/>
  <c r="L40" i="45"/>
  <c r="F30" i="45"/>
  <c r="G50" i="45"/>
  <c r="I13" i="45"/>
  <c r="L14" i="45"/>
  <c r="J40" i="45"/>
  <c r="J60" i="45"/>
  <c r="H14" i="45"/>
  <c r="F50" i="45"/>
  <c r="K44" i="45"/>
  <c r="G41" i="45"/>
  <c r="G14" i="45"/>
  <c r="L50" i="45"/>
  <c r="I49" i="45"/>
  <c r="I50" i="45"/>
  <c r="H30" i="45"/>
  <c r="F13" i="45"/>
  <c r="G39" i="45"/>
  <c r="K60" i="45"/>
  <c r="G40" i="45"/>
  <c r="I60" i="45"/>
  <c r="J13" i="45"/>
  <c r="J38" i="45"/>
  <c r="K14" i="45"/>
  <c r="F44" i="45"/>
  <c r="H48" i="45"/>
  <c r="E30" i="45"/>
  <c r="F49" i="45"/>
  <c r="E50" i="45"/>
  <c r="H49" i="45"/>
  <c r="K13" i="45"/>
  <c r="J30" i="45"/>
  <c r="F60" i="45"/>
  <c r="F39" i="45"/>
  <c r="E39" i="45"/>
  <c r="G38" i="45"/>
  <c r="J41" i="45"/>
  <c r="E44" i="45"/>
  <c r="L41" i="45"/>
  <c r="F48" i="45"/>
  <c r="J14" i="45"/>
  <c r="J48" i="45"/>
  <c r="M60" i="45"/>
  <c r="I44" i="45"/>
  <c r="L48" i="45"/>
  <c r="K30" i="45"/>
  <c r="H41" i="45"/>
  <c r="M13" i="45"/>
  <c r="I38" i="45"/>
  <c r="E60" i="45"/>
  <c r="L49" i="45"/>
  <c r="J39" i="45"/>
  <c r="L13" i="45"/>
  <c r="H40" i="45"/>
  <c r="H50" i="45"/>
  <c r="F38" i="45"/>
  <c r="K41" i="45"/>
  <c r="H39" i="45"/>
  <c r="J44" i="45"/>
  <c r="I40" i="45"/>
  <c r="L60" i="45"/>
  <c r="G13" i="45"/>
  <c r="I14" i="45"/>
  <c r="E41" i="45"/>
  <c r="J49" i="45"/>
  <c r="K39" i="45"/>
  <c r="I41" i="45"/>
  <c r="G48" i="45"/>
  <c r="L38" i="45"/>
  <c r="G30" i="45"/>
  <c r="I39" i="45"/>
  <c r="F40" i="45"/>
  <c r="J50" i="45"/>
  <c r="I48" i="45"/>
  <c r="K50" i="45"/>
  <c r="H60" i="45"/>
  <c r="L30" i="45"/>
  <c r="E13" i="45"/>
  <c r="E14" i="45"/>
  <c r="I30" i="45"/>
  <c r="G44" i="45"/>
  <c r="F14" i="45"/>
  <c r="DS63" i="46"/>
  <c r="D50" i="45" s="1"/>
  <c r="DS62" i="46"/>
  <c r="D49" i="45" s="1"/>
  <c r="DS61" i="46"/>
  <c r="DS57" i="46"/>
  <c r="D44" i="45" s="1"/>
  <c r="DS60" i="46"/>
  <c r="D48" i="45" s="1"/>
  <c r="DS54" i="46"/>
  <c r="D40" i="45" s="1"/>
  <c r="DS53" i="46"/>
  <c r="D39" i="45" s="1"/>
  <c r="DS52" i="46"/>
  <c r="M38" i="45" s="1"/>
  <c r="DS44" i="46"/>
  <c r="D30" i="45" s="1"/>
  <c r="DS55" i="46"/>
  <c r="D41" i="45" s="1"/>
  <c r="DS29" i="46"/>
  <c r="D14" i="45" s="1"/>
  <c r="M39" i="45" l="1"/>
  <c r="G42" i="45"/>
  <c r="L42" i="45"/>
  <c r="M40" i="45"/>
  <c r="M48" i="45"/>
  <c r="M44" i="45"/>
  <c r="M41" i="45"/>
  <c r="M42" i="45" s="1"/>
  <c r="M50" i="45"/>
  <c r="E42" i="45"/>
  <c r="D38" i="45"/>
  <c r="D42" i="45" s="1"/>
  <c r="M49" i="45"/>
  <c r="M14" i="45"/>
  <c r="F42" i="45"/>
  <c r="J42" i="45"/>
  <c r="K42" i="45"/>
  <c r="I42" i="45"/>
  <c r="H42" i="45"/>
  <c r="M30" i="45"/>
  <c r="P8" i="44" l="1"/>
  <c r="P10" i="44" s="1"/>
  <c r="L27" i="44"/>
  <c r="O9" i="44" s="1"/>
  <c r="L15" i="44" l="1"/>
  <c r="O8" i="44" s="1"/>
  <c r="DP19" i="46"/>
  <c r="DP30" i="46" s="1"/>
  <c r="DH19" i="46"/>
  <c r="DH30" i="46" s="1"/>
  <c r="CZ19" i="46"/>
  <c r="CZ30" i="46" s="1"/>
  <c r="CR19" i="46"/>
  <c r="CR30" i="46" s="1"/>
  <c r="CJ19" i="46"/>
  <c r="CJ30" i="46" s="1"/>
  <c r="CB19" i="46"/>
  <c r="CB30" i="46" s="1"/>
  <c r="BT19" i="46"/>
  <c r="BT30" i="46" s="1"/>
  <c r="BL19" i="46"/>
  <c r="BL30" i="46" s="1"/>
  <c r="BD19" i="46"/>
  <c r="BD30" i="46" s="1"/>
  <c r="AV19" i="46"/>
  <c r="AV30" i="46" s="1"/>
  <c r="AN19" i="46"/>
  <c r="AN30" i="46" s="1"/>
  <c r="AF19" i="46"/>
  <c r="AF30" i="46" s="1"/>
  <c r="X19" i="46"/>
  <c r="X30" i="46" s="1"/>
  <c r="P19" i="46"/>
  <c r="P30" i="46" s="1"/>
  <c r="H19" i="46"/>
  <c r="H30" i="46" s="1"/>
  <c r="DL19" i="46"/>
  <c r="DL30" i="46" s="1"/>
  <c r="DD19" i="46"/>
  <c r="DD30" i="46" s="1"/>
  <c r="CV19" i="46"/>
  <c r="CV30" i="46" s="1"/>
  <c r="CN19" i="46"/>
  <c r="CN30" i="46" s="1"/>
  <c r="CF19" i="46"/>
  <c r="CF30" i="46" s="1"/>
  <c r="BX19" i="46"/>
  <c r="BX30" i="46" s="1"/>
  <c r="BP19" i="46"/>
  <c r="BP30" i="46" s="1"/>
  <c r="BH19" i="46"/>
  <c r="BH30" i="46" s="1"/>
  <c r="AZ19" i="46"/>
  <c r="AZ30" i="46" s="1"/>
  <c r="AR19" i="46"/>
  <c r="AR30" i="46" s="1"/>
  <c r="AJ19" i="46"/>
  <c r="AJ30" i="46" s="1"/>
  <c r="AB19" i="46"/>
  <c r="AB30" i="46" s="1"/>
  <c r="T19" i="46"/>
  <c r="T30" i="46" s="1"/>
  <c r="L19" i="46"/>
  <c r="L30" i="46" s="1"/>
  <c r="D19" i="46"/>
  <c r="D30" i="46" s="1"/>
  <c r="DN19" i="46"/>
  <c r="DN30" i="46" s="1"/>
  <c r="DC19" i="46"/>
  <c r="DC30" i="46" s="1"/>
  <c r="CS19" i="46"/>
  <c r="CS30" i="46" s="1"/>
  <c r="CH19" i="46"/>
  <c r="CH30" i="46" s="1"/>
  <c r="BW19" i="46"/>
  <c r="BW30" i="46" s="1"/>
  <c r="BM19" i="46"/>
  <c r="BM30" i="46" s="1"/>
  <c r="BB19" i="46"/>
  <c r="BB30" i="46" s="1"/>
  <c r="AQ19" i="46"/>
  <c r="AQ30" i="46" s="1"/>
  <c r="AG19" i="46"/>
  <c r="AG30" i="46" s="1"/>
  <c r="V19" i="46"/>
  <c r="V30" i="46" s="1"/>
  <c r="K19" i="46"/>
  <c r="K30" i="46" s="1"/>
  <c r="DM19" i="46"/>
  <c r="DM30" i="46" s="1"/>
  <c r="DB19" i="46"/>
  <c r="DB30" i="46" s="1"/>
  <c r="CQ19" i="46"/>
  <c r="CQ30" i="46" s="1"/>
  <c r="CG19" i="46"/>
  <c r="CG30" i="46" s="1"/>
  <c r="BV19" i="46"/>
  <c r="BV30" i="46" s="1"/>
  <c r="BK19" i="46"/>
  <c r="BK30" i="46" s="1"/>
  <c r="BA19" i="46"/>
  <c r="BA30" i="46" s="1"/>
  <c r="AP19" i="46"/>
  <c r="AP30" i="46" s="1"/>
  <c r="AE19" i="46"/>
  <c r="AE30" i="46" s="1"/>
  <c r="U19" i="46"/>
  <c r="U30" i="46" s="1"/>
  <c r="J19" i="46"/>
  <c r="J30" i="46" s="1"/>
  <c r="DK19" i="46"/>
  <c r="DK30" i="46" s="1"/>
  <c r="DA19" i="46"/>
  <c r="DA30" i="46" s="1"/>
  <c r="CP19" i="46"/>
  <c r="CP30" i="46" s="1"/>
  <c r="CE19" i="46"/>
  <c r="CE30" i="46" s="1"/>
  <c r="BU19" i="46"/>
  <c r="BU30" i="46" s="1"/>
  <c r="BJ19" i="46"/>
  <c r="BJ30" i="46" s="1"/>
  <c r="AY19" i="46"/>
  <c r="AY30" i="46" s="1"/>
  <c r="AO19" i="46"/>
  <c r="AO30" i="46" s="1"/>
  <c r="AD19" i="46"/>
  <c r="AD30" i="46" s="1"/>
  <c r="S19" i="46"/>
  <c r="S30" i="46" s="1"/>
  <c r="I19" i="46"/>
  <c r="I30" i="46" s="1"/>
  <c r="DJ19" i="46"/>
  <c r="DJ30" i="46" s="1"/>
  <c r="CY19" i="46"/>
  <c r="CY30" i="46" s="1"/>
  <c r="CO19" i="46"/>
  <c r="CO30" i="46" s="1"/>
  <c r="CD19" i="46"/>
  <c r="CD30" i="46" s="1"/>
  <c r="BS19" i="46"/>
  <c r="BS30" i="46" s="1"/>
  <c r="BI19" i="46"/>
  <c r="BI30" i="46" s="1"/>
  <c r="AX19" i="46"/>
  <c r="AX30" i="46" s="1"/>
  <c r="AM19" i="46"/>
  <c r="AM30" i="46" s="1"/>
  <c r="AC19" i="46"/>
  <c r="AC30" i="46" s="1"/>
  <c r="R19" i="46"/>
  <c r="R30" i="46" s="1"/>
  <c r="G19" i="46"/>
  <c r="G30" i="46" s="1"/>
  <c r="DR19" i="46"/>
  <c r="DR30" i="46" s="1"/>
  <c r="DG19" i="46"/>
  <c r="DG30" i="46" s="1"/>
  <c r="CW19" i="46"/>
  <c r="CW30" i="46" s="1"/>
  <c r="CL19" i="46"/>
  <c r="CL30" i="46" s="1"/>
  <c r="CA19" i="46"/>
  <c r="CA30" i="46" s="1"/>
  <c r="BQ19" i="46"/>
  <c r="BQ30" i="46" s="1"/>
  <c r="BF19" i="46"/>
  <c r="BF30" i="46" s="1"/>
  <c r="AU19" i="46"/>
  <c r="AU30" i="46" s="1"/>
  <c r="AK19" i="46"/>
  <c r="AK30" i="46" s="1"/>
  <c r="Z19" i="46"/>
  <c r="Z30" i="46" s="1"/>
  <c r="O19" i="46"/>
  <c r="O30" i="46" s="1"/>
  <c r="E19" i="46"/>
  <c r="E30" i="46" s="1"/>
  <c r="DE19" i="46"/>
  <c r="DE30" i="46" s="1"/>
  <c r="BZ19" i="46"/>
  <c r="BZ30" i="46" s="1"/>
  <c r="AW19" i="46"/>
  <c r="AW30" i="46" s="1"/>
  <c r="W19" i="46"/>
  <c r="W30" i="46" s="1"/>
  <c r="CX19" i="46"/>
  <c r="CX30" i="46" s="1"/>
  <c r="BY19" i="46"/>
  <c r="BY30" i="46" s="1"/>
  <c r="AT19" i="46"/>
  <c r="AT30" i="46" s="1"/>
  <c r="Q19" i="46"/>
  <c r="Q30" i="46" s="1"/>
  <c r="CU19" i="46"/>
  <c r="CU30" i="46" s="1"/>
  <c r="BR19" i="46"/>
  <c r="BR30" i="46" s="1"/>
  <c r="AS19" i="46"/>
  <c r="AS30" i="46" s="1"/>
  <c r="N19" i="46"/>
  <c r="N30" i="46" s="1"/>
  <c r="DS19" i="46"/>
  <c r="DS30" i="46" s="1"/>
  <c r="CT19" i="46"/>
  <c r="CT30" i="46" s="1"/>
  <c r="BO19" i="46"/>
  <c r="BO30" i="46" s="1"/>
  <c r="AL19" i="46"/>
  <c r="AL30" i="46" s="1"/>
  <c r="M19" i="46"/>
  <c r="M30" i="46" s="1"/>
  <c r="DQ19" i="46"/>
  <c r="DQ30" i="46" s="1"/>
  <c r="CM19" i="46"/>
  <c r="CM30" i="46" s="1"/>
  <c r="BN19" i="46"/>
  <c r="BN30" i="46" s="1"/>
  <c r="AI19" i="46"/>
  <c r="AI30" i="46" s="1"/>
  <c r="F19" i="46"/>
  <c r="F30" i="46" s="1"/>
  <c r="DO19" i="46"/>
  <c r="DO30" i="46" s="1"/>
  <c r="CK19" i="46"/>
  <c r="CK30" i="46" s="1"/>
  <c r="BG19" i="46"/>
  <c r="BG30" i="46" s="1"/>
  <c r="AH19" i="46"/>
  <c r="AH30" i="46" s="1"/>
  <c r="DI19" i="46"/>
  <c r="DI30" i="46" s="1"/>
  <c r="CI19" i="46"/>
  <c r="CI30" i="46" s="1"/>
  <c r="BE19" i="46"/>
  <c r="BE30" i="46" s="1"/>
  <c r="AA19" i="46"/>
  <c r="AA30" i="46" s="1"/>
  <c r="DF19" i="46"/>
  <c r="DF30" i="46" s="1"/>
  <c r="CC19" i="46"/>
  <c r="CC30" i="46" s="1"/>
  <c r="BC19" i="46"/>
  <c r="BC30" i="46" s="1"/>
  <c r="Y19" i="46"/>
  <c r="Y30" i="46" s="1"/>
  <c r="Q9" i="44"/>
  <c r="DP22" i="46"/>
  <c r="DP32" i="46" s="1"/>
  <c r="DH22" i="46"/>
  <c r="DH32" i="46" s="1"/>
  <c r="CZ22" i="46"/>
  <c r="CZ32" i="46" s="1"/>
  <c r="CR22" i="46"/>
  <c r="CR32" i="46" s="1"/>
  <c r="CJ22" i="46"/>
  <c r="CJ32" i="46" s="1"/>
  <c r="CB22" i="46"/>
  <c r="CB32" i="46" s="1"/>
  <c r="BT22" i="46"/>
  <c r="BT32" i="46" s="1"/>
  <c r="BL22" i="46"/>
  <c r="BL32" i="46" s="1"/>
  <c r="BD22" i="46"/>
  <c r="BD32" i="46" s="1"/>
  <c r="AV22" i="46"/>
  <c r="AV32" i="46" s="1"/>
  <c r="AN22" i="46"/>
  <c r="AN32" i="46" s="1"/>
  <c r="AF22" i="46"/>
  <c r="AF32" i="46" s="1"/>
  <c r="X22" i="46"/>
  <c r="X32" i="46" s="1"/>
  <c r="P22" i="46"/>
  <c r="P32" i="46" s="1"/>
  <c r="H22" i="46"/>
  <c r="H32" i="46" s="1"/>
  <c r="DO22" i="46"/>
  <c r="DO32" i="46" s="1"/>
  <c r="DG22" i="46"/>
  <c r="DG32" i="46" s="1"/>
  <c r="CY22" i="46"/>
  <c r="CY32" i="46" s="1"/>
  <c r="CQ22" i="46"/>
  <c r="CQ32" i="46" s="1"/>
  <c r="CI22" i="46"/>
  <c r="CI32" i="46" s="1"/>
  <c r="CA22" i="46"/>
  <c r="CA32" i="46" s="1"/>
  <c r="BS22" i="46"/>
  <c r="BS32" i="46" s="1"/>
  <c r="BK22" i="46"/>
  <c r="BK32" i="46" s="1"/>
  <c r="BC22" i="46"/>
  <c r="BC32" i="46" s="1"/>
  <c r="AU22" i="46"/>
  <c r="AU32" i="46" s="1"/>
  <c r="AM22" i="46"/>
  <c r="AM32" i="46" s="1"/>
  <c r="AE22" i="46"/>
  <c r="AE32" i="46" s="1"/>
  <c r="W22" i="46"/>
  <c r="W32" i="46" s="1"/>
  <c r="O22" i="46"/>
  <c r="O32" i="46" s="1"/>
  <c r="G22" i="46"/>
  <c r="G32" i="46" s="1"/>
  <c r="DL22" i="46"/>
  <c r="DL32" i="46" s="1"/>
  <c r="DD22" i="46"/>
  <c r="DD32" i="46" s="1"/>
  <c r="CV22" i="46"/>
  <c r="CV32" i="46" s="1"/>
  <c r="CN22" i="46"/>
  <c r="CN32" i="46" s="1"/>
  <c r="CF22" i="46"/>
  <c r="CF32" i="46" s="1"/>
  <c r="BX22" i="46"/>
  <c r="BX32" i="46" s="1"/>
  <c r="BP22" i="46"/>
  <c r="BP32" i="46" s="1"/>
  <c r="BH22" i="46"/>
  <c r="BH32" i="46" s="1"/>
  <c r="AZ22" i="46"/>
  <c r="AZ32" i="46" s="1"/>
  <c r="AR22" i="46"/>
  <c r="AR32" i="46" s="1"/>
  <c r="AJ22" i="46"/>
  <c r="AJ32" i="46" s="1"/>
  <c r="AB22" i="46"/>
  <c r="AB32" i="46" s="1"/>
  <c r="T22" i="46"/>
  <c r="T32" i="46" s="1"/>
  <c r="L22" i="46"/>
  <c r="L32" i="46" s="1"/>
  <c r="D22" i="46"/>
  <c r="D32" i="46" s="1"/>
  <c r="DS22" i="46"/>
  <c r="DS32" i="46" s="1"/>
  <c r="DF22" i="46"/>
  <c r="DF32" i="46" s="1"/>
  <c r="CT22" i="46"/>
  <c r="CT32" i="46" s="1"/>
  <c r="CG22" i="46"/>
  <c r="CG32" i="46" s="1"/>
  <c r="BU22" i="46"/>
  <c r="BU32" i="46" s="1"/>
  <c r="BG22" i="46"/>
  <c r="BG32" i="46" s="1"/>
  <c r="AT22" i="46"/>
  <c r="AT32" i="46" s="1"/>
  <c r="AH22" i="46"/>
  <c r="AH32" i="46" s="1"/>
  <c r="U22" i="46"/>
  <c r="U32" i="46" s="1"/>
  <c r="I22" i="46"/>
  <c r="I32" i="46" s="1"/>
  <c r="DR22" i="46"/>
  <c r="DR32" i="46" s="1"/>
  <c r="DE22" i="46"/>
  <c r="DE32" i="46" s="1"/>
  <c r="CS22" i="46"/>
  <c r="CS32" i="46" s="1"/>
  <c r="CE22" i="46"/>
  <c r="CE32" i="46" s="1"/>
  <c r="BR22" i="46"/>
  <c r="BR32" i="46" s="1"/>
  <c r="BF22" i="46"/>
  <c r="BF32" i="46" s="1"/>
  <c r="AS22" i="46"/>
  <c r="AS32" i="46" s="1"/>
  <c r="AG22" i="46"/>
  <c r="AG32" i="46" s="1"/>
  <c r="S22" i="46"/>
  <c r="S32" i="46" s="1"/>
  <c r="F22" i="46"/>
  <c r="F32" i="46" s="1"/>
  <c r="DQ22" i="46"/>
  <c r="DQ32" i="46" s="1"/>
  <c r="DC22" i="46"/>
  <c r="DC32" i="46" s="1"/>
  <c r="CP22" i="46"/>
  <c r="CP32" i="46" s="1"/>
  <c r="CD22" i="46"/>
  <c r="CD32" i="46" s="1"/>
  <c r="BQ22" i="46"/>
  <c r="BQ32" i="46" s="1"/>
  <c r="BE22" i="46"/>
  <c r="BE32" i="46" s="1"/>
  <c r="AQ22" i="46"/>
  <c r="AQ32" i="46" s="1"/>
  <c r="AD22" i="46"/>
  <c r="AD32" i="46" s="1"/>
  <c r="R22" i="46"/>
  <c r="R32" i="46" s="1"/>
  <c r="E22" i="46"/>
  <c r="E32" i="46" s="1"/>
  <c r="DN22" i="46"/>
  <c r="DN32" i="46" s="1"/>
  <c r="DB22" i="46"/>
  <c r="DB32" i="46" s="1"/>
  <c r="CO22" i="46"/>
  <c r="CO32" i="46" s="1"/>
  <c r="CC22" i="46"/>
  <c r="CC32" i="46" s="1"/>
  <c r="BO22" i="46"/>
  <c r="BO32" i="46" s="1"/>
  <c r="BB22" i="46"/>
  <c r="BB32" i="46" s="1"/>
  <c r="AP22" i="46"/>
  <c r="AP32" i="46" s="1"/>
  <c r="AC22" i="46"/>
  <c r="AC32" i="46" s="1"/>
  <c r="Q22" i="46"/>
  <c r="Q32" i="46" s="1"/>
  <c r="DM22" i="46"/>
  <c r="DM32" i="46" s="1"/>
  <c r="DA22" i="46"/>
  <c r="DA32" i="46" s="1"/>
  <c r="CM22" i="46"/>
  <c r="CM32" i="46" s="1"/>
  <c r="BZ22" i="46"/>
  <c r="BZ32" i="46" s="1"/>
  <c r="BN22" i="46"/>
  <c r="BN32" i="46" s="1"/>
  <c r="BA22" i="46"/>
  <c r="BA32" i="46" s="1"/>
  <c r="AO22" i="46"/>
  <c r="AO32" i="46" s="1"/>
  <c r="AA22" i="46"/>
  <c r="AA32" i="46" s="1"/>
  <c r="N22" i="46"/>
  <c r="N32" i="46" s="1"/>
  <c r="DK22" i="46"/>
  <c r="DK32" i="46" s="1"/>
  <c r="CX22" i="46"/>
  <c r="CX32" i="46" s="1"/>
  <c r="CL22" i="46"/>
  <c r="CL32" i="46" s="1"/>
  <c r="BY22" i="46"/>
  <c r="BY32" i="46" s="1"/>
  <c r="BM22" i="46"/>
  <c r="BM32" i="46" s="1"/>
  <c r="AY22" i="46"/>
  <c r="AY32" i="46" s="1"/>
  <c r="AL22" i="46"/>
  <c r="AL32" i="46" s="1"/>
  <c r="Z22" i="46"/>
  <c r="Z32" i="46" s="1"/>
  <c r="M22" i="46"/>
  <c r="M32" i="46" s="1"/>
  <c r="DI22" i="46"/>
  <c r="DI32" i="46" s="1"/>
  <c r="CU22" i="46"/>
  <c r="CU32" i="46" s="1"/>
  <c r="BV22" i="46"/>
  <c r="BV32" i="46" s="1"/>
  <c r="V22" i="46"/>
  <c r="V32" i="46" s="1"/>
  <c r="BJ22" i="46"/>
  <c r="BJ32" i="46" s="1"/>
  <c r="K22" i="46"/>
  <c r="K32" i="46" s="1"/>
  <c r="BI22" i="46"/>
  <c r="BI32" i="46" s="1"/>
  <c r="J22" i="46"/>
  <c r="J32" i="46" s="1"/>
  <c r="DJ22" i="46"/>
  <c r="DJ32" i="46" s="1"/>
  <c r="AX22" i="46"/>
  <c r="AX32" i="46" s="1"/>
  <c r="CW22" i="46"/>
  <c r="CW32" i="46" s="1"/>
  <c r="AW22" i="46"/>
  <c r="AW32" i="46" s="1"/>
  <c r="CK22" i="46"/>
  <c r="CK32" i="46" s="1"/>
  <c r="AK22" i="46"/>
  <c r="AK32" i="46" s="1"/>
  <c r="CH22" i="46"/>
  <c r="CH32" i="46" s="1"/>
  <c r="AI22" i="46"/>
  <c r="AI32" i="46" s="1"/>
  <c r="BW22" i="46"/>
  <c r="BW32" i="46" s="1"/>
  <c r="Y22" i="46"/>
  <c r="Y32" i="46" s="1"/>
  <c r="Q8" i="44"/>
  <c r="O10" i="44"/>
  <c r="Q10" i="44" s="1"/>
  <c r="AC37" i="46" l="1"/>
  <c r="AC45" i="46" s="1"/>
  <c r="AC31" i="46"/>
  <c r="AC33" i="46" s="1"/>
  <c r="AC36" i="46" s="1"/>
  <c r="AC42" i="46"/>
  <c r="AC41" i="46"/>
  <c r="AC43" i="46"/>
  <c r="AZ37" i="46"/>
  <c r="AZ31" i="46"/>
  <c r="AZ33" i="46" s="1"/>
  <c r="AZ36" i="46" s="1"/>
  <c r="AZ42" i="46"/>
  <c r="AZ41" i="46"/>
  <c r="AZ43" i="46"/>
  <c r="H15" i="45"/>
  <c r="H16" i="45" s="1"/>
  <c r="M37" i="46"/>
  <c r="M45" i="46" s="1"/>
  <c r="M31" i="46"/>
  <c r="M33" i="46" s="1"/>
  <c r="M36" i="46" s="1"/>
  <c r="M43" i="46"/>
  <c r="M42" i="46"/>
  <c r="M41" i="46"/>
  <c r="Y37" i="46"/>
  <c r="Y45" i="46" s="1"/>
  <c r="Y31" i="46"/>
  <c r="Y33" i="46" s="1"/>
  <c r="Y36" i="46" s="1"/>
  <c r="Y42" i="46"/>
  <c r="Y43" i="46"/>
  <c r="Y41" i="46"/>
  <c r="DJ37" i="46"/>
  <c r="DJ45" i="46" s="1"/>
  <c r="DJ31" i="46"/>
  <c r="DJ33" i="46" s="1"/>
  <c r="DJ36" i="46" s="1"/>
  <c r="DJ42" i="46"/>
  <c r="DJ43" i="46"/>
  <c r="DJ41" i="46"/>
  <c r="DC37" i="46"/>
  <c r="DC45" i="46" s="1"/>
  <c r="DC31" i="46"/>
  <c r="DC33" i="46" s="1"/>
  <c r="DC36" i="46" s="1"/>
  <c r="DC41" i="46"/>
  <c r="DC42" i="46"/>
  <c r="DC43" i="46"/>
  <c r="DE37" i="46"/>
  <c r="DE45" i="46" s="1"/>
  <c r="DE31" i="46"/>
  <c r="DE33" i="46" s="1"/>
  <c r="DE36" i="46" s="1"/>
  <c r="DE42" i="46"/>
  <c r="DE41" i="46"/>
  <c r="DE43" i="46"/>
  <c r="BK37" i="46"/>
  <c r="BK45" i="46" s="1"/>
  <c r="BK31" i="46"/>
  <c r="BK33" i="46" s="1"/>
  <c r="BK36" i="46" s="1"/>
  <c r="BK42" i="46"/>
  <c r="BK41" i="46"/>
  <c r="BK43" i="46"/>
  <c r="CC37" i="46"/>
  <c r="CC45" i="46" s="1"/>
  <c r="CC31" i="46"/>
  <c r="CC33" i="46" s="1"/>
  <c r="CC36" i="46" s="1"/>
  <c r="CC43" i="46"/>
  <c r="CC41" i="46"/>
  <c r="CC42" i="46"/>
  <c r="CK37" i="46"/>
  <c r="CK45" i="46" s="1"/>
  <c r="CK31" i="46"/>
  <c r="CK33" i="46" s="1"/>
  <c r="CK36" i="46" s="1"/>
  <c r="CK42" i="46"/>
  <c r="CK43" i="46"/>
  <c r="CK41" i="46"/>
  <c r="AL37" i="46"/>
  <c r="AL45" i="46" s="1"/>
  <c r="AL31" i="46"/>
  <c r="AL33" i="46" s="1"/>
  <c r="AL36" i="46" s="1"/>
  <c r="AL42" i="46"/>
  <c r="AL41" i="46"/>
  <c r="AL43" i="46"/>
  <c r="Q37" i="46"/>
  <c r="Q45" i="46" s="1"/>
  <c r="Q31" i="46"/>
  <c r="Q33" i="46" s="1"/>
  <c r="Q36" i="46" s="1"/>
  <c r="Q42" i="46"/>
  <c r="Q41" i="46"/>
  <c r="Q43" i="46"/>
  <c r="E37" i="46"/>
  <c r="E45" i="46" s="1"/>
  <c r="E31" i="46"/>
  <c r="E33" i="46" s="1"/>
  <c r="E36" i="46" s="1"/>
  <c r="E41" i="46"/>
  <c r="E43" i="46"/>
  <c r="E42" i="46"/>
  <c r="CL37" i="46"/>
  <c r="CL45" i="46" s="1"/>
  <c r="CL31" i="46"/>
  <c r="CL33" i="46" s="1"/>
  <c r="CL36" i="46" s="1"/>
  <c r="CL41" i="46"/>
  <c r="CL43" i="46"/>
  <c r="CL42" i="46"/>
  <c r="AX37" i="46"/>
  <c r="AX45" i="46" s="1"/>
  <c r="AX31" i="46"/>
  <c r="AX33" i="46" s="1"/>
  <c r="AX36" i="46" s="1"/>
  <c r="AX41" i="46"/>
  <c r="AX43" i="46"/>
  <c r="AX42" i="46"/>
  <c r="S37" i="46"/>
  <c r="S45" i="46" s="1"/>
  <c r="S31" i="46"/>
  <c r="S33" i="46" s="1"/>
  <c r="S36" i="46" s="1"/>
  <c r="S42" i="46"/>
  <c r="S43" i="46"/>
  <c r="S41" i="46"/>
  <c r="DA37" i="46"/>
  <c r="DA45" i="46" s="1"/>
  <c r="DA31" i="46"/>
  <c r="DA33" i="46" s="1"/>
  <c r="DA36" i="46" s="1"/>
  <c r="DA43" i="46"/>
  <c r="DA41" i="46"/>
  <c r="DA42" i="46"/>
  <c r="BV37" i="46"/>
  <c r="BV45" i="46" s="1"/>
  <c r="BV31" i="46"/>
  <c r="BV33" i="46" s="1"/>
  <c r="BV36" i="46" s="1"/>
  <c r="BV41" i="46"/>
  <c r="BV42" i="46"/>
  <c r="BV43" i="46"/>
  <c r="AQ37" i="46"/>
  <c r="AQ45" i="46" s="1"/>
  <c r="AQ31" i="46"/>
  <c r="AQ33" i="46" s="1"/>
  <c r="AQ36" i="46" s="1"/>
  <c r="AQ42" i="46"/>
  <c r="AQ43" i="46"/>
  <c r="AQ41" i="46"/>
  <c r="D37" i="46"/>
  <c r="D31" i="46"/>
  <c r="D33" i="46" s="1"/>
  <c r="D36" i="46" s="1"/>
  <c r="D15" i="45"/>
  <c r="D16" i="45" s="1"/>
  <c r="D42" i="46"/>
  <c r="D41" i="46"/>
  <c r="D43" i="46"/>
  <c r="BP37" i="46"/>
  <c r="BP45" i="46" s="1"/>
  <c r="BP31" i="46"/>
  <c r="BP33" i="46" s="1"/>
  <c r="BP36" i="46" s="1"/>
  <c r="BP42" i="46"/>
  <c r="BP41" i="46"/>
  <c r="BP43" i="46"/>
  <c r="P37" i="46"/>
  <c r="P31" i="46"/>
  <c r="P33" i="46" s="1"/>
  <c r="P36" i="46" s="1"/>
  <c r="P42" i="46"/>
  <c r="P41" i="46"/>
  <c r="P43" i="46"/>
  <c r="E15" i="45"/>
  <c r="E16" i="45" s="1"/>
  <c r="CB37" i="46"/>
  <c r="CB45" i="46" s="1"/>
  <c r="CB31" i="46"/>
  <c r="CB33" i="46" s="1"/>
  <c r="CB36" i="46" s="1"/>
  <c r="CB42" i="46"/>
  <c r="CB41" i="46"/>
  <c r="CB43" i="46"/>
  <c r="BR37" i="46"/>
  <c r="BR45" i="46" s="1"/>
  <c r="BR31" i="46"/>
  <c r="BR33" i="46" s="1"/>
  <c r="BR36" i="46" s="1"/>
  <c r="BR42" i="46"/>
  <c r="BR43" i="46"/>
  <c r="BR41" i="46"/>
  <c r="BA37" i="46"/>
  <c r="BA45" i="46" s="1"/>
  <c r="BA31" i="46"/>
  <c r="BA33" i="46" s="1"/>
  <c r="BA36" i="46" s="1"/>
  <c r="BA42" i="46"/>
  <c r="BA41" i="46"/>
  <c r="BA43" i="46"/>
  <c r="CU37" i="46"/>
  <c r="CU45" i="46" s="1"/>
  <c r="CU31" i="46"/>
  <c r="CU33" i="46" s="1"/>
  <c r="CU36" i="46" s="1"/>
  <c r="CU42" i="46"/>
  <c r="CU41" i="46"/>
  <c r="CU43" i="46"/>
  <c r="AG37" i="46"/>
  <c r="AG45" i="46" s="1"/>
  <c r="AG31" i="46"/>
  <c r="AG33" i="46" s="1"/>
  <c r="AG36" i="46" s="1"/>
  <c r="AG41" i="46"/>
  <c r="AG43" i="46"/>
  <c r="AG42" i="46"/>
  <c r="DF37" i="46"/>
  <c r="DF45" i="46" s="1"/>
  <c r="DF31" i="46"/>
  <c r="DF33" i="46" s="1"/>
  <c r="DF36" i="46" s="1"/>
  <c r="DF41" i="46"/>
  <c r="DF43" i="46"/>
  <c r="DF42" i="46"/>
  <c r="DO37" i="46"/>
  <c r="DO45" i="46" s="1"/>
  <c r="DO31" i="46"/>
  <c r="DO33" i="46" s="1"/>
  <c r="DO36" i="46" s="1"/>
  <c r="DO42" i="46"/>
  <c r="DO41" i="46"/>
  <c r="DO43" i="46"/>
  <c r="BO37" i="46"/>
  <c r="BO45" i="46" s="1"/>
  <c r="BO31" i="46"/>
  <c r="BO33" i="46" s="1"/>
  <c r="BO36" i="46" s="1"/>
  <c r="BO42" i="46"/>
  <c r="BO43" i="46"/>
  <c r="BO41" i="46"/>
  <c r="AT37" i="46"/>
  <c r="AT45" i="46" s="1"/>
  <c r="AT31" i="46"/>
  <c r="AT33" i="46" s="1"/>
  <c r="AT36" i="46" s="1"/>
  <c r="AT41" i="46"/>
  <c r="AT43" i="46"/>
  <c r="AT42" i="46"/>
  <c r="O37" i="46"/>
  <c r="O45" i="46" s="1"/>
  <c r="O31" i="46"/>
  <c r="O33" i="46" s="1"/>
  <c r="O36" i="46" s="1"/>
  <c r="O41" i="46"/>
  <c r="O43" i="46"/>
  <c r="O42" i="46"/>
  <c r="CW37" i="46"/>
  <c r="CW45" i="46" s="1"/>
  <c r="CW31" i="46"/>
  <c r="CW33" i="46" s="1"/>
  <c r="CW36" i="46" s="1"/>
  <c r="CW41" i="46"/>
  <c r="CW42" i="46"/>
  <c r="CW43" i="46"/>
  <c r="BI37" i="46"/>
  <c r="BI45" i="46" s="1"/>
  <c r="BI31" i="46"/>
  <c r="BI33" i="46" s="1"/>
  <c r="BI36" i="46" s="1"/>
  <c r="BI41" i="46"/>
  <c r="BI42" i="46"/>
  <c r="BI43" i="46"/>
  <c r="AD37" i="46"/>
  <c r="AD45" i="46" s="1"/>
  <c r="AD31" i="46"/>
  <c r="AD33" i="46" s="1"/>
  <c r="AD36" i="46" s="1"/>
  <c r="AD41" i="46"/>
  <c r="AD43" i="46"/>
  <c r="AD42" i="46"/>
  <c r="DK37" i="46"/>
  <c r="DK45" i="46" s="1"/>
  <c r="DK31" i="46"/>
  <c r="DK33" i="46" s="1"/>
  <c r="DK36" i="46" s="1"/>
  <c r="DK42" i="46"/>
  <c r="DK43" i="46"/>
  <c r="DK41" i="46"/>
  <c r="CG37" i="46"/>
  <c r="CG45" i="46" s="1"/>
  <c r="CG31" i="46"/>
  <c r="CG33" i="46" s="1"/>
  <c r="CG36" i="46" s="1"/>
  <c r="CG42" i="46"/>
  <c r="CG41" i="46"/>
  <c r="CG43" i="46"/>
  <c r="BB37" i="46"/>
  <c r="BB45" i="46" s="1"/>
  <c r="BB31" i="46"/>
  <c r="BB33" i="46" s="1"/>
  <c r="BB36" i="46" s="1"/>
  <c r="BB42" i="46"/>
  <c r="BB43" i="46"/>
  <c r="BB41" i="46"/>
  <c r="L37" i="46"/>
  <c r="L45" i="46" s="1"/>
  <c r="L31" i="46"/>
  <c r="L33" i="46" s="1"/>
  <c r="L36" i="46" s="1"/>
  <c r="L42" i="46"/>
  <c r="L41" i="46"/>
  <c r="L43" i="46"/>
  <c r="BX37" i="46"/>
  <c r="BX31" i="46"/>
  <c r="BX33" i="46" s="1"/>
  <c r="BX36" i="46" s="1"/>
  <c r="BX42" i="46"/>
  <c r="BX41" i="46"/>
  <c r="BX43" i="46"/>
  <c r="J15" i="45"/>
  <c r="J16" i="45" s="1"/>
  <c r="X37" i="46"/>
  <c r="X45" i="46" s="1"/>
  <c r="X31" i="46"/>
  <c r="X33" i="46" s="1"/>
  <c r="X36" i="46" s="1"/>
  <c r="X42" i="46"/>
  <c r="X41" i="46"/>
  <c r="X43" i="46"/>
  <c r="CJ37" i="46"/>
  <c r="CJ31" i="46"/>
  <c r="CJ33" i="46" s="1"/>
  <c r="CJ36" i="46" s="1"/>
  <c r="CJ42" i="46"/>
  <c r="CJ41" i="46"/>
  <c r="CJ43" i="46"/>
  <c r="K15" i="45"/>
  <c r="K16" i="45" s="1"/>
  <c r="DQ37" i="46"/>
  <c r="DQ45" i="46" s="1"/>
  <c r="DQ31" i="46"/>
  <c r="DQ33" i="46" s="1"/>
  <c r="DQ36" i="46" s="1"/>
  <c r="DQ42" i="46"/>
  <c r="DQ41" i="46"/>
  <c r="DQ43" i="46"/>
  <c r="V37" i="46"/>
  <c r="V45" i="46" s="1"/>
  <c r="V31" i="46"/>
  <c r="V33" i="46" s="1"/>
  <c r="V36" i="46" s="1"/>
  <c r="V41" i="46"/>
  <c r="V43" i="46"/>
  <c r="V42" i="46"/>
  <c r="BG31" i="46"/>
  <c r="BG33" i="46" s="1"/>
  <c r="BG36" i="46" s="1"/>
  <c r="BG37" i="46"/>
  <c r="BG45" i="46" s="1"/>
  <c r="BG41" i="46"/>
  <c r="BG43" i="46"/>
  <c r="BG42" i="46"/>
  <c r="CP37" i="46"/>
  <c r="CP45" i="46" s="1"/>
  <c r="CP31" i="46"/>
  <c r="CP33" i="46" s="1"/>
  <c r="CP36" i="46" s="1"/>
  <c r="CP42" i="46"/>
  <c r="CP41" i="46"/>
  <c r="CP43" i="46"/>
  <c r="H37" i="46"/>
  <c r="H45" i="46" s="1"/>
  <c r="H31" i="46"/>
  <c r="H33" i="46" s="1"/>
  <c r="H36" i="46" s="1"/>
  <c r="H42" i="46"/>
  <c r="H41" i="46"/>
  <c r="H43" i="46"/>
  <c r="AA37" i="46"/>
  <c r="AA45" i="46" s="1"/>
  <c r="AA31" i="46"/>
  <c r="AA33" i="46" s="1"/>
  <c r="AA36" i="46" s="1"/>
  <c r="AA42" i="46"/>
  <c r="AA41" i="46"/>
  <c r="AA43" i="46"/>
  <c r="F37" i="46"/>
  <c r="F45" i="46" s="1"/>
  <c r="F31" i="46"/>
  <c r="F33" i="46" s="1"/>
  <c r="F36" i="46" s="1"/>
  <c r="F42" i="46"/>
  <c r="F41" i="46"/>
  <c r="F43" i="46"/>
  <c r="CT37" i="46"/>
  <c r="CT45" i="46" s="1"/>
  <c r="CT31" i="46"/>
  <c r="CT33" i="46" s="1"/>
  <c r="CT36" i="46" s="1"/>
  <c r="CT41" i="46"/>
  <c r="CT43" i="46"/>
  <c r="CT42" i="46"/>
  <c r="BY37" i="46"/>
  <c r="BY45" i="46" s="1"/>
  <c r="BY31" i="46"/>
  <c r="BY33" i="46" s="1"/>
  <c r="BY36" i="46" s="1"/>
  <c r="BY41" i="46"/>
  <c r="BY42" i="46"/>
  <c r="BY43" i="46"/>
  <c r="Z37" i="46"/>
  <c r="Z45" i="46" s="1"/>
  <c r="Z31" i="46"/>
  <c r="Z33" i="46" s="1"/>
  <c r="Z36" i="46" s="1"/>
  <c r="Z43" i="46"/>
  <c r="Z41" i="46"/>
  <c r="Z42" i="46"/>
  <c r="DG31" i="46"/>
  <c r="DG33" i="46" s="1"/>
  <c r="DG36" i="46" s="1"/>
  <c r="DG37" i="46"/>
  <c r="DG45" i="46" s="1"/>
  <c r="DG43" i="46"/>
  <c r="DG42" i="46"/>
  <c r="DG41" i="46"/>
  <c r="BS37" i="46"/>
  <c r="BS45" i="46" s="1"/>
  <c r="BS31" i="46"/>
  <c r="BS33" i="46" s="1"/>
  <c r="BS36" i="46" s="1"/>
  <c r="BS42" i="46"/>
  <c r="BS41" i="46"/>
  <c r="BS43" i="46"/>
  <c r="AO37" i="46"/>
  <c r="AO45" i="46" s="1"/>
  <c r="AO31" i="46"/>
  <c r="AO33" i="46" s="1"/>
  <c r="AO36" i="46" s="1"/>
  <c r="AO41" i="46"/>
  <c r="AO42" i="46"/>
  <c r="AO43" i="46"/>
  <c r="J37" i="46"/>
  <c r="J45" i="46" s="1"/>
  <c r="J31" i="46"/>
  <c r="J33" i="46" s="1"/>
  <c r="J36" i="46" s="1"/>
  <c r="J41" i="46"/>
  <c r="J43" i="46"/>
  <c r="J42" i="46"/>
  <c r="CQ37" i="46"/>
  <c r="CQ45" i="46" s="1"/>
  <c r="CQ31" i="46"/>
  <c r="CQ33" i="46" s="1"/>
  <c r="CQ36" i="46" s="1"/>
  <c r="CQ41" i="46"/>
  <c r="CQ43" i="46"/>
  <c r="CQ42" i="46"/>
  <c r="BM37" i="46"/>
  <c r="BM45" i="46" s="1"/>
  <c r="BM31" i="46"/>
  <c r="BM33" i="46" s="1"/>
  <c r="BM36" i="46" s="1"/>
  <c r="BM42" i="46"/>
  <c r="BM41" i="46"/>
  <c r="BM43" i="46"/>
  <c r="T37" i="46"/>
  <c r="T45" i="46" s="1"/>
  <c r="T31" i="46"/>
  <c r="T33" i="46" s="1"/>
  <c r="T36" i="46" s="1"/>
  <c r="T42" i="46"/>
  <c r="T41" i="46"/>
  <c r="T43" i="46"/>
  <c r="CF37" i="46"/>
  <c r="CF45" i="46" s="1"/>
  <c r="CF31" i="46"/>
  <c r="CF33" i="46" s="1"/>
  <c r="CF36" i="46" s="1"/>
  <c r="CF42" i="46"/>
  <c r="CF41" i="46"/>
  <c r="CF43" i="46"/>
  <c r="AF37" i="46"/>
  <c r="AF45" i="46" s="1"/>
  <c r="AF31" i="46"/>
  <c r="AF33" i="46" s="1"/>
  <c r="AF36" i="46" s="1"/>
  <c r="AF41" i="46"/>
  <c r="AF43" i="46"/>
  <c r="AF42" i="46"/>
  <c r="CR37" i="46"/>
  <c r="CR45" i="46" s="1"/>
  <c r="CR31" i="46"/>
  <c r="CR33" i="46" s="1"/>
  <c r="CR36" i="46" s="1"/>
  <c r="CR41" i="46"/>
  <c r="CR43" i="46"/>
  <c r="CR42" i="46"/>
  <c r="BZ37" i="46"/>
  <c r="BZ45" i="46" s="1"/>
  <c r="BZ31" i="46"/>
  <c r="BZ33" i="46" s="1"/>
  <c r="BZ36" i="46" s="1"/>
  <c r="BZ42" i="46"/>
  <c r="BZ43" i="46"/>
  <c r="BZ41" i="46"/>
  <c r="BC37" i="46"/>
  <c r="BC45" i="46" s="1"/>
  <c r="BC31" i="46"/>
  <c r="BC33" i="46" s="1"/>
  <c r="BC36" i="46" s="1"/>
  <c r="BC41" i="46"/>
  <c r="BC42" i="46"/>
  <c r="BC43" i="46"/>
  <c r="I37" i="46"/>
  <c r="I45" i="46" s="1"/>
  <c r="I31" i="46"/>
  <c r="I33" i="46" s="1"/>
  <c r="I36" i="46" s="1"/>
  <c r="I42" i="46"/>
  <c r="I43" i="46"/>
  <c r="I41" i="46"/>
  <c r="DN37" i="46"/>
  <c r="DN45" i="46" s="1"/>
  <c r="DN31" i="46"/>
  <c r="DN33" i="46" s="1"/>
  <c r="DN36" i="46" s="1"/>
  <c r="DN41" i="46"/>
  <c r="DN42" i="46"/>
  <c r="DN43" i="46"/>
  <c r="BE37" i="46"/>
  <c r="BE45" i="46" s="1"/>
  <c r="BE31" i="46"/>
  <c r="BE33" i="46" s="1"/>
  <c r="BE36" i="46" s="1"/>
  <c r="BE41" i="46"/>
  <c r="BE43" i="46"/>
  <c r="BE42" i="46"/>
  <c r="AI37" i="46"/>
  <c r="AI45" i="46" s="1"/>
  <c r="AI31" i="46"/>
  <c r="AI33" i="46" s="1"/>
  <c r="AI36" i="46" s="1"/>
  <c r="AI43" i="46"/>
  <c r="AI41" i="46"/>
  <c r="AI42" i="46"/>
  <c r="DS37" i="46"/>
  <c r="DS45" i="46" s="1"/>
  <c r="DS31" i="46"/>
  <c r="DS33" i="46" s="1"/>
  <c r="DS36" i="46" s="1"/>
  <c r="DS41" i="46"/>
  <c r="DS43" i="46"/>
  <c r="DS42" i="46"/>
  <c r="CX37" i="46"/>
  <c r="CX45" i="46" s="1"/>
  <c r="CX31" i="46"/>
  <c r="CX33" i="46" s="1"/>
  <c r="CX36" i="46" s="1"/>
  <c r="CX42" i="46"/>
  <c r="CX43" i="46"/>
  <c r="CX41" i="46"/>
  <c r="AK37" i="46"/>
  <c r="AK45" i="46" s="1"/>
  <c r="AK31" i="46"/>
  <c r="AK33" i="46" s="1"/>
  <c r="AK36" i="46" s="1"/>
  <c r="AK43" i="46"/>
  <c r="AK42" i="46"/>
  <c r="AK41" i="46"/>
  <c r="DR31" i="46"/>
  <c r="DR33" i="46" s="1"/>
  <c r="DR36" i="46" s="1"/>
  <c r="DR37" i="46"/>
  <c r="DR45" i="46" s="1"/>
  <c r="DR42" i="46"/>
  <c r="DR43" i="46"/>
  <c r="DR41" i="46"/>
  <c r="CD37" i="46"/>
  <c r="CD45" i="46" s="1"/>
  <c r="CD31" i="46"/>
  <c r="CD33" i="46" s="1"/>
  <c r="CD36" i="46" s="1"/>
  <c r="CD43" i="46"/>
  <c r="CD41" i="46"/>
  <c r="CD42" i="46"/>
  <c r="AY31" i="46"/>
  <c r="AY33" i="46" s="1"/>
  <c r="AY36" i="46" s="1"/>
  <c r="AY37" i="46"/>
  <c r="AY45" i="46" s="1"/>
  <c r="AY41" i="46"/>
  <c r="AY42" i="46"/>
  <c r="AY43" i="46"/>
  <c r="U37" i="46"/>
  <c r="U45" i="46" s="1"/>
  <c r="U31" i="46"/>
  <c r="U33" i="46" s="1"/>
  <c r="U36" i="46" s="1"/>
  <c r="U43" i="46"/>
  <c r="U41" i="46"/>
  <c r="U42" i="46"/>
  <c r="DB37" i="46"/>
  <c r="DB45" i="46" s="1"/>
  <c r="DB31" i="46"/>
  <c r="DB33" i="46" s="1"/>
  <c r="DB36" i="46" s="1"/>
  <c r="DB43" i="46"/>
  <c r="DB42" i="46"/>
  <c r="DB41" i="46"/>
  <c r="BW31" i="46"/>
  <c r="BW33" i="46" s="1"/>
  <c r="BW36" i="46" s="1"/>
  <c r="BW37" i="46"/>
  <c r="BW45" i="46" s="1"/>
  <c r="BW41" i="46"/>
  <c r="BW42" i="46"/>
  <c r="BW43" i="46"/>
  <c r="AB37" i="46"/>
  <c r="AB31" i="46"/>
  <c r="AB33" i="46" s="1"/>
  <c r="AB36" i="46" s="1"/>
  <c r="AB41" i="46"/>
  <c r="AB43" i="46"/>
  <c r="AB42" i="46"/>
  <c r="F15" i="45"/>
  <c r="F16" i="45" s="1"/>
  <c r="CN37" i="46"/>
  <c r="CN45" i="46" s="1"/>
  <c r="CN31" i="46"/>
  <c r="CN33" i="46" s="1"/>
  <c r="CN36" i="46" s="1"/>
  <c r="CN41" i="46"/>
  <c r="CN43" i="46"/>
  <c r="CN42" i="46"/>
  <c r="AN37" i="46"/>
  <c r="AN31" i="46"/>
  <c r="AN33" i="46" s="1"/>
  <c r="AN36" i="46" s="1"/>
  <c r="AN41" i="46"/>
  <c r="AN43" i="46"/>
  <c r="AN42" i="46"/>
  <c r="G15" i="45"/>
  <c r="G16" i="45" s="1"/>
  <c r="CZ37" i="46"/>
  <c r="CZ45" i="46" s="1"/>
  <c r="CZ31" i="46"/>
  <c r="CZ33" i="46" s="1"/>
  <c r="CZ36" i="46" s="1"/>
  <c r="CZ41" i="46"/>
  <c r="CZ43" i="46"/>
  <c r="CZ42" i="46"/>
  <c r="AH37" i="46"/>
  <c r="AH45" i="46" s="1"/>
  <c r="AH31" i="46"/>
  <c r="AH33" i="46" s="1"/>
  <c r="AH36" i="46" s="1"/>
  <c r="AH42" i="46"/>
  <c r="AH43" i="46"/>
  <c r="AH41" i="46"/>
  <c r="CE37" i="46"/>
  <c r="CE45" i="46" s="1"/>
  <c r="CE31" i="46"/>
  <c r="CE33" i="46" s="1"/>
  <c r="CE36" i="46" s="1"/>
  <c r="CE42" i="46"/>
  <c r="CE41" i="46"/>
  <c r="CE43" i="46"/>
  <c r="BL37" i="46"/>
  <c r="BL31" i="46"/>
  <c r="BL33" i="46" s="1"/>
  <c r="BL36" i="46" s="1"/>
  <c r="BL42" i="46"/>
  <c r="BL43" i="46"/>
  <c r="BL41" i="46"/>
  <c r="I15" i="45"/>
  <c r="I16" i="45" s="1"/>
  <c r="AM37" i="46"/>
  <c r="AM45" i="46" s="1"/>
  <c r="AM31" i="46"/>
  <c r="AM33" i="46" s="1"/>
  <c r="AM36" i="46" s="1"/>
  <c r="AM42" i="46"/>
  <c r="AM43" i="46"/>
  <c r="AM41" i="46"/>
  <c r="BH37" i="46"/>
  <c r="BH45" i="46" s="1"/>
  <c r="BH31" i="46"/>
  <c r="BH33" i="46" s="1"/>
  <c r="BH36" i="46" s="1"/>
  <c r="BH42" i="46"/>
  <c r="BH41" i="46"/>
  <c r="BH43" i="46"/>
  <c r="CI37" i="46"/>
  <c r="CI45" i="46" s="1"/>
  <c r="CI31" i="46"/>
  <c r="CI33" i="46" s="1"/>
  <c r="CI36" i="46" s="1"/>
  <c r="CI41" i="46"/>
  <c r="CI43" i="46"/>
  <c r="CI42" i="46"/>
  <c r="BN37" i="46"/>
  <c r="BN45" i="46" s="1"/>
  <c r="BN31" i="46"/>
  <c r="BN33" i="46" s="1"/>
  <c r="BN36" i="46" s="1"/>
  <c r="BN42" i="46"/>
  <c r="BN41" i="46"/>
  <c r="BN43" i="46"/>
  <c r="N37" i="46"/>
  <c r="N45" i="46" s="1"/>
  <c r="N31" i="46"/>
  <c r="N33" i="46" s="1"/>
  <c r="N36" i="46" s="1"/>
  <c r="N43" i="46"/>
  <c r="N42" i="46"/>
  <c r="N41" i="46"/>
  <c r="W37" i="46"/>
  <c r="W45" i="46" s="1"/>
  <c r="W31" i="46"/>
  <c r="W33" i="46" s="1"/>
  <c r="W36" i="46" s="1"/>
  <c r="W42" i="46"/>
  <c r="W43" i="46"/>
  <c r="W41" i="46"/>
  <c r="AU37" i="46"/>
  <c r="AU45" i="46" s="1"/>
  <c r="AU31" i="46"/>
  <c r="AU33" i="46" s="1"/>
  <c r="AU36" i="46" s="1"/>
  <c r="AU43" i="46"/>
  <c r="AU42" i="46"/>
  <c r="AU41" i="46"/>
  <c r="G37" i="46"/>
  <c r="G45" i="46" s="1"/>
  <c r="G31" i="46"/>
  <c r="G33" i="46" s="1"/>
  <c r="G36" i="46" s="1"/>
  <c r="G41" i="46"/>
  <c r="G42" i="46"/>
  <c r="G43" i="46"/>
  <c r="CO37" i="46"/>
  <c r="CO45" i="46" s="1"/>
  <c r="CO31" i="46"/>
  <c r="CO33" i="46" s="1"/>
  <c r="CO36" i="46" s="1"/>
  <c r="CO41" i="46"/>
  <c r="CO43" i="46"/>
  <c r="CO42" i="46"/>
  <c r="BJ37" i="46"/>
  <c r="BJ45" i="46" s="1"/>
  <c r="BJ31" i="46"/>
  <c r="BJ33" i="46" s="1"/>
  <c r="BJ36" i="46" s="1"/>
  <c r="BJ41" i="46"/>
  <c r="BJ42" i="46"/>
  <c r="BJ43" i="46"/>
  <c r="AE37" i="46"/>
  <c r="AE45" i="46" s="1"/>
  <c r="AE31" i="46"/>
  <c r="AE33" i="46" s="1"/>
  <c r="AE36" i="46" s="1"/>
  <c r="AE43" i="46"/>
  <c r="AE42" i="46"/>
  <c r="AE41" i="46"/>
  <c r="DM37" i="46"/>
  <c r="DM45" i="46" s="1"/>
  <c r="DM31" i="46"/>
  <c r="DM33" i="46" s="1"/>
  <c r="DM36" i="46" s="1"/>
  <c r="DM43" i="46"/>
  <c r="DM41" i="46"/>
  <c r="DM42" i="46"/>
  <c r="CH37" i="46"/>
  <c r="CH45" i="46" s="1"/>
  <c r="CH31" i="46"/>
  <c r="CH33" i="46" s="1"/>
  <c r="CH36" i="46" s="1"/>
  <c r="CH41" i="46"/>
  <c r="CH42" i="46"/>
  <c r="CH43" i="46"/>
  <c r="AJ37" i="46"/>
  <c r="AJ45" i="46" s="1"/>
  <c r="AJ31" i="46"/>
  <c r="AJ33" i="46" s="1"/>
  <c r="AJ36" i="46" s="1"/>
  <c r="AJ43" i="46"/>
  <c r="AJ41" i="46"/>
  <c r="AJ42" i="46"/>
  <c r="CV37" i="46"/>
  <c r="CV31" i="46"/>
  <c r="CV33" i="46" s="1"/>
  <c r="CV36" i="46" s="1"/>
  <c r="CV43" i="46"/>
  <c r="CV42" i="46"/>
  <c r="CV41" i="46"/>
  <c r="L15" i="45"/>
  <c r="L16" i="45" s="1"/>
  <c r="AV37" i="46"/>
  <c r="AV45" i="46" s="1"/>
  <c r="AV31" i="46"/>
  <c r="AV33" i="46" s="1"/>
  <c r="AV36" i="46" s="1"/>
  <c r="AV43" i="46"/>
  <c r="AV41" i="46"/>
  <c r="AV42" i="46"/>
  <c r="DH37" i="46"/>
  <c r="DH31" i="46"/>
  <c r="DH33" i="46" s="1"/>
  <c r="DH36" i="46" s="1"/>
  <c r="DH43" i="46"/>
  <c r="DH41" i="46"/>
  <c r="DH42" i="46"/>
  <c r="M15" i="45"/>
  <c r="M16" i="45" s="1"/>
  <c r="BQ37" i="46"/>
  <c r="BQ45" i="46" s="1"/>
  <c r="BQ31" i="46"/>
  <c r="BQ33" i="46" s="1"/>
  <c r="BQ36" i="46" s="1"/>
  <c r="BQ43" i="46"/>
  <c r="BQ41" i="46"/>
  <c r="BQ42" i="46"/>
  <c r="DL37" i="46"/>
  <c r="DL45" i="46" s="1"/>
  <c r="DL31" i="46"/>
  <c r="DL33" i="46" s="1"/>
  <c r="DL36" i="46" s="1"/>
  <c r="DL42" i="46"/>
  <c r="DL41" i="46"/>
  <c r="DL43" i="46"/>
  <c r="CA37" i="46"/>
  <c r="CA45" i="46" s="1"/>
  <c r="CA31" i="46"/>
  <c r="CA33" i="46" s="1"/>
  <c r="CA36" i="46" s="1"/>
  <c r="CA42" i="46"/>
  <c r="CA41" i="46"/>
  <c r="CA43" i="46"/>
  <c r="BT37" i="46"/>
  <c r="BT45" i="46" s="1"/>
  <c r="BT31" i="46"/>
  <c r="BT33" i="46" s="1"/>
  <c r="BT36" i="46" s="1"/>
  <c r="BT42" i="46"/>
  <c r="BT41" i="46"/>
  <c r="BT43" i="46"/>
  <c r="DI37" i="46"/>
  <c r="DI45" i="46" s="1"/>
  <c r="DI31" i="46"/>
  <c r="DI33" i="46" s="1"/>
  <c r="DI36" i="46" s="1"/>
  <c r="DI41" i="46"/>
  <c r="DI42" i="46"/>
  <c r="DI43" i="46"/>
  <c r="CM37" i="46"/>
  <c r="CM45" i="46" s="1"/>
  <c r="CM31" i="46"/>
  <c r="CM33" i="46" s="1"/>
  <c r="CM36" i="46" s="1"/>
  <c r="CM42" i="46"/>
  <c r="CM43" i="46"/>
  <c r="CM41" i="46"/>
  <c r="AS37" i="46"/>
  <c r="AS45" i="46" s="1"/>
  <c r="AS31" i="46"/>
  <c r="AS33" i="46" s="1"/>
  <c r="AS36" i="46" s="1"/>
  <c r="AS42" i="46"/>
  <c r="AS43" i="46"/>
  <c r="AS41" i="46"/>
  <c r="AW37" i="46"/>
  <c r="AW45" i="46" s="1"/>
  <c r="AW31" i="46"/>
  <c r="AW33" i="46" s="1"/>
  <c r="AW36" i="46" s="1"/>
  <c r="AW42" i="46"/>
  <c r="AW43" i="46"/>
  <c r="AW41" i="46"/>
  <c r="BF37" i="46"/>
  <c r="BF45" i="46" s="1"/>
  <c r="BF31" i="46"/>
  <c r="BF33" i="46" s="1"/>
  <c r="BF36" i="46" s="1"/>
  <c r="BF43" i="46"/>
  <c r="BF41" i="46"/>
  <c r="BF42" i="46"/>
  <c r="R37" i="46"/>
  <c r="R45" i="46" s="1"/>
  <c r="R31" i="46"/>
  <c r="R33" i="46" s="1"/>
  <c r="R36" i="46" s="1"/>
  <c r="R41" i="46"/>
  <c r="R42" i="46"/>
  <c r="R43" i="46"/>
  <c r="CY31" i="46"/>
  <c r="CY33" i="46" s="1"/>
  <c r="CY36" i="46" s="1"/>
  <c r="CY37" i="46"/>
  <c r="CY45" i="46" s="1"/>
  <c r="CY41" i="46"/>
  <c r="CY43" i="46"/>
  <c r="CY42" i="46"/>
  <c r="BU37" i="46"/>
  <c r="BU45" i="46" s="1"/>
  <c r="BU31" i="46"/>
  <c r="BU33" i="46" s="1"/>
  <c r="BU36" i="46" s="1"/>
  <c r="BU41" i="46"/>
  <c r="BU43" i="46"/>
  <c r="BU42" i="46"/>
  <c r="AP37" i="46"/>
  <c r="AP45" i="46" s="1"/>
  <c r="AP31" i="46"/>
  <c r="AP33" i="46" s="1"/>
  <c r="AP36" i="46" s="1"/>
  <c r="AP41" i="46"/>
  <c r="AP42" i="46"/>
  <c r="AP43" i="46"/>
  <c r="K31" i="46"/>
  <c r="K33" i="46" s="1"/>
  <c r="K36" i="46" s="1"/>
  <c r="K37" i="46"/>
  <c r="K45" i="46" s="1"/>
  <c r="K41" i="46"/>
  <c r="K43" i="46"/>
  <c r="K42" i="46"/>
  <c r="CS37" i="46"/>
  <c r="CS45" i="46" s="1"/>
  <c r="CS31" i="46"/>
  <c r="CS33" i="46" s="1"/>
  <c r="CS36" i="46" s="1"/>
  <c r="CS42" i="46"/>
  <c r="CS41" i="46"/>
  <c r="CS43" i="46"/>
  <c r="AR37" i="46"/>
  <c r="AR45" i="46" s="1"/>
  <c r="AR31" i="46"/>
  <c r="AR33" i="46" s="1"/>
  <c r="AR36" i="46" s="1"/>
  <c r="AR42" i="46"/>
  <c r="AR43" i="46"/>
  <c r="AR41" i="46"/>
  <c r="DD37" i="46"/>
  <c r="DD45" i="46" s="1"/>
  <c r="DD31" i="46"/>
  <c r="DD33" i="46" s="1"/>
  <c r="DD36" i="46" s="1"/>
  <c r="DD43" i="46"/>
  <c r="DD42" i="46"/>
  <c r="DD41" i="46"/>
  <c r="BD37" i="46"/>
  <c r="BD45" i="46" s="1"/>
  <c r="BD31" i="46"/>
  <c r="BD33" i="46" s="1"/>
  <c r="BD36" i="46" s="1"/>
  <c r="BD43" i="46"/>
  <c r="BD42" i="46"/>
  <c r="BD41" i="46"/>
  <c r="DP37" i="46"/>
  <c r="DP45" i="46" s="1"/>
  <c r="DP31" i="46"/>
  <c r="DP33" i="46" s="1"/>
  <c r="DP36" i="46" s="1"/>
  <c r="DP43" i="46"/>
  <c r="DP42" i="46"/>
  <c r="DP41" i="46"/>
  <c r="DP38" i="46" l="1"/>
  <c r="CA38" i="46"/>
  <c r="AJ38" i="46"/>
  <c r="W38" i="46"/>
  <c r="CD38" i="46"/>
  <c r="I38" i="46"/>
  <c r="CQ38" i="46"/>
  <c r="CQ71" i="46" s="1"/>
  <c r="F38" i="46"/>
  <c r="F64" i="46" s="1"/>
  <c r="BU38" i="46"/>
  <c r="BT38" i="46"/>
  <c r="BT56" i="46" s="1"/>
  <c r="AU38" i="46"/>
  <c r="AU56" i="46" s="1"/>
  <c r="AV46" i="46"/>
  <c r="AU46" i="46"/>
  <c r="AD38" i="46"/>
  <c r="AD59" i="46" s="1"/>
  <c r="BO38" i="46"/>
  <c r="BO71" i="46" s="1"/>
  <c r="BK38" i="46"/>
  <c r="BK59" i="46" s="1"/>
  <c r="AC38" i="46"/>
  <c r="AC59" i="46" s="1"/>
  <c r="DL46" i="46"/>
  <c r="AG38" i="46"/>
  <c r="AG59" i="46" s="1"/>
  <c r="BB38" i="46"/>
  <c r="BB59" i="46" s="1"/>
  <c r="CW38" i="46"/>
  <c r="CW71" i="46" s="1"/>
  <c r="AL38" i="46"/>
  <c r="AL88" i="46" s="1"/>
  <c r="CS38" i="46"/>
  <c r="CS56" i="46" s="1"/>
  <c r="AS38" i="46"/>
  <c r="AS71" i="46" s="1"/>
  <c r="BJ38" i="46"/>
  <c r="BJ88" i="46" s="1"/>
  <c r="BH38" i="46"/>
  <c r="BH88" i="46" s="1"/>
  <c r="CE38" i="46"/>
  <c r="CE64" i="46" s="1"/>
  <c r="DS38" i="46"/>
  <c r="DS59" i="46" s="1"/>
  <c r="AF38" i="46"/>
  <c r="AF64" i="46" s="1"/>
  <c r="L38" i="46"/>
  <c r="L56" i="46" s="1"/>
  <c r="AT38" i="46"/>
  <c r="AT88" i="46" s="1"/>
  <c r="CB38" i="46"/>
  <c r="CB58" i="46" s="1"/>
  <c r="DA38" i="46"/>
  <c r="DA71" i="46" s="1"/>
  <c r="CC38" i="46"/>
  <c r="CC64" i="46" s="1"/>
  <c r="DR38" i="46"/>
  <c r="DR59" i="46" s="1"/>
  <c r="AI38" i="46"/>
  <c r="AI71" i="46" s="1"/>
  <c r="CF38" i="46"/>
  <c r="CF71" i="46" s="1"/>
  <c r="Y38" i="46"/>
  <c r="Y88" i="46" s="1"/>
  <c r="Z38" i="46"/>
  <c r="Z64" i="46" s="1"/>
  <c r="DK46" i="46"/>
  <c r="E38" i="46"/>
  <c r="E88" i="46" s="1"/>
  <c r="DJ38" i="46"/>
  <c r="DJ56" i="46" s="1"/>
  <c r="BI46" i="46"/>
  <c r="AD46" i="46"/>
  <c r="E46" i="46"/>
  <c r="CM38" i="46"/>
  <c r="CM59" i="46" s="1"/>
  <c r="CO38" i="46"/>
  <c r="CO64" i="46" s="1"/>
  <c r="AM38" i="46"/>
  <c r="AM58" i="46" s="1"/>
  <c r="AH38" i="46"/>
  <c r="AH88" i="46" s="1"/>
  <c r="CN38" i="46"/>
  <c r="CN64" i="46" s="1"/>
  <c r="DB38" i="46"/>
  <c r="DB59" i="46" s="1"/>
  <c r="V38" i="46"/>
  <c r="V56" i="46" s="1"/>
  <c r="X38" i="46"/>
  <c r="X88" i="46" s="1"/>
  <c r="AQ38" i="46"/>
  <c r="AQ71" i="46" s="1"/>
  <c r="Q38" i="46"/>
  <c r="Q58" i="46" s="1"/>
  <c r="BF46" i="46"/>
  <c r="AL46" i="46"/>
  <c r="BA38" i="46"/>
  <c r="BA88" i="46" s="1"/>
  <c r="DA46" i="46"/>
  <c r="M38" i="46"/>
  <c r="M59" i="46" s="1"/>
  <c r="H46" i="46"/>
  <c r="BJ46" i="46"/>
  <c r="BW46" i="46"/>
  <c r="DS46" i="46"/>
  <c r="DN38" i="46"/>
  <c r="DN59" i="46" s="1"/>
  <c r="AF46" i="46"/>
  <c r="BM38" i="46"/>
  <c r="BM71" i="46" s="1"/>
  <c r="CT38" i="46"/>
  <c r="CT56" i="46" s="1"/>
  <c r="AA46" i="46"/>
  <c r="BG46" i="46"/>
  <c r="K46" i="46"/>
  <c r="BN46" i="46"/>
  <c r="CG46" i="46"/>
  <c r="DO46" i="46"/>
  <c r="DE46" i="46"/>
  <c r="BA46" i="46"/>
  <c r="BD38" i="46"/>
  <c r="BD71" i="46" s="1"/>
  <c r="R38" i="46"/>
  <c r="R56" i="46" s="1"/>
  <c r="DL38" i="46"/>
  <c r="BQ46" i="46"/>
  <c r="DM46" i="46"/>
  <c r="CO46" i="46"/>
  <c r="CN46" i="46"/>
  <c r="V46" i="46"/>
  <c r="AJ46" i="46"/>
  <c r="AJ48" i="46" s="1"/>
  <c r="G38" i="46"/>
  <c r="G64" i="46" s="1"/>
  <c r="CZ38" i="46"/>
  <c r="CZ59" i="46" s="1"/>
  <c r="U38" i="46"/>
  <c r="U71" i="46" s="1"/>
  <c r="CD46" i="46"/>
  <c r="CD48" i="46" s="1"/>
  <c r="BE38" i="46"/>
  <c r="BE88" i="46" s="1"/>
  <c r="T38" i="46"/>
  <c r="T59" i="46" s="1"/>
  <c r="BY38" i="46"/>
  <c r="BY64" i="46" s="1"/>
  <c r="F46" i="46"/>
  <c r="DQ38" i="46"/>
  <c r="DQ56" i="46" s="1"/>
  <c r="DD46" i="46"/>
  <c r="AR38" i="46"/>
  <c r="CY46" i="46"/>
  <c r="AW38" i="46"/>
  <c r="M29" i="45"/>
  <c r="AE38" i="46"/>
  <c r="CI38" i="46"/>
  <c r="BL38" i="46"/>
  <c r="I22" i="45"/>
  <c r="AB38" i="46"/>
  <c r="F22" i="45"/>
  <c r="AK46" i="46"/>
  <c r="CX38" i="46"/>
  <c r="AI46" i="46"/>
  <c r="BZ46" i="46"/>
  <c r="CR38" i="46"/>
  <c r="CF46" i="46"/>
  <c r="CQ46" i="46"/>
  <c r="BS38" i="46"/>
  <c r="Z46" i="46"/>
  <c r="CP38" i="46"/>
  <c r="X46" i="46"/>
  <c r="BX38" i="46"/>
  <c r="J22" i="45"/>
  <c r="O38" i="46"/>
  <c r="AG46" i="46"/>
  <c r="BR38" i="46"/>
  <c r="E29" i="45"/>
  <c r="BP38" i="46"/>
  <c r="AQ46" i="46"/>
  <c r="BV38" i="46"/>
  <c r="CK38" i="46"/>
  <c r="BK46" i="46"/>
  <c r="M46" i="46"/>
  <c r="H28" i="45"/>
  <c r="AZ38" i="46"/>
  <c r="H22" i="45"/>
  <c r="CY38" i="46"/>
  <c r="AS46" i="46"/>
  <c r="CM88" i="46"/>
  <c r="BT46" i="46"/>
  <c r="DH45" i="46"/>
  <c r="M31" i="45" s="1"/>
  <c r="M23" i="45"/>
  <c r="L28" i="45"/>
  <c r="G28" i="45"/>
  <c r="AI58" i="46"/>
  <c r="BM46" i="46"/>
  <c r="AO46" i="46"/>
  <c r="DG46" i="46"/>
  <c r="K29" i="45"/>
  <c r="BB64" i="46"/>
  <c r="CW46" i="46"/>
  <c r="E28" i="45"/>
  <c r="D29" i="45"/>
  <c r="S38" i="46"/>
  <c r="AZ45" i="46"/>
  <c r="H31" i="45" s="1"/>
  <c r="H23" i="45"/>
  <c r="AJ88" i="46"/>
  <c r="AJ71" i="46"/>
  <c r="AJ64" i="46"/>
  <c r="AJ58" i="46"/>
  <c r="AJ56" i="46"/>
  <c r="AJ59" i="46"/>
  <c r="BL45" i="46"/>
  <c r="I31" i="45" s="1"/>
  <c r="I23" i="45"/>
  <c r="I88" i="46"/>
  <c r="I64" i="46"/>
  <c r="I71" i="46"/>
  <c r="I58" i="46"/>
  <c r="I59" i="46"/>
  <c r="I56" i="46"/>
  <c r="BD46" i="46"/>
  <c r="DD38" i="46"/>
  <c r="CS46" i="46"/>
  <c r="K38" i="46"/>
  <c r="BU46" i="46"/>
  <c r="BU48" i="46" s="1"/>
  <c r="BF38" i="46"/>
  <c r="BQ38" i="46"/>
  <c r="L29" i="45"/>
  <c r="DM38" i="46"/>
  <c r="N46" i="46"/>
  <c r="BN38" i="46"/>
  <c r="BH46" i="46"/>
  <c r="CE46" i="46"/>
  <c r="G29" i="45"/>
  <c r="AY46" i="46"/>
  <c r="DR46" i="46"/>
  <c r="AK38" i="46"/>
  <c r="DN46" i="46"/>
  <c r="BZ38" i="46"/>
  <c r="AO38" i="46"/>
  <c r="CT46" i="46"/>
  <c r="H38" i="46"/>
  <c r="K27" i="45"/>
  <c r="L46" i="46"/>
  <c r="CW88" i="46"/>
  <c r="CW64" i="46"/>
  <c r="CW56" i="46"/>
  <c r="DF46" i="46"/>
  <c r="CB46" i="46"/>
  <c r="P38" i="46"/>
  <c r="E22" i="45"/>
  <c r="D27" i="45"/>
  <c r="CL46" i="46"/>
  <c r="CC46" i="46"/>
  <c r="DC46" i="46"/>
  <c r="Y46" i="46"/>
  <c r="DP71" i="46"/>
  <c r="DP88" i="46"/>
  <c r="DP64" i="46"/>
  <c r="DP56" i="46"/>
  <c r="DP58" i="46"/>
  <c r="DP59" i="46"/>
  <c r="L27" i="45"/>
  <c r="AB45" i="46"/>
  <c r="F31" i="45" s="1"/>
  <c r="F23" i="45"/>
  <c r="BX45" i="46"/>
  <c r="J31" i="45" s="1"/>
  <c r="J23" i="45"/>
  <c r="BU88" i="46"/>
  <c r="BU71" i="46"/>
  <c r="BU64" i="46"/>
  <c r="BU59" i="46"/>
  <c r="BU56" i="46"/>
  <c r="BU58" i="46"/>
  <c r="BT71" i="46"/>
  <c r="BT64" i="46"/>
  <c r="BT59" i="46"/>
  <c r="CV38" i="46"/>
  <c r="L22" i="45"/>
  <c r="G27" i="45"/>
  <c r="K28" i="45"/>
  <c r="DK38" i="46"/>
  <c r="AT46" i="46"/>
  <c r="DF38" i="46"/>
  <c r="CU46" i="46"/>
  <c r="P45" i="46"/>
  <c r="E31" i="45" s="1"/>
  <c r="E23" i="45"/>
  <c r="D28" i="45"/>
  <c r="CL38" i="46"/>
  <c r="Q46" i="46"/>
  <c r="DC38" i="46"/>
  <c r="AC46" i="46"/>
  <c r="AR46" i="46"/>
  <c r="R46" i="46"/>
  <c r="AW46" i="46"/>
  <c r="CV45" i="46"/>
  <c r="L31" i="45" s="1"/>
  <c r="L23" i="45"/>
  <c r="CH46" i="46"/>
  <c r="AE46" i="46"/>
  <c r="I27" i="45"/>
  <c r="AN38" i="46"/>
  <c r="G22" i="45"/>
  <c r="F28" i="45"/>
  <c r="U46" i="46"/>
  <c r="AY38" i="46"/>
  <c r="CX46" i="46"/>
  <c r="DS88" i="46"/>
  <c r="BC46" i="46"/>
  <c r="T46" i="46"/>
  <c r="J46" i="46"/>
  <c r="DQ46" i="46"/>
  <c r="CJ38" i="46"/>
  <c r="K22" i="45"/>
  <c r="J29" i="45"/>
  <c r="BR46" i="46"/>
  <c r="CK46" i="46"/>
  <c r="DH38" i="46"/>
  <c r="M22" i="45"/>
  <c r="E27" i="45"/>
  <c r="DP46" i="46"/>
  <c r="DP48" i="46" s="1"/>
  <c r="AP46" i="46"/>
  <c r="DI46" i="46"/>
  <c r="M28" i="45"/>
  <c r="AV38" i="46"/>
  <c r="CH38" i="46"/>
  <c r="G46" i="46"/>
  <c r="W46" i="46"/>
  <c r="W48" i="46" s="1"/>
  <c r="N38" i="46"/>
  <c r="I29" i="45"/>
  <c r="CZ46" i="46"/>
  <c r="AN45" i="46"/>
  <c r="G31" i="45" s="1"/>
  <c r="G23" i="45"/>
  <c r="F29" i="45"/>
  <c r="BW38" i="46"/>
  <c r="BE46" i="46"/>
  <c r="I46" i="46"/>
  <c r="I48" i="46" s="1"/>
  <c r="BC38" i="46"/>
  <c r="J38" i="46"/>
  <c r="BS46" i="46"/>
  <c r="DG38" i="46"/>
  <c r="BY46" i="46"/>
  <c r="AA38" i="46"/>
  <c r="CP46" i="46"/>
  <c r="BG38" i="46"/>
  <c r="CJ45" i="46"/>
  <c r="K31" i="45" s="1"/>
  <c r="K23" i="45"/>
  <c r="J27" i="45"/>
  <c r="BI38" i="46"/>
  <c r="CU38" i="46"/>
  <c r="BP46" i="46"/>
  <c r="D38" i="46"/>
  <c r="D22" i="45"/>
  <c r="AX46" i="46"/>
  <c r="DJ46" i="46"/>
  <c r="H29" i="45"/>
  <c r="CA88" i="46"/>
  <c r="CA71" i="46"/>
  <c r="CA64" i="46"/>
  <c r="CA59" i="46"/>
  <c r="CA58" i="46"/>
  <c r="CA56" i="46"/>
  <c r="W88" i="46"/>
  <c r="W71" i="46"/>
  <c r="W59" i="46"/>
  <c r="W58" i="46"/>
  <c r="W64" i="46"/>
  <c r="W56" i="46"/>
  <c r="CD88" i="46"/>
  <c r="CD71" i="46"/>
  <c r="CD64" i="46"/>
  <c r="CD59" i="46"/>
  <c r="CD58" i="46"/>
  <c r="CD56" i="46"/>
  <c r="AP38" i="46"/>
  <c r="CM46" i="46"/>
  <c r="DI38" i="46"/>
  <c r="CA46" i="46"/>
  <c r="CA48" i="46" s="1"/>
  <c r="M27" i="45"/>
  <c r="CI46" i="46"/>
  <c r="AM46" i="46"/>
  <c r="I28" i="45"/>
  <c r="AH46" i="46"/>
  <c r="F27" i="45"/>
  <c r="DB46" i="46"/>
  <c r="CR46" i="46"/>
  <c r="J28" i="45"/>
  <c r="BB46" i="46"/>
  <c r="CG38" i="46"/>
  <c r="O46" i="46"/>
  <c r="BO46" i="46"/>
  <c r="DO38" i="46"/>
  <c r="D45" i="46"/>
  <c r="D31" i="45" s="1"/>
  <c r="D23" i="45"/>
  <c r="BV46" i="46"/>
  <c r="S46" i="46"/>
  <c r="AX38" i="46"/>
  <c r="DE38" i="46"/>
  <c r="H27" i="45"/>
  <c r="F71" i="46" l="1"/>
  <c r="F88" i="46"/>
  <c r="F48" i="46"/>
  <c r="F49" i="46" s="1"/>
  <c r="F56" i="46"/>
  <c r="F59" i="46"/>
  <c r="F58" i="46"/>
  <c r="AQ88" i="46"/>
  <c r="CM58" i="46"/>
  <c r="AD56" i="46"/>
  <c r="CQ56" i="46"/>
  <c r="AD88" i="46"/>
  <c r="CQ58" i="46"/>
  <c r="Y58" i="46"/>
  <c r="CQ59" i="46"/>
  <c r="Y64" i="46"/>
  <c r="AL56" i="46"/>
  <c r="CQ64" i="46"/>
  <c r="AL71" i="46"/>
  <c r="CQ88" i="46"/>
  <c r="R59" i="46"/>
  <c r="L59" i="46"/>
  <c r="L88" i="46"/>
  <c r="AQ56" i="46"/>
  <c r="CQ48" i="46"/>
  <c r="CQ49" i="46" s="1"/>
  <c r="BB48" i="46"/>
  <c r="BB49" i="46" s="1"/>
  <c r="DS71" i="46"/>
  <c r="BB56" i="46"/>
  <c r="AI56" i="46"/>
  <c r="DS64" i="46"/>
  <c r="DS65" i="46" s="1"/>
  <c r="DS66" i="46" s="1"/>
  <c r="BB58" i="46"/>
  <c r="AI88" i="46"/>
  <c r="AT64" i="46"/>
  <c r="DS56" i="46"/>
  <c r="CT64" i="46"/>
  <c r="DS58" i="46"/>
  <c r="DS48" i="46"/>
  <c r="DS49" i="46" s="1"/>
  <c r="Z56" i="46"/>
  <c r="AM64" i="46"/>
  <c r="CS58" i="46"/>
  <c r="BO88" i="46"/>
  <c r="AT58" i="46"/>
  <c r="AD64" i="46"/>
  <c r="L64" i="46"/>
  <c r="AU58" i="46"/>
  <c r="AQ58" i="46"/>
  <c r="CM64" i="46"/>
  <c r="AD71" i="46"/>
  <c r="R58" i="46"/>
  <c r="L71" i="46"/>
  <c r="AF71" i="46"/>
  <c r="AU59" i="46"/>
  <c r="BT58" i="46"/>
  <c r="BT65" i="46" s="1"/>
  <c r="BT66" i="46" s="1"/>
  <c r="AL58" i="46"/>
  <c r="AQ59" i="46"/>
  <c r="CM71" i="46"/>
  <c r="CF48" i="46"/>
  <c r="CF49" i="46" s="1"/>
  <c r="AU64" i="46"/>
  <c r="CM48" i="46"/>
  <c r="CM49" i="46" s="1"/>
  <c r="Y56" i="46"/>
  <c r="AU88" i="46"/>
  <c r="AL59" i="46"/>
  <c r="AQ64" i="46"/>
  <c r="Y59" i="46"/>
  <c r="BD56" i="46"/>
  <c r="AU71" i="46"/>
  <c r="BT88" i="46"/>
  <c r="AL64" i="46"/>
  <c r="CW58" i="46"/>
  <c r="BT48" i="46"/>
  <c r="BT49" i="46" s="1"/>
  <c r="AQ48" i="46"/>
  <c r="AQ49" i="46" s="1"/>
  <c r="DQ64" i="46"/>
  <c r="AD58" i="46"/>
  <c r="Y71" i="46"/>
  <c r="L58" i="46"/>
  <c r="DQ48" i="46"/>
  <c r="DQ49" i="46" s="1"/>
  <c r="AU48" i="46"/>
  <c r="AU49" i="46" s="1"/>
  <c r="Y48" i="46"/>
  <c r="Y49" i="46" s="1"/>
  <c r="CM56" i="46"/>
  <c r="DQ71" i="46"/>
  <c r="G71" i="46"/>
  <c r="L48" i="46"/>
  <c r="L49" i="46" s="1"/>
  <c r="AL48" i="46"/>
  <c r="AL49" i="46" s="1"/>
  <c r="AC64" i="46"/>
  <c r="AC71" i="46"/>
  <c r="AC48" i="46"/>
  <c r="AC49" i="46" s="1"/>
  <c r="U59" i="46"/>
  <c r="AT71" i="46"/>
  <c r="BO58" i="46"/>
  <c r="Z71" i="46"/>
  <c r="Q56" i="46"/>
  <c r="CS71" i="46"/>
  <c r="CS88" i="46"/>
  <c r="AI59" i="46"/>
  <c r="CE58" i="46"/>
  <c r="T71" i="46"/>
  <c r="AD48" i="46"/>
  <c r="AD49" i="46" s="1"/>
  <c r="T64" i="46"/>
  <c r="BM56" i="46"/>
  <c r="CE48" i="46"/>
  <c r="CE49" i="46" s="1"/>
  <c r="DB71" i="46"/>
  <c r="BM64" i="46"/>
  <c r="DR64" i="46"/>
  <c r="BM88" i="46"/>
  <c r="BM48" i="46"/>
  <c r="BM49" i="46" s="1"/>
  <c r="CE56" i="46"/>
  <c r="AG56" i="46"/>
  <c r="AG71" i="46"/>
  <c r="DB64" i="46"/>
  <c r="Z48" i="46"/>
  <c r="Z49" i="46" s="1"/>
  <c r="AC58" i="46"/>
  <c r="AC88" i="46"/>
  <c r="DL48" i="46"/>
  <c r="DL49" i="46" s="1"/>
  <c r="AC56" i="46"/>
  <c r="BK64" i="46"/>
  <c r="T56" i="46"/>
  <c r="DR71" i="46"/>
  <c r="AM48" i="46"/>
  <c r="AM49" i="46" s="1"/>
  <c r="AT59" i="46"/>
  <c r="T48" i="46"/>
  <c r="T49" i="46" s="1"/>
  <c r="CE59" i="46"/>
  <c r="CS64" i="46"/>
  <c r="CW59" i="46"/>
  <c r="BK88" i="46"/>
  <c r="BO56" i="46"/>
  <c r="BB71" i="46"/>
  <c r="Z88" i="46"/>
  <c r="AI64" i="46"/>
  <c r="DB88" i="46"/>
  <c r="AI48" i="46"/>
  <c r="AI49" i="46" s="1"/>
  <c r="AG58" i="46"/>
  <c r="T88" i="46"/>
  <c r="DR88" i="46"/>
  <c r="AT56" i="46"/>
  <c r="CE88" i="46"/>
  <c r="CS59" i="46"/>
  <c r="CS48" i="46"/>
  <c r="CS49" i="46" s="1"/>
  <c r="BK71" i="46"/>
  <c r="BO64" i="46"/>
  <c r="BB88" i="46"/>
  <c r="AG64" i="46"/>
  <c r="U88" i="46"/>
  <c r="AS56" i="46"/>
  <c r="AG88" i="46"/>
  <c r="DR56" i="46"/>
  <c r="DB48" i="46"/>
  <c r="DB49" i="46" s="1"/>
  <c r="CB64" i="46"/>
  <c r="U48" i="46"/>
  <c r="U49" i="46" s="1"/>
  <c r="CE71" i="46"/>
  <c r="BM59" i="46"/>
  <c r="CB48" i="46"/>
  <c r="CB49" i="46" s="1"/>
  <c r="DR48" i="46"/>
  <c r="DR49" i="46" s="1"/>
  <c r="BK56" i="46"/>
  <c r="Z58" i="46"/>
  <c r="CF58" i="46"/>
  <c r="DB56" i="46"/>
  <c r="CO71" i="46"/>
  <c r="AG48" i="46"/>
  <c r="AG49" i="46" s="1"/>
  <c r="AM88" i="46"/>
  <c r="T58" i="46"/>
  <c r="DR58" i="46"/>
  <c r="CB71" i="46"/>
  <c r="BM58" i="46"/>
  <c r="BK58" i="46"/>
  <c r="BO59" i="46"/>
  <c r="Z59" i="46"/>
  <c r="DB58" i="46"/>
  <c r="BK48" i="46"/>
  <c r="BK49" i="46" s="1"/>
  <c r="BO48" i="46"/>
  <c r="BO49" i="46" s="1"/>
  <c r="AT48" i="46"/>
  <c r="AT49" i="46" s="1"/>
  <c r="CC71" i="46"/>
  <c r="BH71" i="46"/>
  <c r="U64" i="46"/>
  <c r="CB59" i="46"/>
  <c r="CW48" i="46"/>
  <c r="CW49" i="46" s="1"/>
  <c r="AM56" i="46"/>
  <c r="CB88" i="46"/>
  <c r="AS64" i="46"/>
  <c r="AM71" i="46"/>
  <c r="U56" i="46"/>
  <c r="AS59" i="46"/>
  <c r="DN64" i="46"/>
  <c r="U58" i="46"/>
  <c r="DA88" i="46"/>
  <c r="AS58" i="46"/>
  <c r="CB56" i="46"/>
  <c r="AS88" i="46"/>
  <c r="E58" i="46"/>
  <c r="AH58" i="46"/>
  <c r="E56" i="46"/>
  <c r="DA64" i="46"/>
  <c r="DN56" i="46"/>
  <c r="AH56" i="46"/>
  <c r="AM59" i="46"/>
  <c r="E59" i="46"/>
  <c r="BJ58" i="46"/>
  <c r="DN71" i="46"/>
  <c r="AH59" i="46"/>
  <c r="E64" i="46"/>
  <c r="DA58" i="46"/>
  <c r="BJ59" i="46"/>
  <c r="DN88" i="46"/>
  <c r="AH64" i="46"/>
  <c r="E71" i="46"/>
  <c r="DA59" i="46"/>
  <c r="BJ56" i="46"/>
  <c r="AH71" i="46"/>
  <c r="AH48" i="46"/>
  <c r="AH49" i="46" s="1"/>
  <c r="DA48" i="46"/>
  <c r="DA49" i="46" s="1"/>
  <c r="BJ64" i="46"/>
  <c r="DA56" i="46"/>
  <c r="BJ71" i="46"/>
  <c r="DN58" i="46"/>
  <c r="DN48" i="46"/>
  <c r="DN49" i="46" s="1"/>
  <c r="AS48" i="46"/>
  <c r="AS49" i="46" s="1"/>
  <c r="CC88" i="46"/>
  <c r="BL46" i="46"/>
  <c r="BL48" i="46" s="1"/>
  <c r="BH58" i="46"/>
  <c r="DJ59" i="46"/>
  <c r="BH56" i="46"/>
  <c r="CC56" i="46"/>
  <c r="BH48" i="46"/>
  <c r="BH49" i="46" s="1"/>
  <c r="BJ48" i="46"/>
  <c r="BJ49" i="46" s="1"/>
  <c r="CC58" i="46"/>
  <c r="BH59" i="46"/>
  <c r="E48" i="46"/>
  <c r="E49" i="46" s="1"/>
  <c r="CC59" i="46"/>
  <c r="BH64" i="46"/>
  <c r="CC48" i="46"/>
  <c r="CC49" i="46" s="1"/>
  <c r="AF88" i="46"/>
  <c r="CF59" i="46"/>
  <c r="CF56" i="46"/>
  <c r="BX46" i="46"/>
  <c r="BX48" i="46" s="1"/>
  <c r="AF58" i="46"/>
  <c r="CF64" i="46"/>
  <c r="AF48" i="46"/>
  <c r="AF49" i="46" s="1"/>
  <c r="AF56" i="46"/>
  <c r="X56" i="46"/>
  <c r="CF88" i="46"/>
  <c r="AF59" i="46"/>
  <c r="DJ58" i="46"/>
  <c r="DJ48" i="46"/>
  <c r="DJ49" i="46" s="1"/>
  <c r="DJ64" i="46"/>
  <c r="DJ71" i="46"/>
  <c r="DJ88" i="46"/>
  <c r="BE56" i="46"/>
  <c r="CN88" i="46"/>
  <c r="V64" i="46"/>
  <c r="BY71" i="46"/>
  <c r="M71" i="46"/>
  <c r="BY58" i="46"/>
  <c r="CT58" i="46"/>
  <c r="M64" i="46"/>
  <c r="V59" i="46"/>
  <c r="BY88" i="46"/>
  <c r="V58" i="46"/>
  <c r="V71" i="46"/>
  <c r="V88" i="46"/>
  <c r="BY59" i="46"/>
  <c r="BY56" i="46"/>
  <c r="BY48" i="46"/>
  <c r="BY49" i="46" s="1"/>
  <c r="V48" i="46"/>
  <c r="V49" i="46" s="1"/>
  <c r="M56" i="46"/>
  <c r="AZ46" i="46"/>
  <c r="AZ48" i="46" s="1"/>
  <c r="BD59" i="46"/>
  <c r="X59" i="46"/>
  <c r="BD48" i="46"/>
  <c r="BD49" i="46" s="1"/>
  <c r="X58" i="46"/>
  <c r="BD58" i="46"/>
  <c r="X64" i="46"/>
  <c r="BD64" i="46"/>
  <c r="X71" i="46"/>
  <c r="X48" i="46"/>
  <c r="X49" i="46" s="1"/>
  <c r="BD88" i="46"/>
  <c r="H32" i="45"/>
  <c r="CA65" i="46"/>
  <c r="CA66" i="46" s="1"/>
  <c r="Q59" i="46"/>
  <c r="CO88" i="46"/>
  <c r="Q71" i="46"/>
  <c r="Q64" i="46"/>
  <c r="Q88" i="46"/>
  <c r="CO59" i="46"/>
  <c r="CZ48" i="46"/>
  <c r="CZ49" i="46" s="1"/>
  <c r="DL58" i="46"/>
  <c r="CO56" i="46"/>
  <c r="CO48" i="46"/>
  <c r="CO49" i="46" s="1"/>
  <c r="Q48" i="46"/>
  <c r="Q49" i="46" s="1"/>
  <c r="AJ65" i="46"/>
  <c r="AJ66" i="46" s="1"/>
  <c r="CO58" i="46"/>
  <c r="BE58" i="46"/>
  <c r="BE48" i="46"/>
  <c r="BE49" i="46" s="1"/>
  <c r="CN71" i="46"/>
  <c r="BE59" i="46"/>
  <c r="BA56" i="46"/>
  <c r="BE64" i="46"/>
  <c r="BA58" i="46"/>
  <c r="CN59" i="46"/>
  <c r="BE71" i="46"/>
  <c r="BA59" i="46"/>
  <c r="CN56" i="46"/>
  <c r="BA71" i="46"/>
  <c r="CN48" i="46"/>
  <c r="CN49" i="46" s="1"/>
  <c r="BA64" i="46"/>
  <c r="CN58" i="46"/>
  <c r="BA48" i="46"/>
  <c r="BA49" i="46" s="1"/>
  <c r="CT48" i="46"/>
  <c r="CT49" i="46" s="1"/>
  <c r="CZ56" i="46"/>
  <c r="DQ88" i="46"/>
  <c r="CZ58" i="46"/>
  <c r="G48" i="46"/>
  <c r="G49" i="46" s="1"/>
  <c r="DL64" i="46"/>
  <c r="R64" i="46"/>
  <c r="CT59" i="46"/>
  <c r="M58" i="46"/>
  <c r="I65" i="46"/>
  <c r="I66" i="46" s="1"/>
  <c r="CZ64" i="46"/>
  <c r="G56" i="46"/>
  <c r="DL88" i="46"/>
  <c r="R71" i="46"/>
  <c r="K32" i="45"/>
  <c r="CZ71" i="46"/>
  <c r="G88" i="46"/>
  <c r="DL71" i="46"/>
  <c r="R88" i="46"/>
  <c r="CT71" i="46"/>
  <c r="M88" i="46"/>
  <c r="DQ59" i="46"/>
  <c r="CZ88" i="46"/>
  <c r="G58" i="46"/>
  <c r="CT88" i="46"/>
  <c r="DQ58" i="46"/>
  <c r="G59" i="46"/>
  <c r="DL56" i="46"/>
  <c r="R48" i="46"/>
  <c r="R49" i="46" s="1"/>
  <c r="P46" i="46"/>
  <c r="P48" i="46" s="1"/>
  <c r="BU65" i="46"/>
  <c r="BU66" i="46" s="1"/>
  <c r="M48" i="46"/>
  <c r="M49" i="46" s="1"/>
  <c r="DL59" i="46"/>
  <c r="CA49" i="46"/>
  <c r="DP49" i="46"/>
  <c r="BU49" i="46"/>
  <c r="I49" i="46"/>
  <c r="DH46" i="46"/>
  <c r="DH48" i="46" s="1"/>
  <c r="D88" i="46"/>
  <c r="D71" i="46"/>
  <c r="D64" i="46"/>
  <c r="D56" i="46"/>
  <c r="D59" i="46"/>
  <c r="D58" i="46"/>
  <c r="BG71" i="46"/>
  <c r="BG64" i="46"/>
  <c r="BG88" i="46"/>
  <c r="BG59" i="46"/>
  <c r="BG56" i="46"/>
  <c r="BG58" i="46"/>
  <c r="BG48" i="46"/>
  <c r="N88" i="46"/>
  <c r="N71" i="46"/>
  <c r="N64" i="46"/>
  <c r="N59" i="46"/>
  <c r="N56" i="46"/>
  <c r="N58" i="46"/>
  <c r="N48" i="46"/>
  <c r="DH71" i="46"/>
  <c r="DH88" i="46"/>
  <c r="DH64" i="46"/>
  <c r="DH59" i="46"/>
  <c r="DH56" i="46"/>
  <c r="DH58" i="46"/>
  <c r="CJ88" i="46"/>
  <c r="CJ71" i="46"/>
  <c r="CJ64" i="46"/>
  <c r="CJ58" i="46"/>
  <c r="CJ59" i="46"/>
  <c r="CJ56" i="46"/>
  <c r="AN88" i="46"/>
  <c r="AN71" i="46"/>
  <c r="AN64" i="46"/>
  <c r="AN58" i="46"/>
  <c r="AN56" i="46"/>
  <c r="AN59" i="46"/>
  <c r="I32" i="45"/>
  <c r="AK88" i="46"/>
  <c r="AK64" i="46"/>
  <c r="AK59" i="46"/>
  <c r="AK58" i="46"/>
  <c r="AK56" i="46"/>
  <c r="AK71" i="46"/>
  <c r="AK48" i="46"/>
  <c r="DM88" i="46"/>
  <c r="DM71" i="46"/>
  <c r="DM64" i="46"/>
  <c r="DM59" i="46"/>
  <c r="DM48" i="46"/>
  <c r="DM58" i="46"/>
  <c r="DM56" i="46"/>
  <c r="O88" i="46"/>
  <c r="O71" i="46"/>
  <c r="O64" i="46"/>
  <c r="O59" i="46"/>
  <c r="O58" i="46"/>
  <c r="O56" i="46"/>
  <c r="O48" i="46"/>
  <c r="I18" i="45"/>
  <c r="I24" i="45"/>
  <c r="I17" i="45"/>
  <c r="BL88" i="46"/>
  <c r="BL71" i="46"/>
  <c r="BL59" i="46"/>
  <c r="BL58" i="46"/>
  <c r="BL64" i="46"/>
  <c r="BL56" i="46"/>
  <c r="DI88" i="46"/>
  <c r="DI71" i="46"/>
  <c r="DI64" i="46"/>
  <c r="DI56" i="46"/>
  <c r="DI59" i="46"/>
  <c r="DI58" i="46"/>
  <c r="DI48" i="46"/>
  <c r="CD49" i="46"/>
  <c r="W65" i="46"/>
  <c r="W66" i="46" s="1"/>
  <c r="CU88" i="46"/>
  <c r="CU64" i="46"/>
  <c r="CU56" i="46"/>
  <c r="CU58" i="46"/>
  <c r="CU71" i="46"/>
  <c r="CU59" i="46"/>
  <c r="CU48" i="46"/>
  <c r="AA88" i="46"/>
  <c r="AA71" i="46"/>
  <c r="AA64" i="46"/>
  <c r="AA59" i="46"/>
  <c r="AA56" i="46"/>
  <c r="AA58" i="46"/>
  <c r="AA48" i="46"/>
  <c r="BW88" i="46"/>
  <c r="BW71" i="46"/>
  <c r="BW64" i="46"/>
  <c r="BW56" i="46"/>
  <c r="BW59" i="46"/>
  <c r="BW58" i="46"/>
  <c r="BW48" i="46"/>
  <c r="L32" i="45"/>
  <c r="CJ46" i="46"/>
  <c r="CJ48" i="46" s="1"/>
  <c r="BQ71" i="46"/>
  <c r="BQ88" i="46"/>
  <c r="BQ64" i="46"/>
  <c r="BQ59" i="46"/>
  <c r="BQ58" i="46"/>
  <c r="BQ56" i="46"/>
  <c r="BQ48" i="46"/>
  <c r="S71" i="46"/>
  <c r="S64" i="46"/>
  <c r="S58" i="46"/>
  <c r="S88" i="46"/>
  <c r="S48" i="46"/>
  <c r="S59" i="46"/>
  <c r="S56" i="46"/>
  <c r="BV88" i="46"/>
  <c r="BV64" i="46"/>
  <c r="BV59" i="46"/>
  <c r="BV58" i="46"/>
  <c r="BV71" i="46"/>
  <c r="BV56" i="46"/>
  <c r="BV48" i="46"/>
  <c r="BX71" i="46"/>
  <c r="BX88" i="46"/>
  <c r="BX64" i="46"/>
  <c r="BX59" i="46"/>
  <c r="BX58" i="46"/>
  <c r="BX56" i="46"/>
  <c r="CI71" i="46"/>
  <c r="CI88" i="46"/>
  <c r="CI59" i="46"/>
  <c r="CI58" i="46"/>
  <c r="CI56" i="46"/>
  <c r="CI64" i="46"/>
  <c r="CI48" i="46"/>
  <c r="DE71" i="46"/>
  <c r="DE88" i="46"/>
  <c r="DE56" i="46"/>
  <c r="DE58" i="46"/>
  <c r="DE64" i="46"/>
  <c r="DE59" i="46"/>
  <c r="DE48" i="46"/>
  <c r="F32" i="45"/>
  <c r="CD65" i="46"/>
  <c r="CD66" i="46" s="1"/>
  <c r="BI88" i="46"/>
  <c r="BI71" i="46"/>
  <c r="BI64" i="46"/>
  <c r="BI58" i="46"/>
  <c r="BI56" i="46"/>
  <c r="BI59" i="46"/>
  <c r="BI48" i="46"/>
  <c r="CH88" i="46"/>
  <c r="CH71" i="46"/>
  <c r="CH64" i="46"/>
  <c r="CH59" i="46"/>
  <c r="CH58" i="46"/>
  <c r="CH56" i="46"/>
  <c r="CH48" i="46"/>
  <c r="CV46" i="46"/>
  <c r="CV48" i="46" s="1"/>
  <c r="H88" i="46"/>
  <c r="H64" i="46"/>
  <c r="H71" i="46"/>
  <c r="H58" i="46"/>
  <c r="H56" i="46"/>
  <c r="H48" i="46"/>
  <c r="H59" i="46"/>
  <c r="BF88" i="46"/>
  <c r="BF64" i="46"/>
  <c r="BF71" i="46"/>
  <c r="BF59" i="46"/>
  <c r="BF58" i="46"/>
  <c r="BF56" i="46"/>
  <c r="BF48" i="46"/>
  <c r="CY71" i="46"/>
  <c r="CY88" i="46"/>
  <c r="CY64" i="46"/>
  <c r="CY59" i="46"/>
  <c r="CY58" i="46"/>
  <c r="CY56" i="46"/>
  <c r="CY48" i="46"/>
  <c r="AE71" i="46"/>
  <c r="AE64" i="46"/>
  <c r="AE88" i="46"/>
  <c r="AE59" i="46"/>
  <c r="AE58" i="46"/>
  <c r="AE56" i="46"/>
  <c r="AE48" i="46"/>
  <c r="W49" i="46"/>
  <c r="CK88" i="46"/>
  <c r="CK71" i="46"/>
  <c r="CK64" i="46"/>
  <c r="CK56" i="46"/>
  <c r="CK59" i="46"/>
  <c r="CK58" i="46"/>
  <c r="CK48" i="46"/>
  <c r="CR88" i="46"/>
  <c r="CR64" i="46"/>
  <c r="CR59" i="46"/>
  <c r="CR48" i="46"/>
  <c r="CR71" i="46"/>
  <c r="CR56" i="46"/>
  <c r="CR58" i="46"/>
  <c r="AX88" i="46"/>
  <c r="AX71" i="46"/>
  <c r="AX64" i="46"/>
  <c r="AX59" i="46"/>
  <c r="AX58" i="46"/>
  <c r="AX56" i="46"/>
  <c r="AX48" i="46"/>
  <c r="CG88" i="46"/>
  <c r="CG64" i="46"/>
  <c r="CG71" i="46"/>
  <c r="CG59" i="46"/>
  <c r="CG48" i="46"/>
  <c r="CG56" i="46"/>
  <c r="CG58" i="46"/>
  <c r="AB46" i="46"/>
  <c r="AB48" i="46" s="1"/>
  <c r="AP88" i="46"/>
  <c r="AP64" i="46"/>
  <c r="AP59" i="46"/>
  <c r="AP58" i="46"/>
  <c r="AP71" i="46"/>
  <c r="AP56" i="46"/>
  <c r="AP48" i="46"/>
  <c r="J32" i="45"/>
  <c r="DG71" i="46"/>
  <c r="DG88" i="46"/>
  <c r="DG64" i="46"/>
  <c r="DG59" i="46"/>
  <c r="DG58" i="46"/>
  <c r="DG56" i="46"/>
  <c r="DG48" i="46"/>
  <c r="AV88" i="46"/>
  <c r="AV71" i="46"/>
  <c r="AV64" i="46"/>
  <c r="AV59" i="46"/>
  <c r="AV48" i="46"/>
  <c r="AV58" i="46"/>
  <c r="AV56" i="46"/>
  <c r="AY88" i="46"/>
  <c r="AY71" i="46"/>
  <c r="AY64" i="46"/>
  <c r="AY58" i="46"/>
  <c r="AY56" i="46"/>
  <c r="AY59" i="46"/>
  <c r="AY48" i="46"/>
  <c r="DF88" i="46"/>
  <c r="DF71" i="46"/>
  <c r="DF64" i="46"/>
  <c r="DF56" i="46"/>
  <c r="DF59" i="46"/>
  <c r="DF58" i="46"/>
  <c r="DF48" i="46"/>
  <c r="D32" i="45"/>
  <c r="AJ49" i="46"/>
  <c r="H18" i="45"/>
  <c r="H24" i="45"/>
  <c r="H17" i="45"/>
  <c r="BP88" i="46"/>
  <c r="BP71" i="46"/>
  <c r="BP64" i="46"/>
  <c r="BP56" i="46"/>
  <c r="BP48" i="46"/>
  <c r="BP59" i="46"/>
  <c r="BP58" i="46"/>
  <c r="CP88" i="46"/>
  <c r="CP71" i="46"/>
  <c r="CP64" i="46"/>
  <c r="CP58" i="46"/>
  <c r="CP56" i="46"/>
  <c r="CP59" i="46"/>
  <c r="CP48" i="46"/>
  <c r="CX88" i="46"/>
  <c r="CX71" i="46"/>
  <c r="CX64" i="46"/>
  <c r="CX59" i="46"/>
  <c r="CX58" i="46"/>
  <c r="CX56" i="46"/>
  <c r="CX48" i="46"/>
  <c r="J24" i="45"/>
  <c r="J17" i="45"/>
  <c r="J18" i="45"/>
  <c r="F65" i="46"/>
  <c r="F66" i="46" s="1"/>
  <c r="E32" i="45"/>
  <c r="DC88" i="46"/>
  <c r="DC71" i="46"/>
  <c r="DC64" i="46"/>
  <c r="DC59" i="46"/>
  <c r="DC56" i="46"/>
  <c r="DC58" i="46"/>
  <c r="DC48" i="46"/>
  <c r="G32" i="45"/>
  <c r="D46" i="46"/>
  <c r="D48" i="46" s="1"/>
  <c r="AO88" i="46"/>
  <c r="AO64" i="46"/>
  <c r="AO56" i="46"/>
  <c r="AO71" i="46"/>
  <c r="AO59" i="46"/>
  <c r="AO48" i="46"/>
  <c r="AO58" i="46"/>
  <c r="K88" i="46"/>
  <c r="K71" i="46"/>
  <c r="K64" i="46"/>
  <c r="K59" i="46"/>
  <c r="K58" i="46"/>
  <c r="K56" i="46"/>
  <c r="K48" i="46"/>
  <c r="CM65" i="46"/>
  <c r="CM66" i="46" s="1"/>
  <c r="AZ71" i="46"/>
  <c r="AZ88" i="46"/>
  <c r="AZ64" i="46"/>
  <c r="AZ58" i="46"/>
  <c r="AZ56" i="46"/>
  <c r="AZ59" i="46"/>
  <c r="AW88" i="46"/>
  <c r="AW71" i="46"/>
  <c r="AW64" i="46"/>
  <c r="AW58" i="46"/>
  <c r="AW59" i="46"/>
  <c r="AW56" i="46"/>
  <c r="AW48" i="46"/>
  <c r="DO88" i="46"/>
  <c r="DO71" i="46"/>
  <c r="DO59" i="46"/>
  <c r="DO58" i="46"/>
  <c r="DO56" i="46"/>
  <c r="DO64" i="46"/>
  <c r="DO48" i="46"/>
  <c r="J88" i="46"/>
  <c r="J71" i="46"/>
  <c r="J64" i="46"/>
  <c r="J59" i="46"/>
  <c r="J58" i="46"/>
  <c r="J48" i="46"/>
  <c r="J56" i="46"/>
  <c r="DK71" i="46"/>
  <c r="DK88" i="46"/>
  <c r="DK64" i="46"/>
  <c r="DK58" i="46"/>
  <c r="DK56" i="46"/>
  <c r="DK59" i="46"/>
  <c r="DK48" i="46"/>
  <c r="AN46" i="46"/>
  <c r="AN48" i="46" s="1"/>
  <c r="L24" i="45"/>
  <c r="L18" i="45"/>
  <c r="L17" i="45"/>
  <c r="E18" i="45"/>
  <c r="E24" i="45"/>
  <c r="E17" i="45"/>
  <c r="BZ88" i="46"/>
  <c r="BZ71" i="46"/>
  <c r="BZ64" i="46"/>
  <c r="BZ58" i="46"/>
  <c r="BZ56" i="46"/>
  <c r="BZ59" i="46"/>
  <c r="BZ48" i="46"/>
  <c r="BN88" i="46"/>
  <c r="BN71" i="46"/>
  <c r="BN64" i="46"/>
  <c r="BN59" i="46"/>
  <c r="BN58" i="46"/>
  <c r="BN56" i="46"/>
  <c r="BN48" i="46"/>
  <c r="BR88" i="46"/>
  <c r="BR71" i="46"/>
  <c r="BR64" i="46"/>
  <c r="BR59" i="46"/>
  <c r="BR58" i="46"/>
  <c r="BR56" i="46"/>
  <c r="BR48" i="46"/>
  <c r="BS71" i="46"/>
  <c r="BS64" i="46"/>
  <c r="BS59" i="46"/>
  <c r="BS58" i="46"/>
  <c r="BS56" i="46"/>
  <c r="BS88" i="46"/>
  <c r="BS48" i="46"/>
  <c r="F24" i="45"/>
  <c r="F17" i="45"/>
  <c r="F18" i="45"/>
  <c r="M32" i="45"/>
  <c r="D24" i="45"/>
  <c r="D17" i="45"/>
  <c r="D18" i="45"/>
  <c r="BC88" i="46"/>
  <c r="BC71" i="46"/>
  <c r="BC59" i="46"/>
  <c r="BC58" i="46"/>
  <c r="BC56" i="46"/>
  <c r="BC64" i="46"/>
  <c r="BC48" i="46"/>
  <c r="M18" i="45"/>
  <c r="M24" i="45"/>
  <c r="M17" i="45"/>
  <c r="K18" i="45"/>
  <c r="K24" i="45"/>
  <c r="K17" i="45"/>
  <c r="G24" i="45"/>
  <c r="G17" i="45"/>
  <c r="G18" i="45"/>
  <c r="CL88" i="46"/>
  <c r="CL71" i="46"/>
  <c r="CL64" i="46"/>
  <c r="CL59" i="46"/>
  <c r="CL58" i="46"/>
  <c r="CL56" i="46"/>
  <c r="CL48" i="46"/>
  <c r="CV88" i="46"/>
  <c r="CV71" i="46"/>
  <c r="CV64" i="46"/>
  <c r="CV59" i="46"/>
  <c r="CV56" i="46"/>
  <c r="CV58" i="46"/>
  <c r="DP65" i="46"/>
  <c r="DP66" i="46" s="1"/>
  <c r="P88" i="46"/>
  <c r="P71" i="46"/>
  <c r="P64" i="46"/>
  <c r="P59" i="46"/>
  <c r="P56" i="46"/>
  <c r="P58" i="46"/>
  <c r="DD71" i="46"/>
  <c r="DD88" i="46"/>
  <c r="DD58" i="46"/>
  <c r="DD48" i="46"/>
  <c r="DD64" i="46"/>
  <c r="DD56" i="46"/>
  <c r="DD59" i="46"/>
  <c r="BB65" i="46"/>
  <c r="BB66" i="46" s="1"/>
  <c r="AB88" i="46"/>
  <c r="AB71" i="46"/>
  <c r="AB64" i="46"/>
  <c r="AB56" i="46"/>
  <c r="AB59" i="46"/>
  <c r="AB58" i="46"/>
  <c r="AR71" i="46"/>
  <c r="AR88" i="46"/>
  <c r="AR59" i="46"/>
  <c r="AR58" i="46"/>
  <c r="AR48" i="46"/>
  <c r="AR56" i="46"/>
  <c r="AR64" i="46"/>
  <c r="CQ65" i="46" l="1"/>
  <c r="CQ66" i="46" s="1"/>
  <c r="L65" i="46"/>
  <c r="L66" i="46" s="1"/>
  <c r="AL65" i="46"/>
  <c r="AL66" i="46" s="1"/>
  <c r="Y65" i="46"/>
  <c r="Y66" i="46" s="1"/>
  <c r="AD65" i="46"/>
  <c r="AD66" i="46" s="1"/>
  <c r="AU65" i="46"/>
  <c r="AU66" i="46" s="1"/>
  <c r="AQ65" i="46"/>
  <c r="AQ66" i="46" s="1"/>
  <c r="R65" i="46"/>
  <c r="R66" i="46" s="1"/>
  <c r="CW65" i="46"/>
  <c r="CW66" i="46" s="1"/>
  <c r="BM65" i="46"/>
  <c r="BM66" i="46" s="1"/>
  <c r="DB65" i="46"/>
  <c r="DB66" i="46" s="1"/>
  <c r="AG65" i="46"/>
  <c r="AG66" i="46" s="1"/>
  <c r="AI65" i="46"/>
  <c r="AI66" i="46" s="1"/>
  <c r="BO65" i="46"/>
  <c r="BO66" i="46" s="1"/>
  <c r="CE65" i="46"/>
  <c r="CE66" i="46" s="1"/>
  <c r="Z65" i="46"/>
  <c r="Z66" i="46" s="1"/>
  <c r="AC65" i="46"/>
  <c r="AC66" i="46" s="1"/>
  <c r="CS65" i="46"/>
  <c r="CS66" i="46" s="1"/>
  <c r="CB65" i="46"/>
  <c r="CB66" i="46" s="1"/>
  <c r="BK65" i="46"/>
  <c r="BK66" i="46" s="1"/>
  <c r="DR65" i="46"/>
  <c r="DR66" i="46" s="1"/>
  <c r="T65" i="46"/>
  <c r="T66" i="46" s="1"/>
  <c r="U65" i="46"/>
  <c r="U66" i="46" s="1"/>
  <c r="AT65" i="46"/>
  <c r="AT66" i="46" s="1"/>
  <c r="AJ68" i="46"/>
  <c r="AJ69" i="46" s="1"/>
  <c r="AF65" i="46"/>
  <c r="AF66" i="46" s="1"/>
  <c r="AM65" i="46"/>
  <c r="AM66" i="46" s="1"/>
  <c r="AS65" i="46"/>
  <c r="AS66" i="46" s="1"/>
  <c r="V65" i="46"/>
  <c r="V66" i="46" s="1"/>
  <c r="BJ65" i="46"/>
  <c r="BJ66" i="46" s="1"/>
  <c r="CF65" i="46"/>
  <c r="CF66" i="46" s="1"/>
  <c r="CC65" i="46"/>
  <c r="CC66" i="46" s="1"/>
  <c r="DJ65" i="46"/>
  <c r="DJ66" i="46" s="1"/>
  <c r="DA65" i="46"/>
  <c r="DA66" i="46" s="1"/>
  <c r="AH65" i="46"/>
  <c r="AH66" i="46" s="1"/>
  <c r="E65" i="46"/>
  <c r="E66" i="46" s="1"/>
  <c r="BY65" i="46"/>
  <c r="BY68" i="46" s="1"/>
  <c r="BH65" i="46"/>
  <c r="BH66" i="46" s="1"/>
  <c r="DN65" i="46"/>
  <c r="DN66" i="46" s="1"/>
  <c r="F47" i="45"/>
  <c r="BD65" i="46"/>
  <c r="BD66" i="46" s="1"/>
  <c r="M65" i="46"/>
  <c r="M66" i="46" s="1"/>
  <c r="CT65" i="46"/>
  <c r="CT66" i="46" s="1"/>
  <c r="CN65" i="46"/>
  <c r="CN66" i="46" s="1"/>
  <c r="BE65" i="46"/>
  <c r="BE66" i="46" s="1"/>
  <c r="X65" i="46"/>
  <c r="X66" i="46" s="1"/>
  <c r="BU68" i="46"/>
  <c r="BU77" i="46" s="1"/>
  <c r="Q65" i="46"/>
  <c r="Q68" i="46" s="1"/>
  <c r="Q69" i="46" s="1"/>
  <c r="CO65" i="46"/>
  <c r="CO66" i="46" s="1"/>
  <c r="CA68" i="46"/>
  <c r="CA69" i="46" s="1"/>
  <c r="F76" i="45"/>
  <c r="F77" i="45" s="1"/>
  <c r="E76" i="45"/>
  <c r="E77" i="45" s="1"/>
  <c r="CZ65" i="46"/>
  <c r="CZ66" i="46" s="1"/>
  <c r="BA65" i="46"/>
  <c r="BA66" i="46" s="1"/>
  <c r="AK65" i="46"/>
  <c r="AK66" i="46" s="1"/>
  <c r="DL65" i="46"/>
  <c r="DL66" i="46" s="1"/>
  <c r="AY65" i="46"/>
  <c r="AY66" i="46" s="1"/>
  <c r="E47" i="45"/>
  <c r="I68" i="46"/>
  <c r="I69" i="46" s="1"/>
  <c r="DQ65" i="46"/>
  <c r="DQ66" i="46" s="1"/>
  <c r="W68" i="46"/>
  <c r="W77" i="46" s="1"/>
  <c r="L45" i="45"/>
  <c r="L46" i="45" s="1"/>
  <c r="AV65" i="46"/>
  <c r="AV66" i="46" s="1"/>
  <c r="DG65" i="46"/>
  <c r="DG66" i="46" s="1"/>
  <c r="F51" i="45"/>
  <c r="E51" i="45"/>
  <c r="AA65" i="46"/>
  <c r="AA66" i="46" s="1"/>
  <c r="F68" i="46"/>
  <c r="F69" i="46" s="1"/>
  <c r="F57" i="45"/>
  <c r="F58" i="45" s="1"/>
  <c r="E57" i="45"/>
  <c r="E58" i="45" s="1"/>
  <c r="CK65" i="46"/>
  <c r="CK66" i="46" s="1"/>
  <c r="G65" i="46"/>
  <c r="L57" i="45"/>
  <c r="L58" i="45" s="1"/>
  <c r="F45" i="45"/>
  <c r="F46" i="45" s="1"/>
  <c r="E45" i="45"/>
  <c r="E46" i="45" s="1"/>
  <c r="H45" i="45"/>
  <c r="H46" i="45" s="1"/>
  <c r="CJ49" i="46"/>
  <c r="AN49" i="46"/>
  <c r="D49" i="46"/>
  <c r="P49" i="46"/>
  <c r="F34" i="45"/>
  <c r="F61" i="45"/>
  <c r="BR49" i="46"/>
  <c r="BN49" i="46"/>
  <c r="AW49" i="46"/>
  <c r="H47" i="45"/>
  <c r="DC49" i="46"/>
  <c r="H34" i="45"/>
  <c r="H61" i="45"/>
  <c r="DG49" i="46"/>
  <c r="DE49" i="46"/>
  <c r="BX65" i="46"/>
  <c r="BX66" i="46" s="1"/>
  <c r="J43" i="45"/>
  <c r="BV65" i="46"/>
  <c r="BV66" i="46" s="1"/>
  <c r="S65" i="46"/>
  <c r="S66" i="46" s="1"/>
  <c r="BQ65" i="46"/>
  <c r="BQ66" i="46" s="1"/>
  <c r="BW49" i="46"/>
  <c r="DI49" i="46"/>
  <c r="BL65" i="46"/>
  <c r="BL66" i="46" s="1"/>
  <c r="I43" i="45"/>
  <c r="DM65" i="46"/>
  <c r="DM66" i="46" s="1"/>
  <c r="G45" i="45"/>
  <c r="G46" i="45" s="1"/>
  <c r="K51" i="45"/>
  <c r="M47" i="45"/>
  <c r="N65" i="46"/>
  <c r="N66" i="46" s="1"/>
  <c r="D51" i="45"/>
  <c r="AR65" i="46"/>
  <c r="AR66" i="46" s="1"/>
  <c r="AB49" i="46"/>
  <c r="DD65" i="46"/>
  <c r="DD66" i="46" s="1"/>
  <c r="P65" i="46"/>
  <c r="P66" i="46" s="1"/>
  <c r="E43" i="45"/>
  <c r="CV49" i="46"/>
  <c r="M34" i="45"/>
  <c r="M61" i="45"/>
  <c r="BC49" i="46"/>
  <c r="BS49" i="46"/>
  <c r="BR65" i="46"/>
  <c r="BR66" i="46" s="1"/>
  <c r="BN65" i="46"/>
  <c r="BN66" i="46" s="1"/>
  <c r="BZ65" i="46"/>
  <c r="BZ66" i="46" s="1"/>
  <c r="DK65" i="46"/>
  <c r="DK66" i="46" s="1"/>
  <c r="DO49" i="46"/>
  <c r="AW65" i="46"/>
  <c r="AW66" i="46" s="1"/>
  <c r="AZ65" i="46"/>
  <c r="AZ66" i="46" s="1"/>
  <c r="H43" i="45"/>
  <c r="CP49" i="46"/>
  <c r="CI49" i="46"/>
  <c r="J45" i="45"/>
  <c r="J46" i="45" s="1"/>
  <c r="I51" i="45"/>
  <c r="G51" i="45"/>
  <c r="K57" i="45"/>
  <c r="K58" i="45" s="1"/>
  <c r="M51" i="45"/>
  <c r="D57" i="45"/>
  <c r="D58" i="45" s="1"/>
  <c r="CM68" i="46"/>
  <c r="AR49" i="46"/>
  <c r="AB65" i="46"/>
  <c r="AB66" i="46" s="1"/>
  <c r="F43" i="45"/>
  <c r="CV65" i="46"/>
  <c r="CV66" i="46" s="1"/>
  <c r="L43" i="45"/>
  <c r="D34" i="45"/>
  <c r="D61" i="45"/>
  <c r="DC65" i="46"/>
  <c r="DC66" i="46" s="1"/>
  <c r="CX49" i="46"/>
  <c r="BP49" i="46"/>
  <c r="CK49" i="46"/>
  <c r="J47" i="45"/>
  <c r="S49" i="46"/>
  <c r="CU65" i="46"/>
  <c r="CU66" i="46" s="1"/>
  <c r="I45" i="45"/>
  <c r="I46" i="45" s="1"/>
  <c r="DM49" i="46"/>
  <c r="G57" i="45"/>
  <c r="G58" i="45" s="1"/>
  <c r="K76" i="45"/>
  <c r="K77" i="45" s="1"/>
  <c r="M76" i="45"/>
  <c r="M77" i="45" s="1"/>
  <c r="D76" i="45"/>
  <c r="D77" i="45" s="1"/>
  <c r="DD49" i="46"/>
  <c r="L47" i="45"/>
  <c r="CL49" i="46"/>
  <c r="BC65" i="46"/>
  <c r="BC66" i="46" s="1"/>
  <c r="BS65" i="46"/>
  <c r="BS66" i="46" s="1"/>
  <c r="L34" i="45"/>
  <c r="L61" i="45"/>
  <c r="DO65" i="46"/>
  <c r="DO66" i="46" s="1"/>
  <c r="H51" i="45"/>
  <c r="K49" i="46"/>
  <c r="AO49" i="46"/>
  <c r="J34" i="45"/>
  <c r="J61" i="45"/>
  <c r="CX65" i="46"/>
  <c r="CX66" i="46" s="1"/>
  <c r="CP65" i="46"/>
  <c r="CP66" i="46" s="1"/>
  <c r="BP65" i="46"/>
  <c r="BP66" i="46" s="1"/>
  <c r="DF49" i="46"/>
  <c r="AV49" i="46"/>
  <c r="AP49" i="46"/>
  <c r="CY49" i="46"/>
  <c r="CI65" i="46"/>
  <c r="CI66" i="46" s="1"/>
  <c r="BX49" i="46"/>
  <c r="BW65" i="46"/>
  <c r="BW66" i="46" s="1"/>
  <c r="DI65" i="46"/>
  <c r="DI66" i="46" s="1"/>
  <c r="BL49" i="46"/>
  <c r="G76" i="45"/>
  <c r="G77" i="45" s="1"/>
  <c r="M57" i="45"/>
  <c r="M58" i="45" s="1"/>
  <c r="BB68" i="46"/>
  <c r="L51" i="45"/>
  <c r="CL65" i="46"/>
  <c r="CL66" i="46" s="1"/>
  <c r="G34" i="45"/>
  <c r="G61" i="45"/>
  <c r="H76" i="45"/>
  <c r="H77" i="45" s="1"/>
  <c r="K65" i="46"/>
  <c r="K66" i="46" s="1"/>
  <c r="AP65" i="46"/>
  <c r="AP66" i="46" s="1"/>
  <c r="AX49" i="46"/>
  <c r="CR65" i="46"/>
  <c r="CR66" i="46" s="1"/>
  <c r="AE49" i="46"/>
  <c r="CY65" i="46"/>
  <c r="CY66" i="46" s="1"/>
  <c r="BI49" i="46"/>
  <c r="DE65" i="46"/>
  <c r="DE66" i="46" s="1"/>
  <c r="J51" i="45"/>
  <c r="BT68" i="46"/>
  <c r="I47" i="45"/>
  <c r="I34" i="45"/>
  <c r="I61" i="45"/>
  <c r="CJ65" i="46"/>
  <c r="CJ66" i="46" s="1"/>
  <c r="K43" i="45"/>
  <c r="D45" i="45"/>
  <c r="D46" i="45" s="1"/>
  <c r="H57" i="45"/>
  <c r="H58" i="45" s="1"/>
  <c r="AX65" i="46"/>
  <c r="AX66" i="46" s="1"/>
  <c r="AE65" i="46"/>
  <c r="AE66" i="46" s="1"/>
  <c r="CH49" i="46"/>
  <c r="J76" i="45"/>
  <c r="J77" i="45" s="1"/>
  <c r="I57" i="45"/>
  <c r="I58" i="45" s="1"/>
  <c r="G47" i="45"/>
  <c r="M45" i="45"/>
  <c r="M46" i="45" s="1"/>
  <c r="BG49" i="46"/>
  <c r="D47" i="45"/>
  <c r="DP68" i="46"/>
  <c r="L76" i="45"/>
  <c r="L77" i="45" s="1"/>
  <c r="K34" i="45"/>
  <c r="K61" i="45"/>
  <c r="J65" i="46"/>
  <c r="J66" i="46" s="1"/>
  <c r="AO65" i="46"/>
  <c r="AO66" i="46" s="1"/>
  <c r="DF65" i="46"/>
  <c r="DF66" i="46" s="1"/>
  <c r="CG65" i="46"/>
  <c r="CG66" i="46" s="1"/>
  <c r="CR49" i="46"/>
  <c r="BF49" i="46"/>
  <c r="H49" i="46"/>
  <c r="CH65" i="46"/>
  <c r="CH66" i="46" s="1"/>
  <c r="BI65" i="46"/>
  <c r="BI66" i="46" s="1"/>
  <c r="J57" i="45"/>
  <c r="J58" i="45" s="1"/>
  <c r="CU49" i="46"/>
  <c r="I76" i="45"/>
  <c r="I77" i="45" s="1"/>
  <c r="O49" i="46"/>
  <c r="AN65" i="46"/>
  <c r="AN66" i="46" s="1"/>
  <c r="G43" i="45"/>
  <c r="K47" i="45"/>
  <c r="DH65" i="46"/>
  <c r="DH66" i="46" s="1"/>
  <c r="M43" i="45"/>
  <c r="N49" i="46"/>
  <c r="BZ49" i="46"/>
  <c r="E34" i="45"/>
  <c r="E61" i="45"/>
  <c r="DK49" i="46"/>
  <c r="J49" i="46"/>
  <c r="AZ49" i="46"/>
  <c r="AY49" i="46"/>
  <c r="DS68" i="46"/>
  <c r="CG49" i="46"/>
  <c r="BF65" i="46"/>
  <c r="BF66" i="46" s="1"/>
  <c r="H65" i="46"/>
  <c r="H66" i="46" s="1"/>
  <c r="BV49" i="46"/>
  <c r="BQ49" i="46"/>
  <c r="AA49" i="46"/>
  <c r="CD68" i="46"/>
  <c r="O65" i="46"/>
  <c r="O66" i="46" s="1"/>
  <c r="AK49" i="46"/>
  <c r="K45" i="45"/>
  <c r="K46" i="45" s="1"/>
  <c r="DH49" i="46"/>
  <c r="BG65" i="46"/>
  <c r="BG66" i="46" s="1"/>
  <c r="D43" i="45"/>
  <c r="D65" i="46"/>
  <c r="D66" i="46" s="1"/>
  <c r="CQ68" i="46" l="1"/>
  <c r="CQ77" i="46" s="1"/>
  <c r="L68" i="46"/>
  <c r="L77" i="46" s="1"/>
  <c r="L82" i="46" s="1"/>
  <c r="BU80" i="46"/>
  <c r="BU82" i="46"/>
  <c r="W80" i="46"/>
  <c r="W82" i="46"/>
  <c r="Y68" i="46"/>
  <c r="Y77" i="46" s="1"/>
  <c r="AU68" i="46"/>
  <c r="AU69" i="46" s="1"/>
  <c r="AL68" i="46"/>
  <c r="AL77" i="46" s="1"/>
  <c r="AD68" i="46"/>
  <c r="AD77" i="46" s="1"/>
  <c r="R68" i="46"/>
  <c r="R69" i="46" s="1"/>
  <c r="BM68" i="46"/>
  <c r="BM69" i="46" s="1"/>
  <c r="AQ68" i="46"/>
  <c r="AQ69" i="46" s="1"/>
  <c r="AI68" i="46"/>
  <c r="AI69" i="46" s="1"/>
  <c r="DB68" i="46"/>
  <c r="DB77" i="46" s="1"/>
  <c r="CW68" i="46"/>
  <c r="CW77" i="46" s="1"/>
  <c r="BO68" i="46"/>
  <c r="BO77" i="46" s="1"/>
  <c r="AC68" i="46"/>
  <c r="AC77" i="46" s="1"/>
  <c r="AG68" i="46"/>
  <c r="AG69" i="46" s="1"/>
  <c r="AS68" i="46"/>
  <c r="AS77" i="46" s="1"/>
  <c r="AT68" i="46"/>
  <c r="AT77" i="46" s="1"/>
  <c r="CE68" i="46"/>
  <c r="CE77" i="46" s="1"/>
  <c r="BU69" i="46"/>
  <c r="M68" i="46"/>
  <c r="M77" i="46" s="1"/>
  <c r="Z68" i="46"/>
  <c r="Z77" i="46" s="1"/>
  <c r="BK68" i="46"/>
  <c r="AM68" i="46"/>
  <c r="AM69" i="46" s="1"/>
  <c r="CB68" i="46"/>
  <c r="CB77" i="46" s="1"/>
  <c r="E68" i="46"/>
  <c r="E69" i="46" s="1"/>
  <c r="BH68" i="46"/>
  <c r="BH77" i="46" s="1"/>
  <c r="DR68" i="46"/>
  <c r="DR69" i="46" s="1"/>
  <c r="BJ68" i="46"/>
  <c r="BJ77" i="46" s="1"/>
  <c r="T68" i="46"/>
  <c r="T77" i="46" s="1"/>
  <c r="CS68" i="46"/>
  <c r="CS77" i="46" s="1"/>
  <c r="AJ77" i="46"/>
  <c r="BE68" i="46"/>
  <c r="BE69" i="46" s="1"/>
  <c r="AF68" i="46"/>
  <c r="AF77" i="46" s="1"/>
  <c r="BD68" i="46"/>
  <c r="BD77" i="46" s="1"/>
  <c r="DA68" i="46"/>
  <c r="DA77" i="46" s="1"/>
  <c r="F77" i="46"/>
  <c r="F82" i="46" s="1"/>
  <c r="U68" i="46"/>
  <c r="U77" i="46" s="1"/>
  <c r="CA77" i="46"/>
  <c r="V68" i="46"/>
  <c r="V77" i="46" s="1"/>
  <c r="CF68" i="46"/>
  <c r="CF77" i="46" s="1"/>
  <c r="BL68" i="46"/>
  <c r="BL77" i="46" s="1"/>
  <c r="BY66" i="46"/>
  <c r="BY77" i="46"/>
  <c r="BY69" i="46"/>
  <c r="DJ68" i="46"/>
  <c r="DJ77" i="46" s="1"/>
  <c r="DQ68" i="46"/>
  <c r="DQ69" i="46" s="1"/>
  <c r="DN68" i="46"/>
  <c r="DN77" i="46" s="1"/>
  <c r="CC68" i="46"/>
  <c r="CC69" i="46" s="1"/>
  <c r="AH68" i="46"/>
  <c r="AH69" i="46" s="1"/>
  <c r="N68" i="46"/>
  <c r="N69" i="46" s="1"/>
  <c r="CU68" i="46"/>
  <c r="CU69" i="46" s="1"/>
  <c r="DK68" i="46"/>
  <c r="DK77" i="46" s="1"/>
  <c r="X68" i="46"/>
  <c r="CT68" i="46"/>
  <c r="BZ68" i="46"/>
  <c r="BZ69" i="46" s="1"/>
  <c r="CO68" i="46"/>
  <c r="CO77" i="46" s="1"/>
  <c r="CN68" i="46"/>
  <c r="CN69" i="46" s="1"/>
  <c r="DD68" i="46"/>
  <c r="DD77" i="46" s="1"/>
  <c r="BQ68" i="46"/>
  <c r="BQ77" i="46" s="1"/>
  <c r="AZ68" i="46"/>
  <c r="AZ77" i="46" s="1"/>
  <c r="Q66" i="46"/>
  <c r="M52" i="45"/>
  <c r="Q77" i="46"/>
  <c r="CR68" i="46"/>
  <c r="CR69" i="46" s="1"/>
  <c r="BA68" i="46"/>
  <c r="AA68" i="46"/>
  <c r="AA77" i="46" s="1"/>
  <c r="AY68" i="46"/>
  <c r="AY77" i="46" s="1"/>
  <c r="S68" i="46"/>
  <c r="S77" i="46" s="1"/>
  <c r="CZ68" i="46"/>
  <c r="CZ69" i="46" s="1"/>
  <c r="DL68" i="46"/>
  <c r="DL77" i="46" s="1"/>
  <c r="W69" i="46"/>
  <c r="DG68" i="46"/>
  <c r="DG69" i="46" s="1"/>
  <c r="AK68" i="46"/>
  <c r="AK77" i="46" s="1"/>
  <c r="BX68" i="46"/>
  <c r="BX77" i="46" s="1"/>
  <c r="CK68" i="46"/>
  <c r="CK77" i="46" s="1"/>
  <c r="I77" i="46"/>
  <c r="CG68" i="46"/>
  <c r="CG77" i="46" s="1"/>
  <c r="CI68" i="46"/>
  <c r="CI77" i="46" s="1"/>
  <c r="F52" i="45"/>
  <c r="BV68" i="46"/>
  <c r="BV77" i="46" s="1"/>
  <c r="O68" i="46"/>
  <c r="O77" i="46" s="1"/>
  <c r="AV68" i="46"/>
  <c r="AV69" i="46" s="1"/>
  <c r="E52" i="45"/>
  <c r="DM68" i="46"/>
  <c r="DM69" i="46" s="1"/>
  <c r="DH68" i="46"/>
  <c r="DH77" i="46" s="1"/>
  <c r="AR68" i="46"/>
  <c r="AR77" i="46" s="1"/>
  <c r="G66" i="46"/>
  <c r="G68" i="46"/>
  <c r="J68" i="46"/>
  <c r="J69" i="46" s="1"/>
  <c r="AE68" i="46"/>
  <c r="AE77" i="46" s="1"/>
  <c r="CP68" i="46"/>
  <c r="CP77" i="46" s="1"/>
  <c r="AB68" i="46"/>
  <c r="AB77" i="46" s="1"/>
  <c r="G35" i="45"/>
  <c r="AP68" i="46"/>
  <c r="CM77" i="46"/>
  <c r="CM69" i="46"/>
  <c r="BS68" i="46"/>
  <c r="J52" i="45"/>
  <c r="AW68" i="46"/>
  <c r="BT77" i="46"/>
  <c r="BT69" i="46"/>
  <c r="K68" i="46"/>
  <c r="CL68" i="46"/>
  <c r="BP68" i="46"/>
  <c r="L52" i="45"/>
  <c r="F35" i="45"/>
  <c r="P68" i="46"/>
  <c r="DO68" i="46"/>
  <c r="BC68" i="46"/>
  <c r="DI68" i="46"/>
  <c r="D68" i="46"/>
  <c r="H68" i="46"/>
  <c r="K35" i="45"/>
  <c r="J35" i="45"/>
  <c r="W78" i="46"/>
  <c r="CX68" i="46"/>
  <c r="H35" i="45"/>
  <c r="D52" i="45"/>
  <c r="CD77" i="46"/>
  <c r="CD69" i="46"/>
  <c r="E35" i="45"/>
  <c r="BG68" i="46"/>
  <c r="CH68" i="46"/>
  <c r="K52" i="45"/>
  <c r="K53" i="45" s="1"/>
  <c r="AX68" i="46"/>
  <c r="DF68" i="46"/>
  <c r="M35" i="45"/>
  <c r="BW68" i="46"/>
  <c r="BF68" i="46"/>
  <c r="BI68" i="46"/>
  <c r="BB77" i="46"/>
  <c r="BB69" i="46"/>
  <c r="L35" i="45"/>
  <c r="DE68" i="46"/>
  <c r="DC68" i="46"/>
  <c r="BN68" i="46"/>
  <c r="AN68" i="46"/>
  <c r="G52" i="45"/>
  <c r="CY68" i="46"/>
  <c r="D35" i="45"/>
  <c r="H52" i="45"/>
  <c r="CV68" i="46"/>
  <c r="CJ68" i="46"/>
  <c r="DS77" i="46"/>
  <c r="DS69" i="46"/>
  <c r="DP77" i="46"/>
  <c r="DP69" i="46"/>
  <c r="I35" i="45"/>
  <c r="BU78" i="46"/>
  <c r="AO68" i="46"/>
  <c r="I52" i="45"/>
  <c r="BR68" i="46"/>
  <c r="CQ69" i="46" l="1"/>
  <c r="L54" i="45"/>
  <c r="L63" i="45" s="1"/>
  <c r="L53" i="45"/>
  <c r="M54" i="45"/>
  <c r="M63" i="45" s="1"/>
  <c r="M53" i="45"/>
  <c r="K54" i="45"/>
  <c r="K55" i="45" s="1"/>
  <c r="J54" i="45"/>
  <c r="J63" i="45" s="1"/>
  <c r="J53" i="45"/>
  <c r="I54" i="45"/>
  <c r="I55" i="45" s="1"/>
  <c r="I53" i="45"/>
  <c r="H54" i="45"/>
  <c r="H63" i="45" s="1"/>
  <c r="H53" i="45"/>
  <c r="G54" i="45"/>
  <c r="G55" i="45" s="1"/>
  <c r="G53" i="45"/>
  <c r="F54" i="45"/>
  <c r="F63" i="45" s="1"/>
  <c r="F53" i="45"/>
  <c r="E54" i="45"/>
  <c r="E56" i="45" s="1"/>
  <c r="E53" i="45"/>
  <c r="D54" i="45"/>
  <c r="D55" i="45" s="1"/>
  <c r="D53" i="45"/>
  <c r="L78" i="46"/>
  <c r="L69" i="46"/>
  <c r="L80" i="46"/>
  <c r="L84" i="46" s="1"/>
  <c r="W85" i="46"/>
  <c r="W91" i="46" s="1"/>
  <c r="AX41" i="30" s="1"/>
  <c r="W93" i="46"/>
  <c r="W94" i="46" s="1"/>
  <c r="AL69" i="46"/>
  <c r="BU85" i="46"/>
  <c r="BU91" i="46" s="1"/>
  <c r="CV41" i="30" s="1"/>
  <c r="BU93" i="46"/>
  <c r="BU94" i="46" s="1"/>
  <c r="Y69" i="46"/>
  <c r="Y78" i="46"/>
  <c r="W84" i="46"/>
  <c r="BU84" i="46"/>
  <c r="AS82" i="46"/>
  <c r="DL82" i="46"/>
  <c r="Q82" i="46"/>
  <c r="DN82" i="46"/>
  <c r="AJ82" i="46"/>
  <c r="CA82" i="46"/>
  <c r="CS82" i="46"/>
  <c r="AC82" i="46"/>
  <c r="AD82" i="46"/>
  <c r="I82" i="46"/>
  <c r="U82" i="46"/>
  <c r="T82" i="46"/>
  <c r="Z82" i="46"/>
  <c r="BO82" i="46"/>
  <c r="CB82" i="46"/>
  <c r="BJ82" i="46"/>
  <c r="CW82" i="46"/>
  <c r="BY82" i="46"/>
  <c r="DP80" i="46"/>
  <c r="DP82" i="46"/>
  <c r="BB80" i="46"/>
  <c r="BB82" i="46"/>
  <c r="AE80" i="46"/>
  <c r="AE82" i="46"/>
  <c r="CK80" i="46"/>
  <c r="CK82" i="46"/>
  <c r="AY80" i="46"/>
  <c r="AY82" i="46"/>
  <c r="AZ80" i="46"/>
  <c r="AZ82" i="46"/>
  <c r="DK80" i="46"/>
  <c r="DK82" i="46"/>
  <c r="M80" i="46"/>
  <c r="M82" i="46"/>
  <c r="BX80" i="46"/>
  <c r="BX82" i="46"/>
  <c r="AA80" i="46"/>
  <c r="AA82" i="46"/>
  <c r="BQ80" i="46"/>
  <c r="BQ82" i="46"/>
  <c r="DA80" i="46"/>
  <c r="DA82" i="46"/>
  <c r="DB80" i="46"/>
  <c r="DB82" i="46"/>
  <c r="Y80" i="46"/>
  <c r="Y82" i="46"/>
  <c r="DS80" i="46"/>
  <c r="DS82" i="46"/>
  <c r="O80" i="46"/>
  <c r="O82" i="46"/>
  <c r="AK80" i="46"/>
  <c r="AK82" i="46"/>
  <c r="DD80" i="46"/>
  <c r="DD82" i="46"/>
  <c r="BD80" i="46"/>
  <c r="BD82" i="46"/>
  <c r="BH80" i="46"/>
  <c r="BH82" i="46"/>
  <c r="CE80" i="46"/>
  <c r="CE82" i="46"/>
  <c r="CM80" i="46"/>
  <c r="CM82" i="46"/>
  <c r="BV80" i="46"/>
  <c r="BV82" i="46"/>
  <c r="BL80" i="46"/>
  <c r="BL82" i="46"/>
  <c r="AF80" i="46"/>
  <c r="AF82" i="46"/>
  <c r="AT80" i="46"/>
  <c r="AT82" i="46"/>
  <c r="CQ80" i="46"/>
  <c r="CQ82" i="46"/>
  <c r="BT80" i="46"/>
  <c r="BT82" i="46"/>
  <c r="CO80" i="46"/>
  <c r="CO82" i="46"/>
  <c r="CF80" i="46"/>
  <c r="CF82" i="46"/>
  <c r="AR80" i="46"/>
  <c r="AR82" i="46"/>
  <c r="CI80" i="46"/>
  <c r="CI82" i="46"/>
  <c r="V80" i="46"/>
  <c r="V82" i="46"/>
  <c r="CD80" i="46"/>
  <c r="CD82" i="46"/>
  <c r="AB80" i="46"/>
  <c r="AB82" i="46"/>
  <c r="DH80" i="46"/>
  <c r="DH82" i="46"/>
  <c r="CG80" i="46"/>
  <c r="CG82" i="46"/>
  <c r="CP80" i="46"/>
  <c r="CP82" i="46"/>
  <c r="S80" i="46"/>
  <c r="S82" i="46"/>
  <c r="DJ80" i="46"/>
  <c r="DJ82" i="46"/>
  <c r="AL80" i="46"/>
  <c r="AL82" i="46"/>
  <c r="CB80" i="46"/>
  <c r="AS80" i="46"/>
  <c r="DL80" i="46"/>
  <c r="Q80" i="46"/>
  <c r="DN80" i="46"/>
  <c r="AJ80" i="46"/>
  <c r="CA78" i="46"/>
  <c r="CA80" i="46"/>
  <c r="CS80" i="46"/>
  <c r="AC80" i="46"/>
  <c r="AD80" i="46"/>
  <c r="I80" i="46"/>
  <c r="U78" i="46"/>
  <c r="U80" i="46"/>
  <c r="T78" i="46"/>
  <c r="T80" i="46"/>
  <c r="Z80" i="46"/>
  <c r="BO80" i="46"/>
  <c r="F78" i="46"/>
  <c r="F80" i="46"/>
  <c r="BJ80" i="46"/>
  <c r="CW80" i="46"/>
  <c r="BY78" i="46"/>
  <c r="BY80" i="46"/>
  <c r="AU77" i="46"/>
  <c r="AU78" i="46" s="1"/>
  <c r="R77" i="46"/>
  <c r="R78" i="46" s="1"/>
  <c r="AD78" i="46"/>
  <c r="BM77" i="46"/>
  <c r="AD69" i="46"/>
  <c r="AQ77" i="46"/>
  <c r="CW78" i="46"/>
  <c r="DB69" i="46"/>
  <c r="BO78" i="46"/>
  <c r="CW69" i="46"/>
  <c r="AI77" i="46"/>
  <c r="CB78" i="46"/>
  <c r="AC78" i="46"/>
  <c r="AG77" i="46"/>
  <c r="AS78" i="46"/>
  <c r="BO69" i="46"/>
  <c r="CE69" i="46"/>
  <c r="AT69" i="46"/>
  <c r="AC69" i="46"/>
  <c r="Z78" i="46"/>
  <c r="AS69" i="46"/>
  <c r="CB69" i="46"/>
  <c r="DR77" i="46"/>
  <c r="AJ78" i="46"/>
  <c r="M69" i="46"/>
  <c r="CO69" i="46"/>
  <c r="Z69" i="46"/>
  <c r="BD69" i="46"/>
  <c r="E77" i="46"/>
  <c r="E82" i="46" s="1"/>
  <c r="AF69" i="46"/>
  <c r="CS69" i="46"/>
  <c r="BH69" i="46"/>
  <c r="AM77" i="46"/>
  <c r="BJ69" i="46"/>
  <c r="BJ78" i="46"/>
  <c r="T69" i="46"/>
  <c r="BK77" i="46"/>
  <c r="BK69" i="46"/>
  <c r="CF69" i="46"/>
  <c r="BE77" i="46"/>
  <c r="CS78" i="46"/>
  <c r="DQ77" i="46"/>
  <c r="BL69" i="46"/>
  <c r="AH77" i="46"/>
  <c r="DA69" i="46"/>
  <c r="N77" i="46"/>
  <c r="V69" i="46"/>
  <c r="U69" i="46"/>
  <c r="DJ69" i="46"/>
  <c r="BZ77" i="46"/>
  <c r="CC77" i="46"/>
  <c r="DN78" i="46"/>
  <c r="DN69" i="46"/>
  <c r="CU77" i="46"/>
  <c r="DL78" i="46"/>
  <c r="DK69" i="46"/>
  <c r="AZ69" i="46"/>
  <c r="CI69" i="46"/>
  <c r="X77" i="46"/>
  <c r="X69" i="46"/>
  <c r="BQ69" i="46"/>
  <c r="CR77" i="46"/>
  <c r="DD69" i="46"/>
  <c r="CT69" i="46"/>
  <c r="CT77" i="46"/>
  <c r="CN77" i="46"/>
  <c r="BX69" i="46"/>
  <c r="DG77" i="46"/>
  <c r="AK69" i="46"/>
  <c r="Q78" i="46"/>
  <c r="AR69" i="46"/>
  <c r="CZ77" i="46"/>
  <c r="AY69" i="46"/>
  <c r="S69" i="46"/>
  <c r="DL69" i="46"/>
  <c r="BA69" i="46"/>
  <c r="BA77" i="46"/>
  <c r="CG69" i="46"/>
  <c r="AA69" i="46"/>
  <c r="AV77" i="46"/>
  <c r="J77" i="46"/>
  <c r="I78" i="46"/>
  <c r="O69" i="46"/>
  <c r="CK69" i="46"/>
  <c r="BV69" i="46"/>
  <c r="AB69" i="46"/>
  <c r="DM77" i="46"/>
  <c r="CP69" i="46"/>
  <c r="DH69" i="46"/>
  <c r="AE69" i="46"/>
  <c r="G69" i="46"/>
  <c r="G77" i="46"/>
  <c r="BL78" i="46"/>
  <c r="DP78" i="46"/>
  <c r="DH78" i="46"/>
  <c r="CH77" i="46"/>
  <c r="CH69" i="46"/>
  <c r="AB78" i="46"/>
  <c r="O78" i="46"/>
  <c r="DO69" i="46"/>
  <c r="DO77" i="46"/>
  <c r="CQ78" i="46"/>
  <c r="CL77" i="46"/>
  <c r="CL69" i="46"/>
  <c r="AW77" i="46"/>
  <c r="AW69" i="46"/>
  <c r="S78" i="46"/>
  <c r="CG78" i="46"/>
  <c r="K69" i="46"/>
  <c r="K77" i="46"/>
  <c r="CO78" i="46"/>
  <c r="BR77" i="46"/>
  <c r="BR69" i="46"/>
  <c r="CV77" i="46"/>
  <c r="CV69" i="46"/>
  <c r="CE78" i="46"/>
  <c r="DC69" i="46"/>
  <c r="DC77" i="46"/>
  <c r="M78" i="46"/>
  <c r="V78" i="46"/>
  <c r="DK78" i="46"/>
  <c r="BS77" i="46"/>
  <c r="BS69" i="46"/>
  <c r="CF78" i="46"/>
  <c r="CJ77" i="46"/>
  <c r="CJ69" i="46"/>
  <c r="AA78" i="46"/>
  <c r="DE77" i="46"/>
  <c r="DE69" i="46"/>
  <c r="CK78" i="46"/>
  <c r="BB78" i="46"/>
  <c r="BV78" i="46"/>
  <c r="DF77" i="46"/>
  <c r="DF69" i="46"/>
  <c r="CI78" i="46"/>
  <c r="P77" i="46"/>
  <c r="P69" i="46"/>
  <c r="DD78" i="46"/>
  <c r="AP77" i="46"/>
  <c r="AP69" i="46"/>
  <c r="DA78" i="46"/>
  <c r="BD78" i="46"/>
  <c r="BW77" i="46"/>
  <c r="BW69" i="46"/>
  <c r="DJ78" i="46"/>
  <c r="CM78" i="46"/>
  <c r="BN77" i="46"/>
  <c r="BN69" i="46"/>
  <c r="BG77" i="46"/>
  <c r="BG69" i="46"/>
  <c r="AT78" i="46"/>
  <c r="CX77" i="46"/>
  <c r="CX69" i="46"/>
  <c r="BX78" i="46"/>
  <c r="D77" i="46"/>
  <c r="D69" i="46"/>
  <c r="AE78" i="46"/>
  <c r="AY78" i="46"/>
  <c r="AF78" i="46"/>
  <c r="BQ78" i="46"/>
  <c r="AR78" i="46"/>
  <c r="AO77" i="46"/>
  <c r="AO69" i="46"/>
  <c r="DS78" i="46"/>
  <c r="CY77" i="46"/>
  <c r="CY69" i="46"/>
  <c r="AL78" i="46"/>
  <c r="AN69" i="46"/>
  <c r="AN77" i="46"/>
  <c r="BI77" i="46"/>
  <c r="BI69" i="46"/>
  <c r="AX77" i="46"/>
  <c r="AX69" i="46"/>
  <c r="AK78" i="46"/>
  <c r="H77" i="46"/>
  <c r="H69" i="46"/>
  <c r="DI77" i="46"/>
  <c r="DI69" i="46"/>
  <c r="BH78" i="46"/>
  <c r="CD78" i="46"/>
  <c r="CP78" i="46"/>
  <c r="AZ78" i="46"/>
  <c r="BF77" i="46"/>
  <c r="BF69" i="46"/>
  <c r="BC69" i="46"/>
  <c r="BC77" i="46"/>
  <c r="BP77" i="46"/>
  <c r="BP69" i="46"/>
  <c r="BT78" i="46"/>
  <c r="DB78" i="46"/>
  <c r="L55" i="45" l="1"/>
  <c r="BO93" i="46"/>
  <c r="BO94" i="46" s="1"/>
  <c r="H56" i="45"/>
  <c r="H55" i="45"/>
  <c r="L56" i="45"/>
  <c r="J55" i="45"/>
  <c r="G63" i="45"/>
  <c r="G64" i="45" s="1"/>
  <c r="G56" i="45"/>
  <c r="M56" i="45"/>
  <c r="M55" i="45"/>
  <c r="K63" i="45"/>
  <c r="K68" i="45" s="1"/>
  <c r="K56" i="45"/>
  <c r="F55" i="45"/>
  <c r="F56" i="45"/>
  <c r="I63" i="45"/>
  <c r="I68" i="45" s="1"/>
  <c r="J56" i="45"/>
  <c r="I56" i="45"/>
  <c r="E55" i="45"/>
  <c r="E63" i="45"/>
  <c r="E64" i="45" s="1"/>
  <c r="D56" i="45"/>
  <c r="D63" i="45"/>
  <c r="D68" i="45" s="1"/>
  <c r="T93" i="46"/>
  <c r="T94" i="46" s="1"/>
  <c r="L93" i="46"/>
  <c r="L94" i="46" s="1"/>
  <c r="L85" i="46"/>
  <c r="L91" i="46" s="1"/>
  <c r="AM41" i="30" s="1"/>
  <c r="Z93" i="46"/>
  <c r="Z94" i="46" s="1"/>
  <c r="AJ93" i="46"/>
  <c r="AJ94" i="46" s="1"/>
  <c r="CA93" i="46"/>
  <c r="CA94" i="46" s="1"/>
  <c r="CS93" i="46"/>
  <c r="CS94" i="46" s="1"/>
  <c r="AC93" i="46"/>
  <c r="AC94" i="46" s="1"/>
  <c r="CP93" i="46"/>
  <c r="CP94" i="46" s="1"/>
  <c r="CD93" i="46"/>
  <c r="CD94" i="46" s="1"/>
  <c r="CF93" i="46"/>
  <c r="CF94" i="46" s="1"/>
  <c r="AT93" i="46"/>
  <c r="AT94" i="46" s="1"/>
  <c r="CM93" i="46"/>
  <c r="CM94" i="46" s="1"/>
  <c r="BY93" i="46"/>
  <c r="BY94" i="46" s="1"/>
  <c r="I93" i="46"/>
  <c r="I94" i="46" s="1"/>
  <c r="DL93" i="46"/>
  <c r="DL94" i="46" s="1"/>
  <c r="DD93" i="46"/>
  <c r="DD94" i="46" s="1"/>
  <c r="CW93" i="46"/>
  <c r="CW94" i="46" s="1"/>
  <c r="AD93" i="46"/>
  <c r="AD94" i="46" s="1"/>
  <c r="AS93" i="46"/>
  <c r="AS94" i="46" s="1"/>
  <c r="Y93" i="46"/>
  <c r="Y94" i="46" s="1"/>
  <c r="S93" i="46"/>
  <c r="S94" i="46" s="1"/>
  <c r="AA93" i="46"/>
  <c r="AA94" i="46" s="1"/>
  <c r="U93" i="46"/>
  <c r="U94" i="46" s="1"/>
  <c r="Q93" i="46"/>
  <c r="Q94" i="46" s="1"/>
  <c r="AB93" i="46"/>
  <c r="AB94" i="46" s="1"/>
  <c r="AR93" i="46"/>
  <c r="AR94" i="46" s="1"/>
  <c r="CQ93" i="46"/>
  <c r="CQ94" i="46" s="1"/>
  <c r="BQ93" i="46"/>
  <c r="BQ94" i="46" s="1"/>
  <c r="AL85" i="46"/>
  <c r="AL91" i="46" s="1"/>
  <c r="BM41" i="30" s="1"/>
  <c r="AL93" i="46"/>
  <c r="AL94" i="46" s="1"/>
  <c r="CG85" i="46"/>
  <c r="CG91" i="46" s="1"/>
  <c r="DH41" i="30" s="1"/>
  <c r="CG93" i="46"/>
  <c r="CG94" i="46" s="1"/>
  <c r="V85" i="46"/>
  <c r="V91" i="46" s="1"/>
  <c r="AW41" i="30" s="1"/>
  <c r="V93" i="46"/>
  <c r="V94" i="46" s="1"/>
  <c r="CO85" i="46"/>
  <c r="CO91" i="46" s="1"/>
  <c r="DP41" i="30" s="1"/>
  <c r="CO93" i="46"/>
  <c r="CO94" i="46" s="1"/>
  <c r="AF85" i="46"/>
  <c r="AF91" i="46" s="1"/>
  <c r="BG41" i="30" s="1"/>
  <c r="AF93" i="46"/>
  <c r="AF94" i="46" s="1"/>
  <c r="CE85" i="46"/>
  <c r="CE91" i="46" s="1"/>
  <c r="DF41" i="30" s="1"/>
  <c r="CE93" i="46"/>
  <c r="CE94" i="46" s="1"/>
  <c r="AK85" i="46"/>
  <c r="AK91" i="46" s="1"/>
  <c r="BL41" i="30" s="1"/>
  <c r="AK93" i="46"/>
  <c r="AK94" i="46" s="1"/>
  <c r="DB85" i="46"/>
  <c r="DB91" i="46" s="1"/>
  <c r="DB93" i="46"/>
  <c r="DB94" i="46" s="1"/>
  <c r="BX85" i="46"/>
  <c r="BX91" i="46" s="1"/>
  <c r="CY41" i="30" s="1"/>
  <c r="BX93" i="46"/>
  <c r="BX94" i="46" s="1"/>
  <c r="AY85" i="46"/>
  <c r="AY91" i="46" s="1"/>
  <c r="BZ41" i="30" s="1"/>
  <c r="AY93" i="46"/>
  <c r="AY94" i="46" s="1"/>
  <c r="DP85" i="46"/>
  <c r="DP91" i="46" s="1"/>
  <c r="DP93" i="46"/>
  <c r="DP94" i="46" s="1"/>
  <c r="BJ85" i="46"/>
  <c r="BJ91" i="46" s="1"/>
  <c r="CK41" i="30" s="1"/>
  <c r="BJ93" i="46"/>
  <c r="BJ94" i="46" s="1"/>
  <c r="DN85" i="46"/>
  <c r="DN91" i="46" s="1"/>
  <c r="DN93" i="46"/>
  <c r="DN94" i="46" s="1"/>
  <c r="DJ85" i="46"/>
  <c r="DJ91" i="46" s="1"/>
  <c r="DJ93" i="46"/>
  <c r="DJ94" i="46" s="1"/>
  <c r="DH85" i="46"/>
  <c r="DH91" i="46" s="1"/>
  <c r="DH93" i="46"/>
  <c r="DH94" i="46" s="1"/>
  <c r="CI85" i="46"/>
  <c r="CI91" i="46" s="1"/>
  <c r="DJ41" i="30" s="1"/>
  <c r="CI93" i="46"/>
  <c r="CI94" i="46" s="1"/>
  <c r="BT85" i="46"/>
  <c r="BT91" i="46" s="1"/>
  <c r="CU41" i="30" s="1"/>
  <c r="BT93" i="46"/>
  <c r="BT94" i="46" s="1"/>
  <c r="BL85" i="46"/>
  <c r="BL91" i="46" s="1"/>
  <c r="CM41" i="30" s="1"/>
  <c r="BL93" i="46"/>
  <c r="BL94" i="46" s="1"/>
  <c r="BH85" i="46"/>
  <c r="BH91" i="46" s="1"/>
  <c r="CI41" i="30" s="1"/>
  <c r="BH93" i="46"/>
  <c r="BH94" i="46" s="1"/>
  <c r="O85" i="46"/>
  <c r="O91" i="46" s="1"/>
  <c r="AP41" i="30" s="1"/>
  <c r="O93" i="46"/>
  <c r="O94" i="46" s="1"/>
  <c r="DA85" i="46"/>
  <c r="DA91" i="46" s="1"/>
  <c r="DA93" i="46"/>
  <c r="DA94" i="46" s="1"/>
  <c r="M93" i="46"/>
  <c r="M94" i="46" s="1"/>
  <c r="CK85" i="46"/>
  <c r="CK91" i="46" s="1"/>
  <c r="DL41" i="30" s="1"/>
  <c r="CK93" i="46"/>
  <c r="CK94" i="46" s="1"/>
  <c r="BV85" i="46"/>
  <c r="BV91" i="46" s="1"/>
  <c r="CW41" i="30" s="1"/>
  <c r="BV93" i="46"/>
  <c r="BV94" i="46" s="1"/>
  <c r="BD85" i="46"/>
  <c r="BD91" i="46" s="1"/>
  <c r="CE41" i="30" s="1"/>
  <c r="BD93" i="46"/>
  <c r="BD94" i="46" s="1"/>
  <c r="DS85" i="46"/>
  <c r="DS91" i="46" s="1"/>
  <c r="DS93" i="46"/>
  <c r="DS94" i="46" s="1"/>
  <c r="DK85" i="46"/>
  <c r="DK91" i="46" s="1"/>
  <c r="DK93" i="46"/>
  <c r="DK94" i="46" s="1"/>
  <c r="AE85" i="46"/>
  <c r="AE91" i="46" s="1"/>
  <c r="BF41" i="30" s="1"/>
  <c r="AE93" i="46"/>
  <c r="AE94" i="46" s="1"/>
  <c r="CB85" i="46"/>
  <c r="CB91" i="46" s="1"/>
  <c r="DC41" i="30" s="1"/>
  <c r="CB93" i="46"/>
  <c r="CB94" i="46" s="1"/>
  <c r="AZ93" i="46"/>
  <c r="AZ94" i="46" s="1"/>
  <c r="BB85" i="46"/>
  <c r="BB91" i="46" s="1"/>
  <c r="CC41" i="30" s="1"/>
  <c r="BB93" i="46"/>
  <c r="BB94" i="46" s="1"/>
  <c r="F85" i="46"/>
  <c r="F91" i="46" s="1"/>
  <c r="AG41" i="30" s="1"/>
  <c r="F93" i="46"/>
  <c r="F94" i="46" s="1"/>
  <c r="DS84" i="46"/>
  <c r="BY84" i="46"/>
  <c r="BY85" i="46"/>
  <c r="BY91" i="46" s="1"/>
  <c r="CZ41" i="30" s="1"/>
  <c r="BO84" i="46"/>
  <c r="BO85" i="46"/>
  <c r="BO91" i="46" s="1"/>
  <c r="CP41" i="30" s="1"/>
  <c r="I84" i="46"/>
  <c r="I85" i="46"/>
  <c r="I91" i="46" s="1"/>
  <c r="AJ41" i="30" s="1"/>
  <c r="CA84" i="46"/>
  <c r="CA85" i="46"/>
  <c r="CA91" i="46" s="1"/>
  <c r="DB41" i="30" s="1"/>
  <c r="DL84" i="46"/>
  <c r="DL85" i="46"/>
  <c r="DL91" i="46" s="1"/>
  <c r="O84" i="46"/>
  <c r="M84" i="46"/>
  <c r="M85" i="46"/>
  <c r="M91" i="46" s="1"/>
  <c r="AN41" i="30" s="1"/>
  <c r="CW84" i="46"/>
  <c r="CW85" i="46"/>
  <c r="CW91" i="46" s="1"/>
  <c r="DX41" i="30" s="1"/>
  <c r="Z84" i="46"/>
  <c r="Z85" i="46"/>
  <c r="Z91" i="46" s="1"/>
  <c r="BA41" i="30" s="1"/>
  <c r="AD84" i="46"/>
  <c r="AD85" i="46"/>
  <c r="AD91" i="46" s="1"/>
  <c r="BE41" i="30" s="1"/>
  <c r="AJ84" i="46"/>
  <c r="AJ85" i="46"/>
  <c r="AJ91" i="46" s="1"/>
  <c r="BK41" i="30" s="1"/>
  <c r="AS84" i="46"/>
  <c r="AS85" i="46"/>
  <c r="AS91" i="46" s="1"/>
  <c r="BT41" i="30" s="1"/>
  <c r="S84" i="46"/>
  <c r="S85" i="46"/>
  <c r="S91" i="46" s="1"/>
  <c r="AT41" i="30" s="1"/>
  <c r="AB84" i="46"/>
  <c r="AB85" i="46"/>
  <c r="AB91" i="46" s="1"/>
  <c r="BC41" i="30" s="1"/>
  <c r="AR84" i="46"/>
  <c r="AR85" i="46"/>
  <c r="AR91" i="46" s="1"/>
  <c r="BS41" i="30" s="1"/>
  <c r="CQ84" i="46"/>
  <c r="CQ85" i="46"/>
  <c r="CQ91" i="46" s="1"/>
  <c r="DR41" i="30" s="1"/>
  <c r="BQ84" i="46"/>
  <c r="BQ85" i="46"/>
  <c r="BQ91" i="46" s="1"/>
  <c r="CR41" i="30" s="1"/>
  <c r="T84" i="46"/>
  <c r="T85" i="46"/>
  <c r="T91" i="46" s="1"/>
  <c r="AU41" i="30" s="1"/>
  <c r="AC84" i="46"/>
  <c r="AC85" i="46"/>
  <c r="AC91" i="46" s="1"/>
  <c r="BD41" i="30" s="1"/>
  <c r="DK84" i="46"/>
  <c r="CP84" i="46"/>
  <c r="CP85" i="46"/>
  <c r="CP91" i="46" s="1"/>
  <c r="DQ41" i="30" s="1"/>
  <c r="CD84" i="46"/>
  <c r="CD85" i="46"/>
  <c r="CD91" i="46" s="1"/>
  <c r="DE41" i="30" s="1"/>
  <c r="CF84" i="46"/>
  <c r="CF85" i="46"/>
  <c r="CF91" i="46" s="1"/>
  <c r="DG41" i="30" s="1"/>
  <c r="AT84" i="46"/>
  <c r="AT85" i="46"/>
  <c r="AT91" i="46" s="1"/>
  <c r="BU41" i="30" s="1"/>
  <c r="CM84" i="46"/>
  <c r="CM85" i="46"/>
  <c r="CM91" i="46" s="1"/>
  <c r="DN41" i="30" s="1"/>
  <c r="DD84" i="46"/>
  <c r="DD85" i="46"/>
  <c r="DD91" i="46" s="1"/>
  <c r="Y84" i="46"/>
  <c r="Y85" i="46"/>
  <c r="Y91" i="46" s="1"/>
  <c r="AZ41" i="30" s="1"/>
  <c r="AA84" i="46"/>
  <c r="AA85" i="46"/>
  <c r="AA91" i="46" s="1"/>
  <c r="BB41" i="30" s="1"/>
  <c r="AZ84" i="46"/>
  <c r="AZ85" i="46"/>
  <c r="AZ91" i="46" s="1"/>
  <c r="CA41" i="30" s="1"/>
  <c r="CB84" i="46"/>
  <c r="U84" i="46"/>
  <c r="U85" i="46"/>
  <c r="U91" i="46" s="1"/>
  <c r="AV41" i="30" s="1"/>
  <c r="CS84" i="46"/>
  <c r="CS85" i="46"/>
  <c r="CS91" i="46" s="1"/>
  <c r="DT41" i="30" s="1"/>
  <c r="Q84" i="46"/>
  <c r="Q85" i="46"/>
  <c r="Q91" i="46" s="1"/>
  <c r="AR41" i="30" s="1"/>
  <c r="AL84" i="46"/>
  <c r="CG84" i="46"/>
  <c r="V84" i="46"/>
  <c r="CO84" i="46"/>
  <c r="AF84" i="46"/>
  <c r="CE84" i="46"/>
  <c r="AK84" i="46"/>
  <c r="DB84" i="46"/>
  <c r="BX84" i="46"/>
  <c r="AY84" i="46"/>
  <c r="DP84" i="46"/>
  <c r="DJ84" i="46"/>
  <c r="DH84" i="46"/>
  <c r="CI84" i="46"/>
  <c r="BT84" i="46"/>
  <c r="BL84" i="46"/>
  <c r="BH84" i="46"/>
  <c r="DA84" i="46"/>
  <c r="CK84" i="46"/>
  <c r="BV84" i="46"/>
  <c r="BD84" i="46"/>
  <c r="AE84" i="46"/>
  <c r="BJ84" i="46"/>
  <c r="DN84" i="46"/>
  <c r="BB84" i="46"/>
  <c r="CN82" i="46"/>
  <c r="CC82" i="46"/>
  <c r="J82" i="46"/>
  <c r="BZ82" i="46"/>
  <c r="AH82" i="46"/>
  <c r="DR82" i="46"/>
  <c r="AV82" i="46"/>
  <c r="CZ82" i="46"/>
  <c r="AG82" i="46"/>
  <c r="AQ82" i="46"/>
  <c r="DM82" i="46"/>
  <c r="DQ82" i="46"/>
  <c r="CR82" i="46"/>
  <c r="CU82" i="46"/>
  <c r="BM82" i="46"/>
  <c r="BE82" i="46"/>
  <c r="AM82" i="46"/>
  <c r="AI82" i="46"/>
  <c r="AU82" i="46"/>
  <c r="DG82" i="46"/>
  <c r="N82" i="46"/>
  <c r="K80" i="46"/>
  <c r="K82" i="46"/>
  <c r="BP80" i="46"/>
  <c r="BP82" i="46"/>
  <c r="H80" i="46"/>
  <c r="H82" i="46"/>
  <c r="CY80" i="46"/>
  <c r="CY82" i="46"/>
  <c r="BN80" i="46"/>
  <c r="BN82" i="46"/>
  <c r="CL80" i="46"/>
  <c r="CL82" i="46"/>
  <c r="BI80" i="46"/>
  <c r="BI82" i="46"/>
  <c r="P80" i="46"/>
  <c r="P82" i="46"/>
  <c r="CJ80" i="46"/>
  <c r="CJ82" i="46"/>
  <c r="CV80" i="46"/>
  <c r="CV82" i="46"/>
  <c r="CH80" i="46"/>
  <c r="CH82" i="46"/>
  <c r="BA80" i="46"/>
  <c r="BA82" i="46"/>
  <c r="DO80" i="46"/>
  <c r="DO82" i="46"/>
  <c r="G80" i="46"/>
  <c r="G82" i="46"/>
  <c r="R80" i="46"/>
  <c r="R82" i="46"/>
  <c r="DI80" i="46"/>
  <c r="DI82" i="46"/>
  <c r="BC80" i="46"/>
  <c r="BC82" i="46"/>
  <c r="AN80" i="46"/>
  <c r="AN82" i="46"/>
  <c r="BF80" i="46"/>
  <c r="BF82" i="46"/>
  <c r="AO80" i="46"/>
  <c r="AO82" i="46"/>
  <c r="BR80" i="46"/>
  <c r="BR82" i="46"/>
  <c r="X80" i="46"/>
  <c r="X82" i="46"/>
  <c r="DC80" i="46"/>
  <c r="DC82" i="46"/>
  <c r="BK80" i="46"/>
  <c r="BK82" i="46"/>
  <c r="AX80" i="46"/>
  <c r="AX82" i="46"/>
  <c r="CX80" i="46"/>
  <c r="CX82" i="46"/>
  <c r="BG80" i="46"/>
  <c r="BG82" i="46"/>
  <c r="BW80" i="46"/>
  <c r="BW82" i="46"/>
  <c r="AP80" i="46"/>
  <c r="AP82" i="46"/>
  <c r="DF80" i="46"/>
  <c r="DF82" i="46"/>
  <c r="DE80" i="46"/>
  <c r="DE82" i="46"/>
  <c r="BS80" i="46"/>
  <c r="BS82" i="46"/>
  <c r="AW80" i="46"/>
  <c r="AW82" i="46"/>
  <c r="CT80" i="46"/>
  <c r="CT82" i="46"/>
  <c r="D80" i="46"/>
  <c r="D82" i="46"/>
  <c r="CN78" i="46"/>
  <c r="CN80" i="46"/>
  <c r="CC78" i="46"/>
  <c r="CC80" i="46"/>
  <c r="J78" i="46"/>
  <c r="J80" i="46"/>
  <c r="AV80" i="46"/>
  <c r="CZ80" i="46"/>
  <c r="E80" i="46"/>
  <c r="AG78" i="46"/>
  <c r="AG80" i="46"/>
  <c r="AQ80" i="46"/>
  <c r="AH80" i="46"/>
  <c r="DM80" i="46"/>
  <c r="DQ80" i="46"/>
  <c r="CR80" i="46"/>
  <c r="CU80" i="46"/>
  <c r="BM78" i="46"/>
  <c r="BM80" i="46"/>
  <c r="BZ80" i="46"/>
  <c r="BE80" i="46"/>
  <c r="BE93" i="46" s="1"/>
  <c r="BE94" i="46" s="1"/>
  <c r="AM80" i="46"/>
  <c r="AI80" i="46"/>
  <c r="DG78" i="46"/>
  <c r="DG80" i="46"/>
  <c r="DG93" i="46" s="1"/>
  <c r="DG94" i="46" s="1"/>
  <c r="N80" i="46"/>
  <c r="N93" i="46" s="1"/>
  <c r="N94" i="46" s="1"/>
  <c r="DR80" i="46"/>
  <c r="AU80" i="46"/>
  <c r="AQ78" i="46"/>
  <c r="AI78" i="46"/>
  <c r="DR78" i="46"/>
  <c r="BE78" i="46"/>
  <c r="N78" i="46"/>
  <c r="DQ78" i="46"/>
  <c r="E78" i="46"/>
  <c r="AH78" i="46"/>
  <c r="AM78" i="46"/>
  <c r="BZ78" i="46"/>
  <c r="BK78" i="46"/>
  <c r="CU78" i="46"/>
  <c r="X78" i="46"/>
  <c r="CR78" i="46"/>
  <c r="CT78" i="46"/>
  <c r="CZ78" i="46"/>
  <c r="AV78" i="46"/>
  <c r="DM78" i="46"/>
  <c r="BA78" i="46"/>
  <c r="G78" i="46"/>
  <c r="BC78" i="46"/>
  <c r="AN78" i="46"/>
  <c r="L66" i="45"/>
  <c r="L71" i="45" s="1"/>
  <c r="L64" i="45"/>
  <c r="L68" i="45"/>
  <c r="DE78" i="46"/>
  <c r="BS78" i="46"/>
  <c r="BR78" i="46"/>
  <c r="DI78" i="46"/>
  <c r="BG78" i="46"/>
  <c r="CV78" i="46"/>
  <c r="M64" i="45"/>
  <c r="M68" i="45"/>
  <c r="M66" i="45"/>
  <c r="M71" i="45" s="1"/>
  <c r="DC78" i="46"/>
  <c r="AO78" i="46"/>
  <c r="DF78" i="46"/>
  <c r="BN78" i="46"/>
  <c r="CY78" i="46"/>
  <c r="CX78" i="46"/>
  <c r="BW78" i="46"/>
  <c r="P78" i="46"/>
  <c r="CJ78" i="46"/>
  <c r="CH78" i="46"/>
  <c r="J68" i="45"/>
  <c r="J66" i="45"/>
  <c r="J71" i="45" s="1"/>
  <c r="J64" i="45"/>
  <c r="AX78" i="46"/>
  <c r="H78" i="46"/>
  <c r="K78" i="46"/>
  <c r="DO78" i="46"/>
  <c r="D78" i="46"/>
  <c r="CL78" i="46"/>
  <c r="BF78" i="46"/>
  <c r="BP78" i="46"/>
  <c r="BI78" i="46"/>
  <c r="F66" i="45"/>
  <c r="F71" i="45" s="1"/>
  <c r="F64" i="45"/>
  <c r="F68" i="45"/>
  <c r="AP78" i="46"/>
  <c r="AW78" i="46"/>
  <c r="H64" i="45"/>
  <c r="H68" i="45"/>
  <c r="H66" i="45"/>
  <c r="H71" i="45" s="1"/>
  <c r="AI93" i="46" l="1"/>
  <c r="AI94" i="46" s="1"/>
  <c r="G68" i="45"/>
  <c r="K66" i="45"/>
  <c r="K71" i="45" s="1"/>
  <c r="K79" i="45" s="1"/>
  <c r="K64" i="45"/>
  <c r="G66" i="45"/>
  <c r="G71" i="45" s="1"/>
  <c r="G72" i="45" s="1"/>
  <c r="I66" i="45"/>
  <c r="I71" i="45" s="1"/>
  <c r="I79" i="45" s="1"/>
  <c r="I64" i="45"/>
  <c r="E68" i="45"/>
  <c r="E66" i="45"/>
  <c r="E71" i="45" s="1"/>
  <c r="E79" i="45" s="1"/>
  <c r="D64" i="45"/>
  <c r="D66" i="45"/>
  <c r="D71" i="45" s="1"/>
  <c r="D79" i="45" s="1"/>
  <c r="CR93" i="46"/>
  <c r="CR94" i="46" s="1"/>
  <c r="DQ93" i="46"/>
  <c r="DQ94" i="46" s="1"/>
  <c r="DM93" i="46"/>
  <c r="DM94" i="46" s="1"/>
  <c r="J93" i="46"/>
  <c r="J94" i="46" s="1"/>
  <c r="AU93" i="46"/>
  <c r="AU94" i="46" s="1"/>
  <c r="BZ93" i="46"/>
  <c r="BZ94" i="46" s="1"/>
  <c r="CU93" i="46"/>
  <c r="CU94" i="46" s="1"/>
  <c r="AG93" i="46"/>
  <c r="AG94" i="46" s="1"/>
  <c r="AQ93" i="46"/>
  <c r="AQ94" i="46" s="1"/>
  <c r="CC93" i="46"/>
  <c r="CC94" i="46" s="1"/>
  <c r="CN93" i="46"/>
  <c r="CN94" i="46" s="1"/>
  <c r="BM93" i="46"/>
  <c r="BM94" i="46" s="1"/>
  <c r="AH93" i="46"/>
  <c r="AH94" i="46" s="1"/>
  <c r="CT85" i="46"/>
  <c r="CT91" i="46" s="1"/>
  <c r="DU41" i="30" s="1"/>
  <c r="CT93" i="46"/>
  <c r="CT94" i="46" s="1"/>
  <c r="AM85" i="46"/>
  <c r="AM91" i="46" s="1"/>
  <c r="BN41" i="30" s="1"/>
  <c r="AM93" i="46"/>
  <c r="AM94" i="46" s="1"/>
  <c r="BP85" i="46"/>
  <c r="BP91" i="46" s="1"/>
  <c r="CQ41" i="30" s="1"/>
  <c r="BP93" i="46"/>
  <c r="BP94" i="46" s="1"/>
  <c r="DF85" i="46"/>
  <c r="DF91" i="46" s="1"/>
  <c r="DF93" i="46"/>
  <c r="DF94" i="46" s="1"/>
  <c r="CV85" i="46"/>
  <c r="CV91" i="46" s="1"/>
  <c r="DW41" i="30" s="1"/>
  <c r="CV93" i="46"/>
  <c r="CV94" i="46" s="1"/>
  <c r="X85" i="46"/>
  <c r="X91" i="46" s="1"/>
  <c r="AY41" i="30" s="1"/>
  <c r="X93" i="46"/>
  <c r="X94" i="46" s="1"/>
  <c r="DR85" i="46"/>
  <c r="DR91" i="46" s="1"/>
  <c r="DR93" i="46"/>
  <c r="DR94" i="46" s="1"/>
  <c r="AW93" i="46"/>
  <c r="AW94" i="46" s="1"/>
  <c r="AP85" i="46"/>
  <c r="AP91" i="46" s="1"/>
  <c r="BQ41" i="30" s="1"/>
  <c r="AP93" i="46"/>
  <c r="AP94" i="46" s="1"/>
  <c r="AX93" i="46"/>
  <c r="AX94" i="46" s="1"/>
  <c r="BR93" i="46"/>
  <c r="BR94" i="46" s="1"/>
  <c r="BC93" i="46"/>
  <c r="BC94" i="46" s="1"/>
  <c r="DO93" i="46"/>
  <c r="DO94" i="46" s="1"/>
  <c r="CJ85" i="46"/>
  <c r="CJ91" i="46" s="1"/>
  <c r="DK41" i="30" s="1"/>
  <c r="CJ93" i="46"/>
  <c r="CJ94" i="46" s="1"/>
  <c r="BN93" i="46"/>
  <c r="BN94" i="46" s="1"/>
  <c r="CX85" i="46"/>
  <c r="CX91" i="46" s="1"/>
  <c r="DY41" i="30" s="1"/>
  <c r="CX93" i="46"/>
  <c r="CX94" i="46" s="1"/>
  <c r="CL85" i="46"/>
  <c r="CL91" i="46" s="1"/>
  <c r="DM41" i="30" s="1"/>
  <c r="CL93" i="46"/>
  <c r="CL94" i="46" s="1"/>
  <c r="BS85" i="46"/>
  <c r="BS91" i="46" s="1"/>
  <c r="CT41" i="30" s="1"/>
  <c r="BS93" i="46"/>
  <c r="BS94" i="46" s="1"/>
  <c r="BW85" i="46"/>
  <c r="BW91" i="46" s="1"/>
  <c r="CX41" i="30" s="1"/>
  <c r="BW93" i="46"/>
  <c r="BW94" i="46" s="1"/>
  <c r="BK85" i="46"/>
  <c r="BK91" i="46" s="1"/>
  <c r="CL41" i="30" s="1"/>
  <c r="BK93" i="46"/>
  <c r="BK94" i="46" s="1"/>
  <c r="AO93" i="46"/>
  <c r="AO94" i="46" s="1"/>
  <c r="DI85" i="46"/>
  <c r="DI91" i="46" s="1"/>
  <c r="DI93" i="46"/>
  <c r="DI94" i="46" s="1"/>
  <c r="BA85" i="46"/>
  <c r="BA91" i="46" s="1"/>
  <c r="CB41" i="30" s="1"/>
  <c r="BA93" i="46"/>
  <c r="BA94" i="46" s="1"/>
  <c r="P93" i="46"/>
  <c r="P94" i="46" s="1"/>
  <c r="CY85" i="46"/>
  <c r="CY91" i="46" s="1"/>
  <c r="DZ41" i="30" s="1"/>
  <c r="CY93" i="46"/>
  <c r="CY94" i="46" s="1"/>
  <c r="CZ93" i="46"/>
  <c r="CZ94" i="46" s="1"/>
  <c r="AN85" i="46"/>
  <c r="AN91" i="46" s="1"/>
  <c r="BO41" i="30" s="1"/>
  <c r="AN93" i="46"/>
  <c r="AN94" i="46" s="1"/>
  <c r="AV93" i="46"/>
  <c r="AV94" i="46" s="1"/>
  <c r="DE85" i="46"/>
  <c r="DE91" i="46" s="1"/>
  <c r="DE93" i="46"/>
  <c r="DE94" i="46" s="1"/>
  <c r="BG85" i="46"/>
  <c r="BG91" i="46" s="1"/>
  <c r="CH41" i="30" s="1"/>
  <c r="BG93" i="46"/>
  <c r="BG94" i="46" s="1"/>
  <c r="DC85" i="46"/>
  <c r="DC91" i="46" s="1"/>
  <c r="DC93" i="46"/>
  <c r="DC94" i="46" s="1"/>
  <c r="BF85" i="46"/>
  <c r="BF91" i="46" s="1"/>
  <c r="CG41" i="30" s="1"/>
  <c r="BF93" i="46"/>
  <c r="BF94" i="46" s="1"/>
  <c r="R85" i="46"/>
  <c r="R91" i="46" s="1"/>
  <c r="AS41" i="30" s="1"/>
  <c r="R93" i="46"/>
  <c r="R94" i="46" s="1"/>
  <c r="CH85" i="46"/>
  <c r="CH91" i="46" s="1"/>
  <c r="DI41" i="30" s="1"/>
  <c r="CH93" i="46"/>
  <c r="CH94" i="46" s="1"/>
  <c r="BI85" i="46"/>
  <c r="BI91" i="46" s="1"/>
  <c r="CJ41" i="30" s="1"/>
  <c r="BI93" i="46"/>
  <c r="BI94" i="46" s="1"/>
  <c r="E85" i="46"/>
  <c r="E91" i="46" s="1"/>
  <c r="AF41" i="30" s="1"/>
  <c r="E93" i="46"/>
  <c r="E94" i="46" s="1"/>
  <c r="D85" i="46"/>
  <c r="D91" i="46" s="1"/>
  <c r="AE41" i="30" s="1"/>
  <c r="D93" i="46"/>
  <c r="D94" i="46" s="1"/>
  <c r="H85" i="46"/>
  <c r="H91" i="46" s="1"/>
  <c r="AI41" i="30" s="1"/>
  <c r="H93" i="46"/>
  <c r="H94" i="46" s="1"/>
  <c r="G85" i="46"/>
  <c r="G91" i="46" s="1"/>
  <c r="AH41" i="30" s="1"/>
  <c r="G93" i="46"/>
  <c r="G94" i="46" s="1"/>
  <c r="K85" i="46"/>
  <c r="K91" i="46" s="1"/>
  <c r="AL41" i="30" s="1"/>
  <c r="K93" i="46"/>
  <c r="K94" i="46" s="1"/>
  <c r="DM84" i="46"/>
  <c r="DM85" i="46"/>
  <c r="DM91" i="46" s="1"/>
  <c r="AW84" i="46"/>
  <c r="AW85" i="46"/>
  <c r="AW91" i="46" s="1"/>
  <c r="BX41" i="30" s="1"/>
  <c r="AX84" i="46"/>
  <c r="AX85" i="46"/>
  <c r="AX91" i="46" s="1"/>
  <c r="BY41" i="30" s="1"/>
  <c r="BR84" i="46"/>
  <c r="BR85" i="46"/>
  <c r="BR91" i="46" s="1"/>
  <c r="CS41" i="30" s="1"/>
  <c r="BC84" i="46"/>
  <c r="BC85" i="46"/>
  <c r="BC91" i="46" s="1"/>
  <c r="CD41" i="30" s="1"/>
  <c r="DO84" i="46"/>
  <c r="DO85" i="46"/>
  <c r="DO91" i="46" s="1"/>
  <c r="BN84" i="46"/>
  <c r="BN85" i="46"/>
  <c r="BN91" i="46" s="1"/>
  <c r="CO41" i="30" s="1"/>
  <c r="AI84" i="46"/>
  <c r="AI85" i="46"/>
  <c r="AI91" i="46" s="1"/>
  <c r="BJ41" i="30" s="1"/>
  <c r="CC84" i="46"/>
  <c r="CC85" i="46"/>
  <c r="CC91" i="46" s="1"/>
  <c r="DD41" i="30" s="1"/>
  <c r="CU84" i="46"/>
  <c r="CU85" i="46"/>
  <c r="CU91" i="46" s="1"/>
  <c r="DV41" i="30" s="1"/>
  <c r="AH84" i="46"/>
  <c r="AH85" i="46"/>
  <c r="AH91" i="46" s="1"/>
  <c r="BI41" i="30" s="1"/>
  <c r="CZ84" i="46"/>
  <c r="CZ85" i="46"/>
  <c r="CZ91" i="46" s="1"/>
  <c r="EA41" i="30" s="1"/>
  <c r="CN84" i="46"/>
  <c r="CN85" i="46"/>
  <c r="CN91" i="46" s="1"/>
  <c r="DO41" i="30" s="1"/>
  <c r="AO84" i="46"/>
  <c r="AO85" i="46"/>
  <c r="AO91" i="46" s="1"/>
  <c r="BP41" i="30" s="1"/>
  <c r="P84" i="46"/>
  <c r="P85" i="46"/>
  <c r="P91" i="46" s="1"/>
  <c r="AQ41" i="30" s="1"/>
  <c r="N84" i="46"/>
  <c r="N85" i="46"/>
  <c r="N91" i="46" s="1"/>
  <c r="AO41" i="30" s="1"/>
  <c r="BE84" i="46"/>
  <c r="BE85" i="46"/>
  <c r="BE91" i="46" s="1"/>
  <c r="CF41" i="30" s="1"/>
  <c r="CR84" i="46"/>
  <c r="CR85" i="46"/>
  <c r="CR91" i="46" s="1"/>
  <c r="DS41" i="30" s="1"/>
  <c r="AQ84" i="46"/>
  <c r="AQ85" i="46"/>
  <c r="AQ91" i="46" s="1"/>
  <c r="BR41" i="30" s="1"/>
  <c r="AV84" i="46"/>
  <c r="AV85" i="46"/>
  <c r="AV91" i="46" s="1"/>
  <c r="BW41" i="30" s="1"/>
  <c r="AU84" i="46"/>
  <c r="AU85" i="46"/>
  <c r="AU91" i="46" s="1"/>
  <c r="BV41" i="30" s="1"/>
  <c r="BP84" i="46"/>
  <c r="BM84" i="46"/>
  <c r="BM85" i="46"/>
  <c r="BM91" i="46" s="1"/>
  <c r="CN41" i="30" s="1"/>
  <c r="DG84" i="46"/>
  <c r="DG85" i="46"/>
  <c r="DG91" i="46" s="1"/>
  <c r="BZ84" i="46"/>
  <c r="BZ85" i="46"/>
  <c r="BZ91" i="46" s="1"/>
  <c r="DA41" i="30" s="1"/>
  <c r="DQ84" i="46"/>
  <c r="DQ85" i="46"/>
  <c r="DQ91" i="46" s="1"/>
  <c r="AG84" i="46"/>
  <c r="AG85" i="46"/>
  <c r="AG91" i="46" s="1"/>
  <c r="BH41" i="30" s="1"/>
  <c r="J84" i="46"/>
  <c r="J85" i="46"/>
  <c r="J91" i="46" s="1"/>
  <c r="AK41" i="30" s="1"/>
  <c r="AP84" i="46"/>
  <c r="CJ84" i="46"/>
  <c r="K84" i="46"/>
  <c r="DR84" i="46"/>
  <c r="AM84" i="46"/>
  <c r="BS84" i="46"/>
  <c r="BW84" i="46"/>
  <c r="BK84" i="46"/>
  <c r="DI84" i="46"/>
  <c r="BA84" i="46"/>
  <c r="CY84" i="46"/>
  <c r="DE84" i="46"/>
  <c r="BG84" i="46"/>
  <c r="DC84" i="46"/>
  <c r="BF84" i="46"/>
  <c r="R84" i="46"/>
  <c r="CH84" i="46"/>
  <c r="BI84" i="46"/>
  <c r="H84" i="46"/>
  <c r="CT84" i="46"/>
  <c r="DF84" i="46"/>
  <c r="CX84" i="46"/>
  <c r="X84" i="46"/>
  <c r="AN84" i="46"/>
  <c r="CV84" i="46"/>
  <c r="CL84" i="46"/>
  <c r="G84" i="46"/>
  <c r="L79" i="45"/>
  <c r="L72" i="45"/>
  <c r="M72" i="45"/>
  <c r="M79" i="45"/>
  <c r="H79" i="45"/>
  <c r="H72" i="45"/>
  <c r="J79" i="45"/>
  <c r="J72" i="45"/>
  <c r="F79" i="45"/>
  <c r="F72" i="45"/>
  <c r="G79" i="45" l="1"/>
  <c r="G80" i="45" s="1"/>
  <c r="K72" i="45"/>
  <c r="E72" i="45"/>
  <c r="I72" i="45"/>
  <c r="D72" i="45"/>
  <c r="K82" i="45"/>
  <c r="K83" i="45" s="1"/>
  <c r="M82" i="45"/>
  <c r="M83" i="45" s="1"/>
  <c r="H82" i="45"/>
  <c r="H83" i="45" s="1"/>
  <c r="J82" i="45"/>
  <c r="J83" i="45" s="1"/>
  <c r="E82" i="45"/>
  <c r="E83" i="45" s="1"/>
  <c r="I82" i="45"/>
  <c r="I83" i="45" s="1"/>
  <c r="L82" i="45"/>
  <c r="L83" i="45" s="1"/>
  <c r="D82" i="45"/>
  <c r="D83" i="45" s="1"/>
  <c r="G82" i="45"/>
  <c r="F82" i="45"/>
  <c r="F83" i="45" s="1"/>
  <c r="K80" i="45"/>
  <c r="M80" i="45"/>
  <c r="H80" i="45"/>
  <c r="E80" i="45"/>
  <c r="I80" i="45"/>
  <c r="F80" i="45"/>
  <c r="J80" i="45"/>
  <c r="L80" i="45"/>
  <c r="D80" i="45"/>
  <c r="G83" i="45" l="1"/>
  <c r="K69" i="11"/>
  <c r="K49" i="11"/>
  <c r="K9" i="11"/>
  <c r="N145" i="30" l="1"/>
  <c r="M145" i="30"/>
  <c r="L145" i="30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K31" i="11"/>
  <c r="H31" i="11" s="1"/>
  <c r="D85" i="11"/>
  <c r="G29" i="11"/>
  <c r="H12" i="11"/>
  <c r="H71" i="11"/>
  <c r="H70" i="11"/>
  <c r="H60" i="11"/>
  <c r="H57" i="11"/>
  <c r="H55" i="11"/>
  <c r="H54" i="11"/>
  <c r="H46" i="11"/>
  <c r="H42" i="11"/>
  <c r="H41" i="11"/>
  <c r="H40" i="11"/>
  <c r="H37" i="11"/>
  <c r="H35" i="11"/>
  <c r="H26" i="11"/>
  <c r="H25" i="11"/>
  <c r="H17" i="11"/>
  <c r="H15" i="11"/>
  <c r="H14" i="11"/>
  <c r="G84" i="11"/>
  <c r="H76" i="11"/>
  <c r="H73" i="11"/>
  <c r="H61" i="11"/>
  <c r="H59" i="11"/>
  <c r="H58" i="11"/>
  <c r="H56" i="11"/>
  <c r="H53" i="11"/>
  <c r="H52" i="11"/>
  <c r="H51" i="11"/>
  <c r="H50" i="11"/>
  <c r="H48" i="11"/>
  <c r="H47" i="11"/>
  <c r="H45" i="11"/>
  <c r="H38" i="11"/>
  <c r="H32" i="11"/>
  <c r="H18" i="11"/>
  <c r="B17" i="26"/>
  <c r="B48" i="26"/>
  <c r="B80" i="26"/>
  <c r="B167" i="26"/>
  <c r="L95" i="26"/>
  <c r="K95" i="26"/>
  <c r="L94" i="26"/>
  <c r="K94" i="26"/>
  <c r="L93" i="26"/>
  <c r="K93" i="26"/>
  <c r="H96" i="26"/>
  <c r="H95" i="26"/>
  <c r="H94" i="26"/>
  <c r="H93" i="26"/>
  <c r="F100" i="26"/>
  <c r="J51" i="28"/>
  <c r="J50" i="28"/>
  <c r="J49" i="28"/>
  <c r="J48" i="28"/>
  <c r="J47" i="28"/>
  <c r="J46" i="28"/>
  <c r="J40" i="28"/>
  <c r="J39" i="28"/>
  <c r="J38" i="28"/>
  <c r="J37" i="28"/>
  <c r="J36" i="28"/>
  <c r="J35" i="28"/>
  <c r="C39" i="28"/>
  <c r="C40" i="28"/>
  <c r="C51" i="28"/>
  <c r="C50" i="28"/>
  <c r="C49" i="28"/>
  <c r="C48" i="28"/>
  <c r="C47" i="28"/>
  <c r="H52" i="28"/>
  <c r="G52" i="28"/>
  <c r="E52" i="28"/>
  <c r="C46" i="28"/>
  <c r="I45" i="28"/>
  <c r="H45" i="28"/>
  <c r="G45" i="28"/>
  <c r="F45" i="28"/>
  <c r="E45" i="28"/>
  <c r="C38" i="28"/>
  <c r="C37" i="28"/>
  <c r="C36" i="28"/>
  <c r="H41" i="28"/>
  <c r="G41" i="28"/>
  <c r="F41" i="28"/>
  <c r="E41" i="28"/>
  <c r="E83" i="28"/>
  <c r="E81" i="28"/>
  <c r="E80" i="28"/>
  <c r="E79" i="28"/>
  <c r="E78" i="28"/>
  <c r="E77" i="28"/>
  <c r="E76" i="28"/>
  <c r="E75" i="28"/>
  <c r="E73" i="28"/>
  <c r="E72" i="28"/>
  <c r="E71" i="28"/>
  <c r="I42" i="40"/>
  <c r="J42" i="40" s="1"/>
  <c r="K42" i="40" s="1"/>
  <c r="L42" i="40" s="1"/>
  <c r="M42" i="40" s="1"/>
  <c r="N42" i="40" s="1"/>
  <c r="O42" i="40" s="1"/>
  <c r="P42" i="40" s="1"/>
  <c r="H41" i="40"/>
  <c r="G41" i="40"/>
  <c r="L147" i="30" l="1"/>
  <c r="G74" i="11"/>
  <c r="G43" i="11"/>
  <c r="G62" i="11"/>
  <c r="G33" i="11"/>
  <c r="G19" i="11"/>
  <c r="J52" i="28"/>
  <c r="J41" i="28"/>
  <c r="F52" i="28"/>
  <c r="D5" i="40"/>
  <c r="F33" i="40"/>
  <c r="E33" i="40"/>
  <c r="D33" i="40"/>
  <c r="F32" i="40"/>
  <c r="E32" i="40"/>
  <c r="D32" i="40"/>
  <c r="F26" i="40"/>
  <c r="E26" i="40"/>
  <c r="D26" i="40"/>
  <c r="D36" i="40" s="1"/>
  <c r="D39" i="40" s="1"/>
  <c r="D43" i="40" s="1"/>
  <c r="F19" i="40"/>
  <c r="E19" i="40"/>
  <c r="D19" i="40"/>
  <c r="D20" i="40" s="1"/>
  <c r="H11" i="40"/>
  <c r="I11" i="40" s="1"/>
  <c r="J11" i="40" s="1"/>
  <c r="K11" i="40" s="1"/>
  <c r="L11" i="40" s="1"/>
  <c r="M11" i="40" s="1"/>
  <c r="N11" i="40" s="1"/>
  <c r="O11" i="40" s="1"/>
  <c r="P11" i="40" s="1"/>
  <c r="E10" i="40"/>
  <c r="F10" i="40" s="1"/>
  <c r="G10" i="40" s="1"/>
  <c r="H10" i="40" s="1"/>
  <c r="I10" i="40" s="1"/>
  <c r="J10" i="40" s="1"/>
  <c r="K10" i="40" s="1"/>
  <c r="L10" i="40" s="1"/>
  <c r="M10" i="40" s="1"/>
  <c r="N10" i="40" s="1"/>
  <c r="O10" i="40" s="1"/>
  <c r="P10" i="40" s="1"/>
  <c r="G79" i="11" l="1"/>
  <c r="G85" i="11" s="1"/>
  <c r="J54" i="28"/>
  <c r="D34" i="40"/>
  <c r="E34" i="40"/>
  <c r="F34" i="40"/>
  <c r="E36" i="40"/>
  <c r="E39" i="40" s="1"/>
  <c r="E43" i="40" s="1"/>
  <c r="E20" i="40"/>
  <c r="F36" i="40"/>
  <c r="F39" i="40" s="1"/>
  <c r="F43" i="40" s="1"/>
  <c r="H39" i="11"/>
  <c r="K36" i="11"/>
  <c r="H36" i="11" s="1"/>
  <c r="H43" i="11" l="1"/>
  <c r="F20" i="40"/>
  <c r="I15" i="36" l="1"/>
  <c r="G15" i="36"/>
  <c r="K16" i="11"/>
  <c r="H16" i="11" s="1"/>
  <c r="C13" i="39"/>
  <c r="D7" i="39"/>
  <c r="C7" i="39"/>
  <c r="J15" i="36" l="1"/>
  <c r="K65" i="11"/>
  <c r="H65" i="11" s="1"/>
  <c r="H49" i="11"/>
  <c r="H62" i="11" s="1"/>
  <c r="O11" i="17" l="1"/>
  <c r="O8" i="17"/>
  <c r="O28" i="17" s="1"/>
  <c r="L147" i="26"/>
  <c r="K147" i="26"/>
  <c r="L146" i="26"/>
  <c r="K146" i="26"/>
  <c r="L145" i="26"/>
  <c r="K145" i="26"/>
  <c r="L144" i="26"/>
  <c r="K144" i="26"/>
  <c r="L143" i="26"/>
  <c r="K143" i="26"/>
  <c r="L142" i="26"/>
  <c r="K142" i="26"/>
  <c r="H147" i="26"/>
  <c r="H146" i="26"/>
  <c r="H145" i="26"/>
  <c r="H144" i="26"/>
  <c r="H143" i="26"/>
  <c r="H142" i="26"/>
  <c r="B135" i="26"/>
  <c r="M11" i="17" s="1"/>
  <c r="M8" i="17"/>
  <c r="M44" i="17" s="1"/>
  <c r="G182" i="26"/>
  <c r="F182" i="26"/>
  <c r="E182" i="26"/>
  <c r="L172" i="26"/>
  <c r="K172" i="26"/>
  <c r="H172" i="26"/>
  <c r="L171" i="26"/>
  <c r="K171" i="26"/>
  <c r="H171" i="26"/>
  <c r="L170" i="26"/>
  <c r="K170" i="26"/>
  <c r="H170" i="26"/>
  <c r="L169" i="26"/>
  <c r="K169" i="26"/>
  <c r="H169" i="26"/>
  <c r="L168" i="26"/>
  <c r="K168" i="26"/>
  <c r="H168" i="26"/>
  <c r="L167" i="26"/>
  <c r="K167" i="26"/>
  <c r="H167" i="26"/>
  <c r="L166" i="26"/>
  <c r="K166" i="26"/>
  <c r="H166" i="26"/>
  <c r="L165" i="26"/>
  <c r="K165" i="26"/>
  <c r="H165" i="26"/>
  <c r="L164" i="26"/>
  <c r="K164" i="26"/>
  <c r="H164" i="26"/>
  <c r="L163" i="26"/>
  <c r="K163" i="26"/>
  <c r="H163" i="26"/>
  <c r="L141" i="26"/>
  <c r="K141" i="26"/>
  <c r="L140" i="26"/>
  <c r="K140" i="26"/>
  <c r="L139" i="26"/>
  <c r="K139" i="26"/>
  <c r="L138" i="26"/>
  <c r="K138" i="26"/>
  <c r="L137" i="26"/>
  <c r="K137" i="26"/>
  <c r="L136" i="26"/>
  <c r="K136" i="26"/>
  <c r="L135" i="26"/>
  <c r="K135" i="26"/>
  <c r="L134" i="26"/>
  <c r="K134" i="26"/>
  <c r="L133" i="26"/>
  <c r="K133" i="26"/>
  <c r="M25" i="17" s="1"/>
  <c r="M62" i="17" s="1"/>
  <c r="L132" i="26"/>
  <c r="K132" i="26"/>
  <c r="L131" i="26"/>
  <c r="K131" i="26"/>
  <c r="H141" i="26"/>
  <c r="H140" i="26"/>
  <c r="H139" i="26"/>
  <c r="H138" i="26"/>
  <c r="H137" i="26"/>
  <c r="H136" i="26"/>
  <c r="H135" i="26"/>
  <c r="H134" i="26"/>
  <c r="H133" i="26"/>
  <c r="H132" i="26"/>
  <c r="H131" i="26"/>
  <c r="O52" i="17"/>
  <c r="M52" i="17"/>
  <c r="O82" i="17"/>
  <c r="O81" i="17"/>
  <c r="M82" i="17"/>
  <c r="M81" i="17"/>
  <c r="O35" i="17" l="1"/>
  <c r="O64" i="17" s="1"/>
  <c r="M30" i="17"/>
  <c r="M63" i="17" s="1"/>
  <c r="H182" i="26"/>
  <c r="M29" i="17"/>
  <c r="M71" i="17" s="1"/>
  <c r="O30" i="17"/>
  <c r="O63" i="17" s="1"/>
  <c r="M35" i="17"/>
  <c r="M64" i="17" s="1"/>
  <c r="O29" i="17"/>
  <c r="O71" i="17" s="1"/>
  <c r="M24" i="17"/>
  <c r="M26" i="17" s="1"/>
  <c r="O34" i="17"/>
  <c r="O72" i="17" s="1"/>
  <c r="M34" i="17"/>
  <c r="O23" i="17"/>
  <c r="O33" i="17"/>
  <c r="O56" i="17" s="1"/>
  <c r="O38" i="17"/>
  <c r="O44" i="17"/>
  <c r="O58" i="17" s="1"/>
  <c r="O78" i="17"/>
  <c r="O10" i="17"/>
  <c r="M28" i="17"/>
  <c r="M55" i="17" s="1"/>
  <c r="O55" i="17"/>
  <c r="M10" i="17"/>
  <c r="M33" i="17"/>
  <c r="M56" i="17" s="1"/>
  <c r="M23" i="17"/>
  <c r="M54" i="17" s="1"/>
  <c r="M38" i="17"/>
  <c r="M58" i="17"/>
  <c r="F36" i="3"/>
  <c r="F38" i="3"/>
  <c r="I11" i="36"/>
  <c r="I9" i="36"/>
  <c r="I8" i="36"/>
  <c r="G11" i="36"/>
  <c r="G9" i="36"/>
  <c r="G8" i="36"/>
  <c r="O80" i="17" l="1"/>
  <c r="J11" i="36"/>
  <c r="M79" i="17"/>
  <c r="J9" i="36"/>
  <c r="M31" i="17"/>
  <c r="M70" i="17"/>
  <c r="M78" i="17" s="1"/>
  <c r="M36" i="17"/>
  <c r="O31" i="17"/>
  <c r="O79" i="17"/>
  <c r="O36" i="17"/>
  <c r="J8" i="36"/>
  <c r="M72" i="17"/>
  <c r="M80" i="17" s="1"/>
  <c r="O59" i="17"/>
  <c r="O67" i="17" s="1"/>
  <c r="M59" i="17"/>
  <c r="E127" i="14"/>
  <c r="E121" i="14"/>
  <c r="G113" i="14"/>
  <c r="E107" i="14"/>
  <c r="H105" i="14"/>
  <c r="H106" i="14" s="1"/>
  <c r="H66" i="3"/>
  <c r="J66" i="3" s="1"/>
  <c r="M75" i="17" l="1"/>
  <c r="M20" i="17" s="1"/>
  <c r="O75" i="17"/>
  <c r="M67" i="17"/>
  <c r="H117" i="14"/>
  <c r="H107" i="14"/>
  <c r="H114" i="14"/>
  <c r="E128" i="14"/>
  <c r="E129" i="14" s="1"/>
  <c r="E122" i="14"/>
  <c r="EA145" i="30"/>
  <c r="DZ145" i="30"/>
  <c r="DY145" i="30"/>
  <c r="DX145" i="30"/>
  <c r="DW145" i="30"/>
  <c r="DV145" i="30"/>
  <c r="DU145" i="30"/>
  <c r="DT145" i="30"/>
  <c r="DS145" i="30"/>
  <c r="DR145" i="30"/>
  <c r="DQ145" i="30"/>
  <c r="DP145" i="30"/>
  <c r="DO145" i="30"/>
  <c r="DN145" i="30"/>
  <c r="DM145" i="30"/>
  <c r="DL145" i="30"/>
  <c r="DK145" i="30"/>
  <c r="DJ145" i="30"/>
  <c r="DI145" i="30"/>
  <c r="DH145" i="30"/>
  <c r="DG145" i="30"/>
  <c r="DF145" i="30"/>
  <c r="DE145" i="30"/>
  <c r="DD145" i="30"/>
  <c r="DC145" i="30"/>
  <c r="DB145" i="30"/>
  <c r="DA145" i="30"/>
  <c r="CZ145" i="30"/>
  <c r="CY145" i="30"/>
  <c r="CX145" i="30"/>
  <c r="CW145" i="30"/>
  <c r="CV145" i="30"/>
  <c r="CU145" i="30"/>
  <c r="CT145" i="30"/>
  <c r="CS145" i="30"/>
  <c r="CR145" i="30"/>
  <c r="CQ145" i="30"/>
  <c r="CP145" i="30"/>
  <c r="CO145" i="30"/>
  <c r="CN145" i="30"/>
  <c r="CM145" i="30"/>
  <c r="CL145" i="30"/>
  <c r="CK145" i="30"/>
  <c r="CJ145" i="30"/>
  <c r="CI145" i="30"/>
  <c r="CH145" i="30"/>
  <c r="CG145" i="30"/>
  <c r="CF145" i="30"/>
  <c r="CE145" i="30"/>
  <c r="CD145" i="30"/>
  <c r="CC145" i="30"/>
  <c r="CB145" i="30"/>
  <c r="CA145" i="30"/>
  <c r="BZ145" i="30"/>
  <c r="BY145" i="30"/>
  <c r="BX145" i="30"/>
  <c r="BW145" i="30"/>
  <c r="BV145" i="30"/>
  <c r="BU145" i="30"/>
  <c r="BT145" i="30"/>
  <c r="BS145" i="30"/>
  <c r="BR145" i="30"/>
  <c r="BQ145" i="30"/>
  <c r="BP145" i="30"/>
  <c r="BO145" i="30"/>
  <c r="BN145" i="30"/>
  <c r="BM145" i="30"/>
  <c r="BL145" i="30"/>
  <c r="BK145" i="30"/>
  <c r="BJ145" i="30"/>
  <c r="BI145" i="30"/>
  <c r="BH145" i="30"/>
  <c r="BG145" i="30"/>
  <c r="BF145" i="30"/>
  <c r="BE145" i="30"/>
  <c r="BD145" i="30"/>
  <c r="BC145" i="30"/>
  <c r="BB145" i="30"/>
  <c r="BA145" i="30"/>
  <c r="AZ145" i="30"/>
  <c r="AY145" i="30"/>
  <c r="AX145" i="30"/>
  <c r="AW145" i="30"/>
  <c r="AV145" i="30"/>
  <c r="AU145" i="30"/>
  <c r="AT145" i="30"/>
  <c r="AS145" i="30"/>
  <c r="AR145" i="30"/>
  <c r="AQ145" i="30"/>
  <c r="AP145" i="30"/>
  <c r="AO145" i="30"/>
  <c r="AN145" i="30"/>
  <c r="AM145" i="30"/>
  <c r="AL145" i="30"/>
  <c r="AK145" i="30"/>
  <c r="AJ145" i="30"/>
  <c r="AI145" i="30"/>
  <c r="AH145" i="30"/>
  <c r="AG145" i="30"/>
  <c r="AF145" i="30"/>
  <c r="AE145" i="30"/>
  <c r="AD145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H119" i="14" l="1"/>
  <c r="M83" i="17"/>
  <c r="O20" i="17"/>
  <c r="O21" i="17"/>
  <c r="O83" i="17"/>
  <c r="M21" i="17"/>
  <c r="J113" i="14"/>
  <c r="H122" i="14"/>
  <c r="H121" i="14"/>
  <c r="H124" i="14"/>
  <c r="H128" i="14" l="1"/>
  <c r="H132" i="14" s="1"/>
  <c r="H127" i="14"/>
  <c r="H131" i="14" s="1"/>
  <c r="J115" i="14"/>
  <c r="H97" i="26" l="1"/>
  <c r="H92" i="26"/>
  <c r="H91" i="26"/>
  <c r="H90" i="26"/>
  <c r="H89" i="26"/>
  <c r="H88" i="26"/>
  <c r="H87" i="26"/>
  <c r="H86" i="26"/>
  <c r="H85" i="26"/>
  <c r="H84" i="26"/>
  <c r="H83" i="26"/>
  <c r="H35" i="26"/>
  <c r="H34" i="26"/>
  <c r="H33" i="26"/>
  <c r="H32" i="26"/>
  <c r="H31" i="26"/>
  <c r="H30" i="26"/>
  <c r="H29" i="26"/>
  <c r="H28" i="26"/>
  <c r="B15" i="4"/>
  <c r="D73" i="17"/>
  <c r="I15" i="4" s="1"/>
  <c r="Q81" i="17"/>
  <c r="J81" i="17"/>
  <c r="H81" i="17"/>
  <c r="F81" i="17"/>
  <c r="Q41" i="17"/>
  <c r="D26" i="36"/>
  <c r="C31" i="3" s="1"/>
  <c r="C15" i="4" s="1"/>
  <c r="H15" i="4" l="1"/>
  <c r="J15" i="4"/>
  <c r="D13" i="37" l="1"/>
  <c r="D11" i="37"/>
  <c r="D8" i="37"/>
  <c r="D74" i="17" l="1"/>
  <c r="F40" i="36"/>
  <c r="D27" i="36"/>
  <c r="C32" i="3" s="1"/>
  <c r="D25" i="36"/>
  <c r="C30" i="3" s="1"/>
  <c r="D24" i="36"/>
  <c r="C29" i="3" s="1"/>
  <c r="D23" i="36"/>
  <c r="C28" i="3" s="1"/>
  <c r="E19" i="36"/>
  <c r="I18" i="36"/>
  <c r="G18" i="36"/>
  <c r="I17" i="36"/>
  <c r="G17" i="36"/>
  <c r="I16" i="36"/>
  <c r="G16" i="36"/>
  <c r="I14" i="36"/>
  <c r="G14" i="36"/>
  <c r="I13" i="36"/>
  <c r="G13" i="36"/>
  <c r="I12" i="36"/>
  <c r="G12" i="36"/>
  <c r="I10" i="36"/>
  <c r="G10" i="36"/>
  <c r="I7" i="36"/>
  <c r="G7" i="36"/>
  <c r="I6" i="36"/>
  <c r="G6" i="36"/>
  <c r="I5" i="36"/>
  <c r="G5" i="36"/>
  <c r="I4" i="36"/>
  <c r="G4" i="36"/>
  <c r="L97" i="26"/>
  <c r="K97" i="26"/>
  <c r="L96" i="26"/>
  <c r="K96" i="26"/>
  <c r="L92" i="26"/>
  <c r="K92" i="26"/>
  <c r="L91" i="26"/>
  <c r="K91" i="26"/>
  <c r="L90" i="26"/>
  <c r="K90" i="26"/>
  <c r="L89" i="26"/>
  <c r="K89" i="26"/>
  <c r="L88" i="26"/>
  <c r="K88" i="26"/>
  <c r="L87" i="26"/>
  <c r="K87" i="26"/>
  <c r="L86" i="26"/>
  <c r="K86" i="26"/>
  <c r="L85" i="26"/>
  <c r="K85" i="26"/>
  <c r="L84" i="26"/>
  <c r="K84" i="26"/>
  <c r="L83" i="26"/>
  <c r="K83" i="26"/>
  <c r="L82" i="26"/>
  <c r="K82" i="26"/>
  <c r="L81" i="26"/>
  <c r="K81" i="26"/>
  <c r="L80" i="26"/>
  <c r="K80" i="26"/>
  <c r="L79" i="26"/>
  <c r="K79" i="26"/>
  <c r="L78" i="26"/>
  <c r="K78" i="26"/>
  <c r="L77" i="26"/>
  <c r="K77" i="26"/>
  <c r="L35" i="26"/>
  <c r="K35" i="26"/>
  <c r="L34" i="26"/>
  <c r="K34" i="26"/>
  <c r="L33" i="26"/>
  <c r="K33" i="26"/>
  <c r="L32" i="26"/>
  <c r="K32" i="26"/>
  <c r="L31" i="26"/>
  <c r="K31" i="26"/>
  <c r="L30" i="26"/>
  <c r="K30" i="26"/>
  <c r="L29" i="26"/>
  <c r="K29" i="26"/>
  <c r="L28" i="26"/>
  <c r="K28" i="26"/>
  <c r="L27" i="26"/>
  <c r="K27" i="26"/>
  <c r="L26" i="26"/>
  <c r="K26" i="26"/>
  <c r="L25" i="26"/>
  <c r="K25" i="26"/>
  <c r="L24" i="26"/>
  <c r="K24" i="26"/>
  <c r="L23" i="26"/>
  <c r="K23" i="26"/>
  <c r="L22" i="26"/>
  <c r="K22" i="26"/>
  <c r="L21" i="26"/>
  <c r="K21" i="26"/>
  <c r="L20" i="26"/>
  <c r="K20" i="26"/>
  <c r="L19" i="26"/>
  <c r="K19" i="26"/>
  <c r="L18" i="26"/>
  <c r="K18" i="26"/>
  <c r="L17" i="26"/>
  <c r="K17" i="26"/>
  <c r="L16" i="26"/>
  <c r="K16" i="26"/>
  <c r="L15" i="26"/>
  <c r="K15" i="26"/>
  <c r="L14" i="26"/>
  <c r="K14" i="26"/>
  <c r="G39" i="26"/>
  <c r="F39" i="26"/>
  <c r="E39" i="26"/>
  <c r="F25" i="36" l="1"/>
  <c r="E25" i="36" s="1"/>
  <c r="E30" i="3" s="1"/>
  <c r="H39" i="26"/>
  <c r="J5" i="36"/>
  <c r="J14" i="36"/>
  <c r="J18" i="36"/>
  <c r="G19" i="36"/>
  <c r="F19" i="36" s="1"/>
  <c r="J7" i="36"/>
  <c r="I19" i="36"/>
  <c r="H19" i="36" s="1"/>
  <c r="F27" i="36"/>
  <c r="E27" i="36" s="1"/>
  <c r="E32" i="3" s="1"/>
  <c r="F26" i="36"/>
  <c r="E26" i="36" s="1"/>
  <c r="E31" i="3" s="1"/>
  <c r="J10" i="36"/>
  <c r="J17" i="36"/>
  <c r="J6" i="36"/>
  <c r="J16" i="36"/>
  <c r="J12" i="36"/>
  <c r="J13" i="36"/>
  <c r="F23" i="36"/>
  <c r="E23" i="36" s="1"/>
  <c r="E28" i="3" s="1"/>
  <c r="D28" i="36"/>
  <c r="D29" i="36" s="1"/>
  <c r="J4" i="36"/>
  <c r="F24" i="36"/>
  <c r="E24" i="36" s="1"/>
  <c r="E29" i="3" s="1"/>
  <c r="F42" i="36" l="1"/>
  <c r="F43" i="36" s="1"/>
  <c r="F44" i="36" s="1"/>
  <c r="D40" i="17"/>
  <c r="F31" i="3"/>
  <c r="F15" i="4" s="1"/>
  <c r="E15" i="4"/>
  <c r="K15" i="4" s="1"/>
  <c r="F34" i="36"/>
  <c r="J19" i="36"/>
  <c r="F28" i="36"/>
  <c r="P27" i="16"/>
  <c r="J27" i="16"/>
  <c r="G27" i="16"/>
  <c r="F27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D65" i="17" l="1"/>
  <c r="D81" i="17" s="1"/>
  <c r="D41" i="17"/>
  <c r="R41" i="17" s="1"/>
  <c r="S41" i="17" s="1"/>
  <c r="F29" i="36"/>
  <c r="E28" i="36"/>
  <c r="E29" i="36" s="1"/>
  <c r="H27" i="16"/>
  <c r="L122" i="30" l="1"/>
  <c r="K122" i="30"/>
  <c r="L66" i="30"/>
  <c r="M62" i="3"/>
  <c r="E54" i="17"/>
  <c r="J52" i="17" l="1"/>
  <c r="H52" i="17"/>
  <c r="F52" i="17"/>
  <c r="H27" i="26"/>
  <c r="H26" i="26"/>
  <c r="H25" i="26"/>
  <c r="H24" i="26"/>
  <c r="H23" i="26"/>
  <c r="H22" i="26"/>
  <c r="H21" i="26"/>
  <c r="H20" i="26"/>
  <c r="E71" i="3" l="1"/>
  <c r="L3" i="16" l="1"/>
  <c r="F29" i="16" s="1"/>
  <c r="D70" i="17" l="1"/>
  <c r="EA32" i="30"/>
  <c r="DZ32" i="30"/>
  <c r="DY32" i="30"/>
  <c r="DX32" i="30"/>
  <c r="DW32" i="30"/>
  <c r="DV32" i="30"/>
  <c r="DU32" i="30"/>
  <c r="DT32" i="30"/>
  <c r="DS32" i="30"/>
  <c r="DR32" i="30"/>
  <c r="DQ32" i="30"/>
  <c r="DP32" i="30"/>
  <c r="DO32" i="30"/>
  <c r="DN32" i="30"/>
  <c r="DM32" i="30"/>
  <c r="DL32" i="30"/>
  <c r="DK32" i="30"/>
  <c r="DJ32" i="30"/>
  <c r="DI32" i="30"/>
  <c r="DH32" i="30"/>
  <c r="DG32" i="30"/>
  <c r="DF32" i="30"/>
  <c r="DE32" i="30"/>
  <c r="DD32" i="30"/>
  <c r="DC32" i="30"/>
  <c r="DB32" i="30"/>
  <c r="DA32" i="30"/>
  <c r="CZ32" i="30"/>
  <c r="CY32" i="30"/>
  <c r="CX32" i="30"/>
  <c r="CW32" i="30"/>
  <c r="CV32" i="30"/>
  <c r="CU32" i="30"/>
  <c r="CT32" i="30"/>
  <c r="CS32" i="30"/>
  <c r="CR32" i="30"/>
  <c r="CQ32" i="30"/>
  <c r="CP32" i="30"/>
  <c r="CO32" i="30"/>
  <c r="CN32" i="30"/>
  <c r="CM32" i="30"/>
  <c r="CL32" i="30"/>
  <c r="CK32" i="30"/>
  <c r="CJ32" i="30"/>
  <c r="CI32" i="30"/>
  <c r="CH32" i="30"/>
  <c r="CG32" i="30"/>
  <c r="CF32" i="30"/>
  <c r="CE32" i="30"/>
  <c r="CD32" i="30"/>
  <c r="CC32" i="30"/>
  <c r="CB32" i="30"/>
  <c r="CA32" i="30"/>
  <c r="BZ32" i="30"/>
  <c r="BY32" i="30"/>
  <c r="BX32" i="30"/>
  <c r="BW32" i="30"/>
  <c r="BV32" i="30"/>
  <c r="BU32" i="30"/>
  <c r="BT32" i="30"/>
  <c r="BS32" i="30"/>
  <c r="BR32" i="30"/>
  <c r="BQ32" i="30"/>
  <c r="BP32" i="30"/>
  <c r="BO32" i="30"/>
  <c r="BN32" i="30"/>
  <c r="BM32" i="30"/>
  <c r="BL32" i="30"/>
  <c r="BK32" i="30"/>
  <c r="BJ32" i="30"/>
  <c r="BI32" i="30"/>
  <c r="BH32" i="30"/>
  <c r="BG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M30" i="32"/>
  <c r="N30" i="32" s="1"/>
  <c r="M17" i="32"/>
  <c r="N17" i="32" s="1"/>
  <c r="O17" i="32" s="1"/>
  <c r="P17" i="32" s="1"/>
  <c r="Q17" i="32" s="1"/>
  <c r="R17" i="32" s="1"/>
  <c r="S17" i="32" s="1"/>
  <c r="T17" i="32" s="1"/>
  <c r="U17" i="32" s="1"/>
  <c r="I12" i="4" l="1"/>
  <c r="O30" i="32"/>
  <c r="P30" i="32" s="1"/>
  <c r="Q30" i="32" s="1"/>
  <c r="R30" i="32" s="1"/>
  <c r="S30" i="32" s="1"/>
  <c r="T30" i="32" s="1"/>
  <c r="U30" i="32" s="1"/>
  <c r="D46" i="17"/>
  <c r="D66" i="17" s="1"/>
  <c r="D35" i="17"/>
  <c r="D30" i="17"/>
  <c r="D25" i="17"/>
  <c r="D62" i="17" s="1"/>
  <c r="D78" i="17" s="1"/>
  <c r="K72" i="11" l="1"/>
  <c r="H72" i="11" s="1"/>
  <c r="I42" i="11"/>
  <c r="I18" i="11"/>
  <c r="I73" i="11"/>
  <c r="I71" i="11"/>
  <c r="I70" i="11"/>
  <c r="I64" i="11"/>
  <c r="I60" i="11"/>
  <c r="I59" i="11"/>
  <c r="I58" i="11"/>
  <c r="I57" i="11"/>
  <c r="I56" i="11"/>
  <c r="I55" i="11"/>
  <c r="I54" i="11"/>
  <c r="I53" i="11"/>
  <c r="I52" i="11"/>
  <c r="I51" i="11"/>
  <c r="I49" i="11"/>
  <c r="I48" i="11"/>
  <c r="I47" i="11"/>
  <c r="I45" i="11"/>
  <c r="I40" i="11"/>
  <c r="I39" i="11"/>
  <c r="I38" i="11"/>
  <c r="I37" i="11"/>
  <c r="I35" i="11"/>
  <c r="I32" i="11"/>
  <c r="I31" i="11"/>
  <c r="I26" i="11"/>
  <c r="I25" i="11"/>
  <c r="I21" i="11"/>
  <c r="I17" i="11"/>
  <c r="I16" i="11"/>
  <c r="I15" i="11"/>
  <c r="I14" i="11"/>
  <c r="D125" i="34"/>
  <c r="M13" i="34"/>
  <c r="M12" i="34"/>
  <c r="M11" i="34"/>
  <c r="M10" i="34"/>
  <c r="M9" i="34"/>
  <c r="M8" i="34"/>
  <c r="K8" i="34"/>
  <c r="M7" i="34"/>
  <c r="K7" i="34"/>
  <c r="M6" i="34"/>
  <c r="K6" i="34"/>
  <c r="M5" i="34"/>
  <c r="K5" i="34"/>
  <c r="C6" i="4"/>
  <c r="C5" i="4"/>
  <c r="L6" i="34" l="1"/>
  <c r="L7" i="34"/>
  <c r="L8" i="34"/>
  <c r="K15" i="34"/>
  <c r="M17" i="34"/>
  <c r="I72" i="11"/>
  <c r="E15" i="3"/>
  <c r="C33" i="4"/>
  <c r="L5" i="34"/>
  <c r="M16" i="34"/>
  <c r="K94" i="30" l="1"/>
  <c r="K93" i="30"/>
  <c r="C92" i="3"/>
  <c r="C93" i="3" s="1"/>
  <c r="C94" i="3" s="1"/>
  <c r="C95" i="3" s="1"/>
  <c r="C96" i="3" s="1"/>
  <c r="C97" i="3" s="1"/>
  <c r="C98" i="3" s="1"/>
  <c r="C90" i="3"/>
  <c r="C89" i="3" s="1"/>
  <c r="G88" i="3"/>
  <c r="H88" i="3" s="1"/>
  <c r="E88" i="3"/>
  <c r="D88" i="3" s="1"/>
  <c r="E73" i="30" l="1"/>
  <c r="E84" i="30"/>
  <c r="E83" i="30"/>
  <c r="D11" i="17" l="1"/>
  <c r="C16" i="4" l="1"/>
  <c r="B14" i="4"/>
  <c r="B13" i="4"/>
  <c r="B12" i="4"/>
  <c r="B22" i="4" s="1"/>
  <c r="C34" i="3" l="1"/>
  <c r="H58" i="28" l="1"/>
  <c r="H59" i="28"/>
  <c r="D3" i="40"/>
  <c r="D31" i="3"/>
  <c r="D38" i="17" s="1"/>
  <c r="D32" i="3"/>
  <c r="D44" i="17" s="1"/>
  <c r="F14" i="3"/>
  <c r="F13" i="3"/>
  <c r="G28" i="33"/>
  <c r="G19" i="33"/>
  <c r="M30" i="3"/>
  <c r="K92" i="30"/>
  <c r="G82" i="30"/>
  <c r="F82" i="30"/>
  <c r="G72" i="30"/>
  <c r="F72" i="30"/>
  <c r="I69" i="11" l="1"/>
  <c r="H69" i="11"/>
  <c r="F37" i="40"/>
  <c r="E37" i="40"/>
  <c r="D37" i="40"/>
  <c r="D44" i="40"/>
  <c r="E44" i="40"/>
  <c r="F44" i="40"/>
  <c r="I59" i="28"/>
  <c r="G61" i="28"/>
  <c r="I58" i="28"/>
  <c r="H61" i="28"/>
  <c r="H82" i="30"/>
  <c r="L82" i="30" s="1"/>
  <c r="H72" i="30"/>
  <c r="L72" i="30" s="1"/>
  <c r="J59" i="28" l="1"/>
  <c r="K59" i="28" s="1"/>
  <c r="I61" i="28"/>
  <c r="J58" i="28"/>
  <c r="K58" i="28" s="1"/>
  <c r="L92" i="30"/>
  <c r="G20" i="33"/>
  <c r="G29" i="33"/>
  <c r="M10" i="33"/>
  <c r="L9" i="33"/>
  <c r="M8" i="33"/>
  <c r="K61" i="28" l="1"/>
  <c r="K63" i="28" s="1"/>
  <c r="K66" i="28" s="1"/>
  <c r="N10" i="33"/>
  <c r="M9" i="33"/>
  <c r="N8" i="33"/>
  <c r="M9" i="32"/>
  <c r="E104" i="30"/>
  <c r="E103" i="30"/>
  <c r="L9" i="30"/>
  <c r="J15" i="14"/>
  <c r="M57" i="3"/>
  <c r="L8" i="32"/>
  <c r="M8" i="32" s="1"/>
  <c r="N8" i="32" s="1"/>
  <c r="O8" i="32" s="1"/>
  <c r="P8" i="32" s="1"/>
  <c r="Q8" i="32" s="1"/>
  <c r="R8" i="32" s="1"/>
  <c r="S8" i="32" s="1"/>
  <c r="T8" i="32" s="1"/>
  <c r="U8" i="32" s="1"/>
  <c r="J14" i="14"/>
  <c r="F126" i="32"/>
  <c r="F122" i="32"/>
  <c r="I96" i="32"/>
  <c r="D25" i="32"/>
  <c r="D20" i="32"/>
  <c r="D15" i="32"/>
  <c r="K127" i="30"/>
  <c r="K123" i="30"/>
  <c r="K117" i="30"/>
  <c r="L25" i="33" s="1"/>
  <c r="K115" i="30"/>
  <c r="K110" i="30"/>
  <c r="K108" i="30"/>
  <c r="N9" i="32" l="1"/>
  <c r="O9" i="32" s="1"/>
  <c r="P9" i="32" s="1"/>
  <c r="L30" i="30"/>
  <c r="L17" i="30"/>
  <c r="O8" i="33"/>
  <c r="O10" i="33"/>
  <c r="N9" i="33"/>
  <c r="L23" i="33"/>
  <c r="L29" i="33" s="1"/>
  <c r="K124" i="30"/>
  <c r="K125" i="30" s="1"/>
  <c r="Q9" i="32" l="1"/>
  <c r="P10" i="33"/>
  <c r="O9" i="33"/>
  <c r="P8" i="33"/>
  <c r="L14" i="33"/>
  <c r="L20" i="33" s="1"/>
  <c r="R9" i="32" l="1"/>
  <c r="Q8" i="33"/>
  <c r="Q10" i="33"/>
  <c r="P9" i="33"/>
  <c r="L127" i="30"/>
  <c r="L123" i="30"/>
  <c r="S9" i="32" l="1"/>
  <c r="R8" i="33"/>
  <c r="R10" i="33"/>
  <c r="Q9" i="33"/>
  <c r="F123" i="30"/>
  <c r="F127" i="30"/>
  <c r="L120" i="30"/>
  <c r="K95" i="30"/>
  <c r="K90" i="30"/>
  <c r="K89" i="30"/>
  <c r="H69" i="30"/>
  <c r="H70" i="30"/>
  <c r="G13" i="3" s="1"/>
  <c r="H71" i="30"/>
  <c r="H79" i="30"/>
  <c r="H80" i="30"/>
  <c r="H81" i="30"/>
  <c r="K91" i="30"/>
  <c r="T9" i="32" l="1"/>
  <c r="L81" i="30"/>
  <c r="G14" i="3"/>
  <c r="L80" i="30"/>
  <c r="S8" i="33"/>
  <c r="S10" i="33"/>
  <c r="R9" i="33"/>
  <c r="L70" i="30"/>
  <c r="D15" i="30"/>
  <c r="U9" i="32" l="1"/>
  <c r="L90" i="30"/>
  <c r="T10" i="33"/>
  <c r="S9" i="33"/>
  <c r="T8" i="33"/>
  <c r="G31" i="30"/>
  <c r="G32" i="30" s="1"/>
  <c r="D25" i="30"/>
  <c r="D20" i="30"/>
  <c r="E51" i="30"/>
  <c r="G18" i="30"/>
  <c r="M10" i="30"/>
  <c r="M82" i="30" l="1"/>
  <c r="M72" i="30"/>
  <c r="U8" i="33"/>
  <c r="U10" i="33"/>
  <c r="T9" i="33"/>
  <c r="M69" i="30"/>
  <c r="M9" i="30"/>
  <c r="M80" i="30"/>
  <c r="M79" i="30"/>
  <c r="M70" i="30"/>
  <c r="N10" i="30"/>
  <c r="M30" i="30" l="1"/>
  <c r="M17" i="30"/>
  <c r="M89" i="30"/>
  <c r="M92" i="30"/>
  <c r="N82" i="30"/>
  <c r="V10" i="33"/>
  <c r="U9" i="33"/>
  <c r="V8" i="33"/>
  <c r="N69" i="30"/>
  <c r="N9" i="30"/>
  <c r="M90" i="30"/>
  <c r="N80" i="30"/>
  <c r="N79" i="30"/>
  <c r="O10" i="30"/>
  <c r="K45" i="4"/>
  <c r="N30" i="30" l="1"/>
  <c r="N17" i="30"/>
  <c r="O82" i="30"/>
  <c r="N89" i="30"/>
  <c r="W10" i="33"/>
  <c r="V9" i="33"/>
  <c r="W8" i="33"/>
  <c r="O69" i="30"/>
  <c r="O9" i="30"/>
  <c r="O80" i="30"/>
  <c r="O79" i="30"/>
  <c r="P10" i="30"/>
  <c r="G157" i="26"/>
  <c r="F157" i="26"/>
  <c r="E157" i="26"/>
  <c r="G126" i="26"/>
  <c r="F126" i="26"/>
  <c r="E126" i="26"/>
  <c r="H82" i="26"/>
  <c r="H81" i="26"/>
  <c r="H80" i="26"/>
  <c r="H79" i="26"/>
  <c r="H78" i="26"/>
  <c r="H77" i="26"/>
  <c r="J11" i="17"/>
  <c r="L52" i="26"/>
  <c r="K52" i="26"/>
  <c r="L51" i="26"/>
  <c r="K51" i="26"/>
  <c r="L50" i="26"/>
  <c r="K50" i="26"/>
  <c r="L49" i="26"/>
  <c r="K49" i="26"/>
  <c r="L48" i="26"/>
  <c r="K48" i="26"/>
  <c r="L47" i="26"/>
  <c r="K47" i="26"/>
  <c r="L46" i="26"/>
  <c r="K46" i="26"/>
  <c r="L45" i="26"/>
  <c r="K45" i="26"/>
  <c r="H52" i="26"/>
  <c r="H51" i="26"/>
  <c r="H50" i="26"/>
  <c r="H49" i="26"/>
  <c r="H48" i="26"/>
  <c r="H47" i="26"/>
  <c r="H46" i="26"/>
  <c r="H45" i="26"/>
  <c r="H126" i="26" l="1"/>
  <c r="H157" i="26"/>
  <c r="O30" i="30"/>
  <c r="O17" i="30"/>
  <c r="O89" i="30"/>
  <c r="P82" i="30"/>
  <c r="X8" i="33"/>
  <c r="X10" i="33"/>
  <c r="W9" i="33"/>
  <c r="P69" i="30"/>
  <c r="P9" i="30"/>
  <c r="P80" i="30"/>
  <c r="P79" i="30"/>
  <c r="Q10" i="30"/>
  <c r="P30" i="30" l="1"/>
  <c r="P17" i="30"/>
  <c r="P89" i="30"/>
  <c r="Q82" i="30"/>
  <c r="Y10" i="33"/>
  <c r="X9" i="33"/>
  <c r="Y8" i="33"/>
  <c r="Q69" i="30"/>
  <c r="Q9" i="30"/>
  <c r="Q80" i="30"/>
  <c r="Q79" i="30"/>
  <c r="R10" i="30"/>
  <c r="Q30" i="30" l="1"/>
  <c r="Q17" i="30"/>
  <c r="Q89" i="30"/>
  <c r="R82" i="30"/>
  <c r="Z8" i="33"/>
  <c r="Y9" i="33"/>
  <c r="Z10" i="33"/>
  <c r="R69" i="30"/>
  <c r="R9" i="30"/>
  <c r="R80" i="30"/>
  <c r="R79" i="30"/>
  <c r="S10" i="30"/>
  <c r="R30" i="30" l="1"/>
  <c r="R17" i="30"/>
  <c r="R89" i="30"/>
  <c r="S82" i="30"/>
  <c r="AA8" i="33"/>
  <c r="AA10" i="33"/>
  <c r="Z9" i="33"/>
  <c r="S69" i="30"/>
  <c r="S9" i="30"/>
  <c r="S80" i="30"/>
  <c r="S79" i="30"/>
  <c r="T10" i="30"/>
  <c r="Q19" i="11"/>
  <c r="R19" i="11" s="1"/>
  <c r="S19" i="11" s="1"/>
  <c r="J3" i="27"/>
  <c r="J9" i="27" s="1"/>
  <c r="S17" i="30" l="1"/>
  <c r="S30" i="30"/>
  <c r="S89" i="30"/>
  <c r="T82" i="30"/>
  <c r="AB10" i="33"/>
  <c r="AA9" i="33"/>
  <c r="AB8" i="33"/>
  <c r="T69" i="30"/>
  <c r="T9" i="30"/>
  <c r="T80" i="30"/>
  <c r="T79" i="30"/>
  <c r="U10" i="30"/>
  <c r="F17" i="27"/>
  <c r="B8" i="27" s="1"/>
  <c r="T30" i="30" l="1"/>
  <c r="T17" i="30"/>
  <c r="T89" i="30"/>
  <c r="U82" i="30"/>
  <c r="AC8" i="33"/>
  <c r="AC10" i="33"/>
  <c r="AB9" i="33"/>
  <c r="U69" i="30"/>
  <c r="U9" i="30"/>
  <c r="U80" i="30"/>
  <c r="U79" i="30"/>
  <c r="V10" i="30"/>
  <c r="C14" i="4"/>
  <c r="C13" i="4"/>
  <c r="C12" i="4"/>
  <c r="U30" i="30" l="1"/>
  <c r="U17" i="30"/>
  <c r="C18" i="4"/>
  <c r="V82" i="30"/>
  <c r="U89" i="30"/>
  <c r="AD10" i="33"/>
  <c r="AC9" i="33"/>
  <c r="AD8" i="33"/>
  <c r="V69" i="30"/>
  <c r="V9" i="30"/>
  <c r="V80" i="30"/>
  <c r="V79" i="30"/>
  <c r="W10" i="30"/>
  <c r="C74" i="28" l="1"/>
  <c r="E74" i="28" s="1"/>
  <c r="C82" i="28"/>
  <c r="E82" i="28" s="1"/>
  <c r="D15" i="4"/>
  <c r="K64" i="28"/>
  <c r="C13" i="28" s="1"/>
  <c r="J55" i="28"/>
  <c r="C11" i="28" s="1"/>
  <c r="K67" i="28"/>
  <c r="V30" i="30"/>
  <c r="V17" i="30"/>
  <c r="D13" i="4"/>
  <c r="I36" i="11"/>
  <c r="D14" i="4"/>
  <c r="D16" i="4"/>
  <c r="D12" i="4"/>
  <c r="V89" i="30"/>
  <c r="W82" i="30"/>
  <c r="AE10" i="33"/>
  <c r="AD9" i="33"/>
  <c r="AE8" i="33"/>
  <c r="W69" i="30"/>
  <c r="W9" i="30"/>
  <c r="W80" i="30"/>
  <c r="W79" i="30"/>
  <c r="X10" i="30"/>
  <c r="E86" i="28" l="1"/>
  <c r="E87" i="28" s="1"/>
  <c r="C10" i="28" s="1"/>
  <c r="C20" i="28" s="1"/>
  <c r="W30" i="30"/>
  <c r="W17" i="30"/>
  <c r="X82" i="30"/>
  <c r="AF10" i="33"/>
  <c r="AE9" i="33"/>
  <c r="AF8" i="33"/>
  <c r="X69" i="30"/>
  <c r="X9" i="30"/>
  <c r="W89" i="30"/>
  <c r="X80" i="30"/>
  <c r="X79" i="30"/>
  <c r="Y10" i="30"/>
  <c r="H11" i="17"/>
  <c r="F11" i="17"/>
  <c r="J12" i="14"/>
  <c r="J11" i="14"/>
  <c r="J10" i="14"/>
  <c r="E22" i="14"/>
  <c r="E23" i="14" s="1"/>
  <c r="H69" i="3"/>
  <c r="D71" i="17"/>
  <c r="I13" i="4" s="1"/>
  <c r="E22" i="11"/>
  <c r="F21" i="27"/>
  <c r="F18" i="27"/>
  <c r="B15" i="27" s="1"/>
  <c r="B16" i="27" s="1"/>
  <c r="G9" i="27"/>
  <c r="B52" i="27" s="1"/>
  <c r="B5" i="27"/>
  <c r="B9" i="27" s="1"/>
  <c r="F9" i="27"/>
  <c r="B11" i="27" s="1"/>
  <c r="B12" i="27" s="1"/>
  <c r="E1" i="27"/>
  <c r="E100" i="26"/>
  <c r="G100" i="26"/>
  <c r="H76" i="26"/>
  <c r="P29" i="16"/>
  <c r="K12" i="16"/>
  <c r="N11" i="16"/>
  <c r="O11" i="16" s="1"/>
  <c r="K11" i="16"/>
  <c r="N10" i="16"/>
  <c r="O10" i="16" s="1"/>
  <c r="K10" i="16"/>
  <c r="N9" i="16"/>
  <c r="O9" i="16" s="1"/>
  <c r="K9" i="16"/>
  <c r="N8" i="16"/>
  <c r="O8" i="16" s="1"/>
  <c r="K8" i="16"/>
  <c r="N7" i="16"/>
  <c r="O7" i="16" s="1"/>
  <c r="K7" i="16"/>
  <c r="N6" i="16"/>
  <c r="K6" i="16"/>
  <c r="K20" i="3"/>
  <c r="B7" i="16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H82" i="17"/>
  <c r="E71" i="26"/>
  <c r="F71" i="26"/>
  <c r="G71" i="26"/>
  <c r="H44" i="26"/>
  <c r="K12" i="3"/>
  <c r="L12" i="3" s="1"/>
  <c r="L44" i="26"/>
  <c r="K44" i="26"/>
  <c r="K76" i="26"/>
  <c r="L76" i="26"/>
  <c r="J8" i="17"/>
  <c r="H8" i="17"/>
  <c r="H19" i="26"/>
  <c r="H18" i="26"/>
  <c r="H17" i="26"/>
  <c r="H16" i="26"/>
  <c r="H15" i="26"/>
  <c r="H14" i="26"/>
  <c r="H13" i="26"/>
  <c r="F82" i="17"/>
  <c r="B29" i="16"/>
  <c r="F8" i="17"/>
  <c r="F38" i="17" s="1"/>
  <c r="K13" i="26"/>
  <c r="L13" i="26"/>
  <c r="K9" i="14"/>
  <c r="K10" i="14" s="1"/>
  <c r="K16" i="14"/>
  <c r="D22" i="14"/>
  <c r="D23" i="14"/>
  <c r="D27" i="14"/>
  <c r="D28" i="14"/>
  <c r="D34" i="14"/>
  <c r="D35" i="14"/>
  <c r="D36" i="14"/>
  <c r="D42" i="14"/>
  <c r="D43" i="14"/>
  <c r="D44" i="14"/>
  <c r="D50" i="14"/>
  <c r="D51" i="14"/>
  <c r="D52" i="14"/>
  <c r="D58" i="14"/>
  <c r="D59" i="14"/>
  <c r="D66" i="14"/>
  <c r="I66" i="14"/>
  <c r="L66" i="14"/>
  <c r="E72" i="14"/>
  <c r="E81" i="14"/>
  <c r="I82" i="14"/>
  <c r="E91" i="14"/>
  <c r="I92" i="14"/>
  <c r="Q23" i="11"/>
  <c r="R23" i="11" s="1"/>
  <c r="S23" i="11" s="1"/>
  <c r="D6" i="17"/>
  <c r="D52" i="17" s="1"/>
  <c r="C54" i="3"/>
  <c r="D54" i="3"/>
  <c r="D54" i="32" s="1"/>
  <c r="I56" i="3"/>
  <c r="G49" i="30" s="1"/>
  <c r="J56" i="3"/>
  <c r="H65" i="3"/>
  <c r="B67" i="3"/>
  <c r="J80" i="3"/>
  <c r="J81" i="3"/>
  <c r="D51" i="4"/>
  <c r="C11" i="25"/>
  <c r="E51" i="4"/>
  <c r="D52" i="4" s="1"/>
  <c r="E52" i="4" s="1"/>
  <c r="F15" i="3"/>
  <c r="D72" i="17"/>
  <c r="I14" i="4" s="1"/>
  <c r="I16" i="4"/>
  <c r="N29" i="3"/>
  <c r="P29" i="3" s="1"/>
  <c r="C30" i="4"/>
  <c r="E12" i="3"/>
  <c r="N25" i="3"/>
  <c r="M26" i="3"/>
  <c r="E69" i="30" l="1"/>
  <c r="H9" i="11"/>
  <c r="I9" i="11"/>
  <c r="H100" i="26"/>
  <c r="H71" i="26"/>
  <c r="H44" i="17"/>
  <c r="H58" i="17" s="1"/>
  <c r="H38" i="17"/>
  <c r="J58" i="17"/>
  <c r="J38" i="17"/>
  <c r="I27" i="16"/>
  <c r="L27" i="16"/>
  <c r="K27" i="16"/>
  <c r="O6" i="16"/>
  <c r="O27" i="16" s="1"/>
  <c r="N27" i="16"/>
  <c r="X30" i="30"/>
  <c r="X17" i="30"/>
  <c r="J82" i="17"/>
  <c r="Q11" i="17"/>
  <c r="D47" i="32"/>
  <c r="L16" i="14"/>
  <c r="K15" i="14"/>
  <c r="X89" i="30"/>
  <c r="AG8" i="33"/>
  <c r="AG10" i="33"/>
  <c r="AF9" i="33"/>
  <c r="Y69" i="30"/>
  <c r="Y9" i="30"/>
  <c r="Y79" i="30"/>
  <c r="E55" i="30"/>
  <c r="I54" i="3"/>
  <c r="D50" i="32" s="1"/>
  <c r="D48" i="30"/>
  <c r="D55" i="30"/>
  <c r="G55" i="30"/>
  <c r="G20" i="30"/>
  <c r="K11" i="11"/>
  <c r="Z10" i="30"/>
  <c r="K44" i="4"/>
  <c r="F58" i="17"/>
  <c r="J35" i="17"/>
  <c r="J64" i="17" s="1"/>
  <c r="F23" i="17"/>
  <c r="F54" i="17" s="1"/>
  <c r="I94" i="14"/>
  <c r="F24" i="17"/>
  <c r="F70" i="17" s="1"/>
  <c r="J24" i="17"/>
  <c r="J70" i="17" s="1"/>
  <c r="J34" i="17"/>
  <c r="J72" i="17" s="1"/>
  <c r="F33" i="27"/>
  <c r="K12" i="14"/>
  <c r="F34" i="17"/>
  <c r="F30" i="17"/>
  <c r="F29" i="17"/>
  <c r="J23" i="17"/>
  <c r="J54" i="17" s="1"/>
  <c r="B34" i="27"/>
  <c r="S24" i="11" s="1"/>
  <c r="F25" i="17"/>
  <c r="F62" i="17" s="1"/>
  <c r="B46" i="27"/>
  <c r="H54" i="3"/>
  <c r="I84" i="14"/>
  <c r="B13" i="27"/>
  <c r="J33" i="17"/>
  <c r="J56" i="17" s="1"/>
  <c r="B17" i="27"/>
  <c r="B18" i="27" s="1"/>
  <c r="J25" i="17"/>
  <c r="J62" i="17" s="1"/>
  <c r="H24" i="17"/>
  <c r="H70" i="17" s="1"/>
  <c r="H29" i="17"/>
  <c r="H71" i="17" s="1"/>
  <c r="F35" i="17"/>
  <c r="F27" i="27"/>
  <c r="J10" i="17"/>
  <c r="K10" i="11"/>
  <c r="F10" i="17"/>
  <c r="B28" i="27"/>
  <c r="R24" i="11" s="1"/>
  <c r="H34" i="17"/>
  <c r="H72" i="17" s="1"/>
  <c r="K11" i="14"/>
  <c r="B40" i="27"/>
  <c r="F33" i="17"/>
  <c r="F56" i="17" s="1"/>
  <c r="H23" i="17"/>
  <c r="H54" i="17" s="1"/>
  <c r="J28" i="17"/>
  <c r="J55" i="17" s="1"/>
  <c r="J29" i="17"/>
  <c r="J71" i="17" s="1"/>
  <c r="H25" i="17"/>
  <c r="H62" i="17" s="1"/>
  <c r="H30" i="17"/>
  <c r="H63" i="17" s="1"/>
  <c r="H35" i="17"/>
  <c r="H64" i="17" s="1"/>
  <c r="B22" i="27"/>
  <c r="Q24" i="11" s="1"/>
  <c r="F28" i="17"/>
  <c r="F55" i="17" s="1"/>
  <c r="H28" i="17"/>
  <c r="H55" i="17" s="1"/>
  <c r="H10" i="17"/>
  <c r="K16" i="3"/>
  <c r="J30" i="17"/>
  <c r="J63" i="17" s="1"/>
  <c r="H33" i="17"/>
  <c r="H56" i="17" s="1"/>
  <c r="B6" i="27"/>
  <c r="P20" i="11"/>
  <c r="I11" i="11" l="1"/>
  <c r="H11" i="11"/>
  <c r="I10" i="11"/>
  <c r="H10" i="11"/>
  <c r="Q56" i="17"/>
  <c r="Q55" i="17"/>
  <c r="Q54" i="17"/>
  <c r="Q62" i="17" s="1"/>
  <c r="Q58" i="17"/>
  <c r="H78" i="17"/>
  <c r="F78" i="17"/>
  <c r="J78" i="17"/>
  <c r="Y30" i="30"/>
  <c r="Y17" i="30"/>
  <c r="J14" i="4"/>
  <c r="J13" i="4"/>
  <c r="J12" i="4"/>
  <c r="F30" i="3"/>
  <c r="F14" i="4" s="1"/>
  <c r="D48" i="32"/>
  <c r="M16" i="14"/>
  <c r="L15" i="14"/>
  <c r="E79" i="30"/>
  <c r="L79" i="30" s="1"/>
  <c r="Y89" i="30"/>
  <c r="L69" i="30"/>
  <c r="AH10" i="33"/>
  <c r="AG9" i="33"/>
  <c r="AH8" i="33"/>
  <c r="Z69" i="30"/>
  <c r="Z9" i="30"/>
  <c r="Z79" i="30"/>
  <c r="D51" i="30"/>
  <c r="D49" i="30"/>
  <c r="AA10" i="30"/>
  <c r="H12" i="4"/>
  <c r="H79" i="17"/>
  <c r="H80" i="17"/>
  <c r="J80" i="17"/>
  <c r="J79" i="17"/>
  <c r="H14" i="4"/>
  <c r="H13" i="4"/>
  <c r="E14" i="4"/>
  <c r="F72" i="17"/>
  <c r="F71" i="17"/>
  <c r="F64" i="17"/>
  <c r="F63" i="17"/>
  <c r="P24" i="11"/>
  <c r="F26" i="17"/>
  <c r="F59" i="17"/>
  <c r="J26" i="17"/>
  <c r="J36" i="17"/>
  <c r="J59" i="17"/>
  <c r="F31" i="17"/>
  <c r="F36" i="17"/>
  <c r="H26" i="17"/>
  <c r="H36" i="17"/>
  <c r="H59" i="17"/>
  <c r="H75" i="17" s="1"/>
  <c r="H20" i="17" s="1"/>
  <c r="H31" i="17"/>
  <c r="P26" i="11"/>
  <c r="D55" i="3"/>
  <c r="E49" i="30" s="1"/>
  <c r="J31" i="17"/>
  <c r="Q64" i="17" l="1"/>
  <c r="Q35" i="17" s="1"/>
  <c r="Q72" i="17"/>
  <c r="Q39" i="17" s="1"/>
  <c r="Q63" i="17"/>
  <c r="Q30" i="17" s="1"/>
  <c r="Q70" i="17"/>
  <c r="Q78" i="17" s="1"/>
  <c r="Q71" i="17"/>
  <c r="J75" i="17"/>
  <c r="J20" i="17" s="1"/>
  <c r="J67" i="17"/>
  <c r="Z30" i="30"/>
  <c r="Z17" i="30"/>
  <c r="I18" i="4"/>
  <c r="J16" i="4"/>
  <c r="H16" i="4"/>
  <c r="F28" i="3"/>
  <c r="D36" i="17"/>
  <c r="F29" i="3"/>
  <c r="F13" i="4" s="1"/>
  <c r="L89" i="30"/>
  <c r="Z89" i="30"/>
  <c r="N16" i="14"/>
  <c r="M15" i="14"/>
  <c r="AI10" i="33"/>
  <c r="AH9" i="33"/>
  <c r="AI8" i="33"/>
  <c r="AA69" i="30"/>
  <c r="AA9" i="30"/>
  <c r="M8" i="30"/>
  <c r="K46" i="4"/>
  <c r="D54" i="4"/>
  <c r="L62" i="30"/>
  <c r="L117" i="30"/>
  <c r="M25" i="33" s="1"/>
  <c r="L110" i="30"/>
  <c r="L16" i="33" s="1"/>
  <c r="AA79" i="30"/>
  <c r="AB10" i="30"/>
  <c r="F80" i="17"/>
  <c r="F79" i="17"/>
  <c r="Q46" i="17"/>
  <c r="S46" i="17" s="1"/>
  <c r="Q82" i="17"/>
  <c r="Q47" i="17" s="1"/>
  <c r="K14" i="4"/>
  <c r="D31" i="17"/>
  <c r="E12" i="4"/>
  <c r="E13" i="4"/>
  <c r="Q25" i="17"/>
  <c r="R25" i="17" s="1"/>
  <c r="S25" i="17" s="1"/>
  <c r="Q59" i="17"/>
  <c r="Q45" i="17"/>
  <c r="S45" i="17" s="1"/>
  <c r="D26" i="17"/>
  <c r="D82" i="17"/>
  <c r="D47" i="17"/>
  <c r="F75" i="17"/>
  <c r="D30" i="3"/>
  <c r="D33" i="17" s="1"/>
  <c r="D29" i="3"/>
  <c r="D28" i="17" s="1"/>
  <c r="P28" i="11"/>
  <c r="F67" i="17"/>
  <c r="H67" i="17"/>
  <c r="K14" i="14"/>
  <c r="H22" i="28"/>
  <c r="P22" i="28"/>
  <c r="J19" i="28"/>
  <c r="M16" i="28"/>
  <c r="P15" i="28"/>
  <c r="H15" i="28"/>
  <c r="K12" i="28"/>
  <c r="N9" i="28"/>
  <c r="F9" i="28"/>
  <c r="I22" i="28"/>
  <c r="E22" i="28"/>
  <c r="I19" i="28"/>
  <c r="L16" i="28"/>
  <c r="O15" i="28"/>
  <c r="G15" i="28"/>
  <c r="J12" i="28"/>
  <c r="M9" i="28"/>
  <c r="E19" i="28"/>
  <c r="J22" i="28"/>
  <c r="P19" i="28"/>
  <c r="H19" i="28"/>
  <c r="K16" i="28"/>
  <c r="N15" i="28"/>
  <c r="F15" i="28"/>
  <c r="I12" i="28"/>
  <c r="L9" i="28"/>
  <c r="E16" i="28"/>
  <c r="K22" i="28"/>
  <c r="O19" i="28"/>
  <c r="G19" i="28"/>
  <c r="J16" i="28"/>
  <c r="M15" i="28"/>
  <c r="P12" i="28"/>
  <c r="H12" i="28"/>
  <c r="K9" i="28"/>
  <c r="E15" i="28"/>
  <c r="L22" i="28"/>
  <c r="N19" i="28"/>
  <c r="F19" i="28"/>
  <c r="I16" i="28"/>
  <c r="L15" i="28"/>
  <c r="O12" i="28"/>
  <c r="G12" i="28"/>
  <c r="J9" i="28"/>
  <c r="E12" i="28"/>
  <c r="G29" i="16"/>
  <c r="M22" i="28"/>
  <c r="M19" i="28"/>
  <c r="P16" i="28"/>
  <c r="H16" i="28"/>
  <c r="K15" i="28"/>
  <c r="N12" i="28"/>
  <c r="F12" i="28"/>
  <c r="I9" i="28"/>
  <c r="E9" i="28"/>
  <c r="F22" i="28"/>
  <c r="N22" i="28"/>
  <c r="L19" i="28"/>
  <c r="O16" i="28"/>
  <c r="G16" i="28"/>
  <c r="J15" i="28"/>
  <c r="M12" i="28"/>
  <c r="P9" i="28"/>
  <c r="H9" i="28"/>
  <c r="M77" i="3"/>
  <c r="G22" i="28"/>
  <c r="O22" i="28"/>
  <c r="K19" i="28"/>
  <c r="N16" i="28"/>
  <c r="F16" i="28"/>
  <c r="I15" i="28"/>
  <c r="L12" i="28"/>
  <c r="O9" i="28"/>
  <c r="G9" i="28"/>
  <c r="D8" i="17"/>
  <c r="D57" i="17" s="1"/>
  <c r="D28" i="3"/>
  <c r="D23" i="17" s="1"/>
  <c r="D34" i="3"/>
  <c r="P12" i="3"/>
  <c r="M147" i="30" l="1"/>
  <c r="Q67" i="17"/>
  <c r="Q10" i="17" s="1"/>
  <c r="Q75" i="17"/>
  <c r="Q20" i="17" s="1"/>
  <c r="R12" i="28"/>
  <c r="R16" i="28"/>
  <c r="R15" i="28"/>
  <c r="R19" i="28"/>
  <c r="R9" i="28"/>
  <c r="Q40" i="17"/>
  <c r="R40" i="17" s="1"/>
  <c r="S40" i="17" s="1"/>
  <c r="Q34" i="17"/>
  <c r="R34" i="17" s="1"/>
  <c r="S34" i="17" s="1"/>
  <c r="M122" i="30"/>
  <c r="M66" i="30"/>
  <c r="Q8" i="17"/>
  <c r="R8" i="17" s="1"/>
  <c r="S8" i="17" s="1"/>
  <c r="D54" i="17"/>
  <c r="J21" i="17"/>
  <c r="N8" i="30"/>
  <c r="Q79" i="17"/>
  <c r="Q31" i="17" s="1"/>
  <c r="AA17" i="30"/>
  <c r="AA30" i="30"/>
  <c r="Q29" i="17"/>
  <c r="R29" i="17" s="1"/>
  <c r="S29" i="17" s="1"/>
  <c r="H18" i="4"/>
  <c r="J18" i="4"/>
  <c r="D64" i="17"/>
  <c r="D80" i="17" s="1"/>
  <c r="E16" i="4"/>
  <c r="F32" i="3"/>
  <c r="R35" i="17"/>
  <c r="S35" i="17" s="1"/>
  <c r="F12" i="4"/>
  <c r="O16" i="14"/>
  <c r="N15" i="14"/>
  <c r="AJ8" i="33"/>
  <c r="AJ10" i="33"/>
  <c r="AI9" i="33"/>
  <c r="AB69" i="30"/>
  <c r="AB9" i="30"/>
  <c r="L124" i="30"/>
  <c r="L125" i="30" s="1"/>
  <c r="M121" i="30" s="1"/>
  <c r="M62" i="30"/>
  <c r="M117" i="30"/>
  <c r="N25" i="33" s="1"/>
  <c r="M110" i="30"/>
  <c r="M16" i="33" s="1"/>
  <c r="AB79" i="30"/>
  <c r="AA89" i="30"/>
  <c r="N28" i="3"/>
  <c r="P28" i="3" s="1"/>
  <c r="AC10" i="30"/>
  <c r="F83" i="17"/>
  <c r="Q80" i="17"/>
  <c r="Q36" i="17" s="1"/>
  <c r="J83" i="17"/>
  <c r="H21" i="17"/>
  <c r="H83" i="17"/>
  <c r="D55" i="17"/>
  <c r="D18" i="4"/>
  <c r="K12" i="4"/>
  <c r="D63" i="17"/>
  <c r="D79" i="17" s="1"/>
  <c r="R30" i="17"/>
  <c r="S30" i="17" s="1"/>
  <c r="K13" i="4"/>
  <c r="R47" i="17"/>
  <c r="S47" i="17" s="1"/>
  <c r="F20" i="17"/>
  <c r="F21" i="17"/>
  <c r="P30" i="11"/>
  <c r="L14" i="14"/>
  <c r="D58" i="17"/>
  <c r="O11" i="28"/>
  <c r="J11" i="28"/>
  <c r="L11" i="28"/>
  <c r="E11" i="28"/>
  <c r="K11" i="28"/>
  <c r="G11" i="28"/>
  <c r="P11" i="28"/>
  <c r="M11" i="28"/>
  <c r="N11" i="28"/>
  <c r="F11" i="28"/>
  <c r="H11" i="28"/>
  <c r="I11" i="28"/>
  <c r="P18" i="28"/>
  <c r="L18" i="28"/>
  <c r="O18" i="28"/>
  <c r="K18" i="28"/>
  <c r="F18" i="28"/>
  <c r="H18" i="28"/>
  <c r="N18" i="28"/>
  <c r="G18" i="28"/>
  <c r="M18" i="28"/>
  <c r="E18" i="28"/>
  <c r="J18" i="28"/>
  <c r="I18" i="28"/>
  <c r="D56" i="17"/>
  <c r="J69" i="3"/>
  <c r="J67" i="3"/>
  <c r="J68" i="3"/>
  <c r="J65" i="3"/>
  <c r="P21" i="11"/>
  <c r="I14" i="28"/>
  <c r="O14" i="28"/>
  <c r="M14" i="28"/>
  <c r="F14" i="28"/>
  <c r="K14" i="28"/>
  <c r="G14" i="28"/>
  <c r="H14" i="28"/>
  <c r="N14" i="28"/>
  <c r="J14" i="28"/>
  <c r="E14" i="28"/>
  <c r="L14" i="28"/>
  <c r="P14" i="28"/>
  <c r="R22" i="28"/>
  <c r="N147" i="30" l="1"/>
  <c r="R14" i="28"/>
  <c r="R18" i="28"/>
  <c r="N24" i="28"/>
  <c r="F24" i="28"/>
  <c r="O24" i="28"/>
  <c r="M24" i="28"/>
  <c r="E24" i="28"/>
  <c r="H24" i="28"/>
  <c r="L24" i="28"/>
  <c r="K24" i="28"/>
  <c r="J24" i="28"/>
  <c r="P24" i="28"/>
  <c r="I24" i="28"/>
  <c r="G24" i="28"/>
  <c r="R11" i="28"/>
  <c r="K16" i="4"/>
  <c r="N66" i="30"/>
  <c r="N122" i="30"/>
  <c r="R31" i="17"/>
  <c r="S31" i="17" s="1"/>
  <c r="AB30" i="30"/>
  <c r="AB17" i="30"/>
  <c r="F34" i="3"/>
  <c r="F16" i="4"/>
  <c r="K17" i="3"/>
  <c r="P16" i="14"/>
  <c r="O15" i="14"/>
  <c r="AB89" i="30"/>
  <c r="AK10" i="33"/>
  <c r="AJ9" i="33"/>
  <c r="AK8" i="33"/>
  <c r="AC69" i="30"/>
  <c r="AC9" i="30"/>
  <c r="M120" i="30"/>
  <c r="M123" i="30"/>
  <c r="M127" i="30"/>
  <c r="N62" i="30"/>
  <c r="N117" i="30"/>
  <c r="O25" i="33" s="1"/>
  <c r="N110" i="30"/>
  <c r="N16" i="33" s="1"/>
  <c r="AC79" i="30"/>
  <c r="O8" i="30"/>
  <c r="AD10" i="30"/>
  <c r="R36" i="17"/>
  <c r="S36" i="17" s="1"/>
  <c r="Q83" i="17"/>
  <c r="Q21" i="17"/>
  <c r="M14" i="14"/>
  <c r="D59" i="17"/>
  <c r="D67" i="17" s="1"/>
  <c r="G17" i="28"/>
  <c r="N17" i="28"/>
  <c r="F17" i="28"/>
  <c r="I17" i="28"/>
  <c r="K17" i="28"/>
  <c r="P17" i="28"/>
  <c r="E17" i="28"/>
  <c r="H17" i="28"/>
  <c r="M17" i="28"/>
  <c r="L17" i="28"/>
  <c r="J17" i="28"/>
  <c r="O17" i="28"/>
  <c r="K10" i="28"/>
  <c r="H10" i="28"/>
  <c r="J10" i="28"/>
  <c r="N10" i="28"/>
  <c r="I10" i="28"/>
  <c r="M10" i="28"/>
  <c r="E10" i="28"/>
  <c r="O10" i="28"/>
  <c r="G10" i="28"/>
  <c r="F10" i="28"/>
  <c r="L10" i="28"/>
  <c r="P10" i="28"/>
  <c r="K13" i="28"/>
  <c r="G13" i="28"/>
  <c r="M13" i="28"/>
  <c r="I13" i="28"/>
  <c r="O13" i="28"/>
  <c r="J13" i="28"/>
  <c r="P13" i="28"/>
  <c r="N13" i="28"/>
  <c r="H13" i="28"/>
  <c r="F13" i="28"/>
  <c r="L13" i="28"/>
  <c r="E13" i="28"/>
  <c r="J72" i="3"/>
  <c r="J70" i="3"/>
  <c r="J35" i="4" s="1"/>
  <c r="J71" i="3"/>
  <c r="O147" i="30" l="1"/>
  <c r="G31" i="3"/>
  <c r="D4" i="40"/>
  <c r="I20" i="28"/>
  <c r="P20" i="28"/>
  <c r="R10" i="28"/>
  <c r="E20" i="28"/>
  <c r="M20" i="28"/>
  <c r="F20" i="28"/>
  <c r="N20" i="28"/>
  <c r="J20" i="28"/>
  <c r="K20" i="28"/>
  <c r="L20" i="28"/>
  <c r="H20" i="28"/>
  <c r="G20" i="28"/>
  <c r="R13" i="28"/>
  <c r="O20" i="28"/>
  <c r="O66" i="30"/>
  <c r="O122" i="30"/>
  <c r="G32" i="3"/>
  <c r="E18" i="30"/>
  <c r="AC30" i="30"/>
  <c r="AC17" i="30"/>
  <c r="F40" i="3"/>
  <c r="K15" i="3"/>
  <c r="G30" i="3"/>
  <c r="C55" i="3"/>
  <c r="M75" i="3" s="1"/>
  <c r="M76" i="3" s="1"/>
  <c r="G28" i="3"/>
  <c r="F43" i="3"/>
  <c r="E34" i="3"/>
  <c r="D10" i="17" s="1"/>
  <c r="R10" i="17" s="1"/>
  <c r="S10" i="17" s="1"/>
  <c r="G29" i="3"/>
  <c r="F18" i="4"/>
  <c r="G15" i="4" s="1"/>
  <c r="L19" i="30"/>
  <c r="Q16" i="14"/>
  <c r="P15" i="14"/>
  <c r="AL10" i="33"/>
  <c r="AK9" i="33"/>
  <c r="AL8" i="33"/>
  <c r="AD69" i="30"/>
  <c r="AD9" i="30"/>
  <c r="M124" i="30"/>
  <c r="O62" i="30"/>
  <c r="O110" i="30"/>
  <c r="O16" i="33" s="1"/>
  <c r="O117" i="30"/>
  <c r="P25" i="33" s="1"/>
  <c r="AD79" i="30"/>
  <c r="AD71" i="30"/>
  <c r="AC89" i="30"/>
  <c r="P8" i="30"/>
  <c r="AE10" i="30"/>
  <c r="Q85" i="17"/>
  <c r="D75" i="17"/>
  <c r="D21" i="17" s="1"/>
  <c r="N14" i="14"/>
  <c r="R17" i="28"/>
  <c r="P147" i="30" l="1"/>
  <c r="F42" i="3"/>
  <c r="P66" i="30"/>
  <c r="P122" i="30"/>
  <c r="AD30" i="30"/>
  <c r="AD17" i="30"/>
  <c r="J35" i="3"/>
  <c r="J36" i="3"/>
  <c r="K27" i="3"/>
  <c r="K29" i="3" s="1"/>
  <c r="L29" i="3" s="1"/>
  <c r="E55" i="3"/>
  <c r="E57" i="3" s="1"/>
  <c r="G34" i="3"/>
  <c r="J55" i="3"/>
  <c r="E25" i="30" s="1"/>
  <c r="I29" i="16"/>
  <c r="G12" i="4"/>
  <c r="G14" i="4"/>
  <c r="G13" i="4"/>
  <c r="E18" i="4"/>
  <c r="K18" i="4" s="1"/>
  <c r="G16" i="4"/>
  <c r="E20" i="30"/>
  <c r="R16" i="14"/>
  <c r="Q15" i="14"/>
  <c r="AE72" i="30"/>
  <c r="AD89" i="30"/>
  <c r="AM10" i="33"/>
  <c r="AL9" i="33"/>
  <c r="AM8" i="33"/>
  <c r="AE69" i="30"/>
  <c r="AE9" i="30"/>
  <c r="M125" i="30"/>
  <c r="N121" i="30" s="1"/>
  <c r="N123" i="30" s="1"/>
  <c r="P62" i="30"/>
  <c r="P117" i="30"/>
  <c r="Q25" i="33" s="1"/>
  <c r="P110" i="30"/>
  <c r="P16" i="33" s="1"/>
  <c r="AE79" i="30"/>
  <c r="AE71" i="30"/>
  <c r="AE70" i="30"/>
  <c r="Q8" i="30"/>
  <c r="AF10" i="30"/>
  <c r="D20" i="17"/>
  <c r="D83" i="17"/>
  <c r="O14" i="14"/>
  <c r="R20" i="28"/>
  <c r="Q147" i="30" l="1"/>
  <c r="C10" i="37"/>
  <c r="C8" i="4"/>
  <c r="E33" i="4" s="1"/>
  <c r="H29" i="16"/>
  <c r="Q122" i="30"/>
  <c r="Q66" i="30"/>
  <c r="AE17" i="30"/>
  <c r="AE30" i="30"/>
  <c r="J37" i="3"/>
  <c r="C12" i="3"/>
  <c r="K34" i="3"/>
  <c r="K32" i="3"/>
  <c r="K30" i="3"/>
  <c r="K28" i="3"/>
  <c r="L28" i="3" s="1"/>
  <c r="S20" i="17"/>
  <c r="G18" i="4"/>
  <c r="S16" i="14"/>
  <c r="R15" i="14"/>
  <c r="AF72" i="30"/>
  <c r="AN8" i="33"/>
  <c r="AN10" i="33"/>
  <c r="AM9" i="33"/>
  <c r="AF69" i="30"/>
  <c r="AF9" i="30"/>
  <c r="N120" i="30"/>
  <c r="N127" i="30"/>
  <c r="N124" i="30"/>
  <c r="Q62" i="30"/>
  <c r="Q110" i="30"/>
  <c r="Q16" i="33" s="1"/>
  <c r="Q117" i="30"/>
  <c r="R25" i="33" s="1"/>
  <c r="AF79" i="30"/>
  <c r="AF71" i="30"/>
  <c r="AF70" i="30"/>
  <c r="AE89" i="30"/>
  <c r="R8" i="30"/>
  <c r="AG10" i="30"/>
  <c r="R20" i="17"/>
  <c r="H55" i="3"/>
  <c r="R21" i="17"/>
  <c r="S21" i="17"/>
  <c r="P14" i="14"/>
  <c r="R147" i="30" l="1"/>
  <c r="C7" i="37"/>
  <c r="C13" i="37" s="1"/>
  <c r="D6" i="40"/>
  <c r="E30" i="4"/>
  <c r="R66" i="30"/>
  <c r="R122" i="30"/>
  <c r="AF30" i="30"/>
  <c r="AF17" i="30"/>
  <c r="AF89" i="30"/>
  <c r="T16" i="14"/>
  <c r="S15" i="14"/>
  <c r="AG72" i="30"/>
  <c r="AO8" i="33"/>
  <c r="AO10" i="33"/>
  <c r="AN9" i="33"/>
  <c r="AG69" i="30"/>
  <c r="AG9" i="30"/>
  <c r="N125" i="30"/>
  <c r="O121" i="30" s="1"/>
  <c r="O123" i="30" s="1"/>
  <c r="R62" i="30"/>
  <c r="R117" i="30"/>
  <c r="S25" i="33" s="1"/>
  <c r="R110" i="30"/>
  <c r="R16" i="33" s="1"/>
  <c r="E23" i="30"/>
  <c r="E24" i="30"/>
  <c r="AG79" i="30"/>
  <c r="AG71" i="30"/>
  <c r="AG70" i="30"/>
  <c r="S8" i="30"/>
  <c r="AH10" i="30"/>
  <c r="H57" i="3"/>
  <c r="Q14" i="14"/>
  <c r="S147" i="30" l="1"/>
  <c r="S66" i="30"/>
  <c r="S122" i="30"/>
  <c r="AG30" i="30"/>
  <c r="AG17" i="30"/>
  <c r="U16" i="14"/>
  <c r="T15" i="14"/>
  <c r="AH72" i="30"/>
  <c r="AP10" i="33"/>
  <c r="AO9" i="33"/>
  <c r="AP8" i="33"/>
  <c r="O120" i="30"/>
  <c r="AH69" i="30"/>
  <c r="AH9" i="30"/>
  <c r="O127" i="30"/>
  <c r="O124" i="30"/>
  <c r="S62" i="30"/>
  <c r="S117" i="30"/>
  <c r="T25" i="33" s="1"/>
  <c r="S110" i="30"/>
  <c r="S16" i="33" s="1"/>
  <c r="AH79" i="30"/>
  <c r="AH71" i="30"/>
  <c r="AH70" i="30"/>
  <c r="AG89" i="30"/>
  <c r="T8" i="30"/>
  <c r="AI10" i="30"/>
  <c r="R14" i="14"/>
  <c r="T147" i="30" l="1"/>
  <c r="T66" i="30"/>
  <c r="T122" i="30"/>
  <c r="AH30" i="30"/>
  <c r="AH17" i="30"/>
  <c r="V16" i="14"/>
  <c r="U15" i="14"/>
  <c r="AH89" i="30"/>
  <c r="AI72" i="30"/>
  <c r="AQ8" i="33"/>
  <c r="AQ10" i="33"/>
  <c r="AP9" i="33"/>
  <c r="AI69" i="30"/>
  <c r="AI9" i="30"/>
  <c r="O125" i="30"/>
  <c r="P121" i="30" s="1"/>
  <c r="P127" i="30" s="1"/>
  <c r="T62" i="30"/>
  <c r="T117" i="30"/>
  <c r="U25" i="33" s="1"/>
  <c r="T110" i="30"/>
  <c r="T16" i="33" s="1"/>
  <c r="AI79" i="30"/>
  <c r="AI71" i="30"/>
  <c r="AI70" i="30"/>
  <c r="U8" i="30"/>
  <c r="AJ10" i="30"/>
  <c r="S14" i="14"/>
  <c r="U147" i="30" l="1"/>
  <c r="U122" i="30"/>
  <c r="U66" i="30"/>
  <c r="AI30" i="30"/>
  <c r="AI17" i="30"/>
  <c r="W16" i="14"/>
  <c r="V15" i="14"/>
  <c r="AJ72" i="30"/>
  <c r="P120" i="30"/>
  <c r="AR10" i="33"/>
  <c r="AQ9" i="33"/>
  <c r="AR8" i="33"/>
  <c r="AJ69" i="30"/>
  <c r="AJ9" i="30"/>
  <c r="P123" i="30"/>
  <c r="P124" i="30" s="1"/>
  <c r="P125" i="30" s="1"/>
  <c r="Q121" i="30" s="1"/>
  <c r="Q123" i="30" s="1"/>
  <c r="Q124" i="30" s="1"/>
  <c r="U62" i="30"/>
  <c r="U117" i="30"/>
  <c r="V25" i="33" s="1"/>
  <c r="U110" i="30"/>
  <c r="U16" i="33" s="1"/>
  <c r="AJ79" i="30"/>
  <c r="AJ70" i="30"/>
  <c r="AJ71" i="30"/>
  <c r="AI89" i="30"/>
  <c r="V8" i="30"/>
  <c r="AK10" i="30"/>
  <c r="T14" i="14"/>
  <c r="V147" i="30" l="1"/>
  <c r="V66" i="30"/>
  <c r="V122" i="30"/>
  <c r="AJ30" i="30"/>
  <c r="AJ17" i="30"/>
  <c r="X16" i="14"/>
  <c r="W15" i="14"/>
  <c r="AJ89" i="30"/>
  <c r="AK72" i="30"/>
  <c r="AJ91" i="30"/>
  <c r="AS8" i="33"/>
  <c r="AS10" i="33"/>
  <c r="AR9" i="33"/>
  <c r="AK69" i="30"/>
  <c r="AK9" i="30"/>
  <c r="Q120" i="30"/>
  <c r="Q127" i="30"/>
  <c r="Q125" i="30"/>
  <c r="R121" i="30" s="1"/>
  <c r="R123" i="30" s="1"/>
  <c r="V62" i="30"/>
  <c r="V117" i="30"/>
  <c r="W25" i="33" s="1"/>
  <c r="V110" i="30"/>
  <c r="V16" i="33" s="1"/>
  <c r="AK79" i="30"/>
  <c r="AK71" i="30"/>
  <c r="AK70" i="30"/>
  <c r="W8" i="30"/>
  <c r="AL10" i="30"/>
  <c r="AL74" i="30" s="1"/>
  <c r="U14" i="14"/>
  <c r="W147" i="30" l="1"/>
  <c r="W66" i="30"/>
  <c r="W122" i="30"/>
  <c r="AK30" i="30"/>
  <c r="AK17" i="30"/>
  <c r="Y16" i="14"/>
  <c r="X15" i="14"/>
  <c r="AL82" i="30"/>
  <c r="AL72" i="30"/>
  <c r="AK89" i="30"/>
  <c r="AT8" i="33"/>
  <c r="AS9" i="33"/>
  <c r="AT10" i="33"/>
  <c r="AL69" i="30"/>
  <c r="AL9" i="30"/>
  <c r="R120" i="30"/>
  <c r="R124" i="30"/>
  <c r="R125" i="30" s="1"/>
  <c r="S121" i="30" s="1"/>
  <c r="S123" i="30" s="1"/>
  <c r="S124" i="30" s="1"/>
  <c r="S125" i="30" s="1"/>
  <c r="T121" i="30" s="1"/>
  <c r="T123" i="30" s="1"/>
  <c r="R127" i="30"/>
  <c r="W62" i="30"/>
  <c r="W117" i="30"/>
  <c r="X25" i="33" s="1"/>
  <c r="W110" i="30"/>
  <c r="W16" i="33" s="1"/>
  <c r="AK91" i="30"/>
  <c r="AL80" i="30"/>
  <c r="AL79" i="30"/>
  <c r="AL71" i="30"/>
  <c r="AL70" i="30"/>
  <c r="X8" i="30"/>
  <c r="AM10" i="30"/>
  <c r="AM74" i="30" s="1"/>
  <c r="V14" i="14"/>
  <c r="X147" i="30" l="1"/>
  <c r="X66" i="30"/>
  <c r="X122" i="30"/>
  <c r="AL30" i="30"/>
  <c r="AL17" i="30"/>
  <c r="AL90" i="30"/>
  <c r="Z16" i="14"/>
  <c r="Y15" i="14"/>
  <c r="AL92" i="30"/>
  <c r="AL89" i="30"/>
  <c r="AM82" i="30"/>
  <c r="AM72" i="30"/>
  <c r="AU10" i="33"/>
  <c r="AT9" i="33"/>
  <c r="AU8" i="33"/>
  <c r="AM69" i="30"/>
  <c r="AM9" i="30"/>
  <c r="S120" i="30"/>
  <c r="T120" i="30" s="1"/>
  <c r="S127" i="30"/>
  <c r="T127" i="30"/>
  <c r="T124" i="30"/>
  <c r="T125" i="30" s="1"/>
  <c r="U121" i="30" s="1"/>
  <c r="X62" i="30"/>
  <c r="X117" i="30"/>
  <c r="Y25" i="33" s="1"/>
  <c r="X110" i="30"/>
  <c r="X16" i="33" s="1"/>
  <c r="AL91" i="30"/>
  <c r="AM80" i="30"/>
  <c r="AM79" i="30"/>
  <c r="AM70" i="30"/>
  <c r="AM71" i="30"/>
  <c r="Y8" i="30"/>
  <c r="AN10" i="30"/>
  <c r="AN74" i="30" s="1"/>
  <c r="W14" i="14"/>
  <c r="Y147" i="30" l="1"/>
  <c r="Y122" i="30"/>
  <c r="Y66" i="30"/>
  <c r="AM17" i="30"/>
  <c r="AM30" i="30"/>
  <c r="AM89" i="30"/>
  <c r="AA16" i="14"/>
  <c r="Z15" i="14"/>
  <c r="AM92" i="30"/>
  <c r="AN82" i="30"/>
  <c r="AN72" i="30"/>
  <c r="AV8" i="33"/>
  <c r="AV10" i="33"/>
  <c r="AU9" i="33"/>
  <c r="AN69" i="30"/>
  <c r="AN9" i="30"/>
  <c r="U120" i="30"/>
  <c r="U123" i="30"/>
  <c r="U124" i="30" s="1"/>
  <c r="U125" i="30" s="1"/>
  <c r="V121" i="30" s="1"/>
  <c r="U127" i="30"/>
  <c r="Y62" i="30"/>
  <c r="Y117" i="30"/>
  <c r="Z25" i="33" s="1"/>
  <c r="Y110" i="30"/>
  <c r="Y16" i="33" s="1"/>
  <c r="AM91" i="30"/>
  <c r="AM90" i="30"/>
  <c r="AN80" i="30"/>
  <c r="AN79" i="30"/>
  <c r="AN71" i="30"/>
  <c r="AN70" i="30"/>
  <c r="Z8" i="30"/>
  <c r="AO10" i="30"/>
  <c r="AO74" i="30" s="1"/>
  <c r="X14" i="14"/>
  <c r="Z147" i="30" l="1"/>
  <c r="Z66" i="30"/>
  <c r="Z122" i="30"/>
  <c r="AN30" i="30"/>
  <c r="AN17" i="30"/>
  <c r="AN89" i="30"/>
  <c r="AB16" i="14"/>
  <c r="AA15" i="14"/>
  <c r="AN92" i="30"/>
  <c r="AO82" i="30"/>
  <c r="AO72" i="30"/>
  <c r="AW10" i="33"/>
  <c r="AV9" i="33"/>
  <c r="AW8" i="33"/>
  <c r="AO69" i="30"/>
  <c r="AO9" i="30"/>
  <c r="V123" i="30"/>
  <c r="V124" i="30" s="1"/>
  <c r="V127" i="30"/>
  <c r="V120" i="30"/>
  <c r="Z62" i="30"/>
  <c r="Z117" i="30"/>
  <c r="AA25" i="33" s="1"/>
  <c r="Z110" i="30"/>
  <c r="Z16" i="33" s="1"/>
  <c r="AN90" i="30"/>
  <c r="AN91" i="30"/>
  <c r="AO80" i="30"/>
  <c r="AO79" i="30"/>
  <c r="AO71" i="30"/>
  <c r="AO70" i="30"/>
  <c r="AA8" i="30"/>
  <c r="AP10" i="30"/>
  <c r="AP74" i="30" s="1"/>
  <c r="Y14" i="14"/>
  <c r="AA147" i="30" l="1"/>
  <c r="AA66" i="30"/>
  <c r="AA122" i="30"/>
  <c r="AO30" i="30"/>
  <c r="AO17" i="30"/>
  <c r="AO89" i="30"/>
  <c r="AC16" i="14"/>
  <c r="AB15" i="14"/>
  <c r="AO92" i="30"/>
  <c r="AP82" i="30"/>
  <c r="AP72" i="30"/>
  <c r="AO90" i="30"/>
  <c r="AX10" i="33"/>
  <c r="AW9" i="33"/>
  <c r="AX8" i="33"/>
  <c r="AP69" i="30"/>
  <c r="AP9" i="30"/>
  <c r="V125" i="30"/>
  <c r="W121" i="30" s="1"/>
  <c r="W127" i="30" s="1"/>
  <c r="AA62" i="30"/>
  <c r="AA117" i="30"/>
  <c r="AB25" i="33" s="1"/>
  <c r="AA110" i="30"/>
  <c r="AA16" i="33" s="1"/>
  <c r="AO91" i="30"/>
  <c r="AP80" i="30"/>
  <c r="AP79" i="30"/>
  <c r="AP71" i="30"/>
  <c r="AP70" i="30"/>
  <c r="AB8" i="30"/>
  <c r="AQ10" i="30"/>
  <c r="AQ74" i="30" s="1"/>
  <c r="Z14" i="14"/>
  <c r="AB147" i="30" l="1"/>
  <c r="AB66" i="30"/>
  <c r="AB122" i="30"/>
  <c r="AP30" i="30"/>
  <c r="AP17" i="30"/>
  <c r="AD16" i="14"/>
  <c r="AC15" i="14"/>
  <c r="AP89" i="30"/>
  <c r="AP92" i="30"/>
  <c r="AQ82" i="30"/>
  <c r="AQ72" i="30"/>
  <c r="AY8" i="33"/>
  <c r="AY10" i="33"/>
  <c r="AX9" i="33"/>
  <c r="AQ69" i="30"/>
  <c r="AQ9" i="30"/>
  <c r="W120" i="30"/>
  <c r="W123" i="30"/>
  <c r="W124" i="30" s="1"/>
  <c r="W125" i="30" s="1"/>
  <c r="X121" i="30" s="1"/>
  <c r="X127" i="30" s="1"/>
  <c r="AB62" i="30"/>
  <c r="AB117" i="30"/>
  <c r="AC25" i="33" s="1"/>
  <c r="AB110" i="30"/>
  <c r="AB16" i="33" s="1"/>
  <c r="AP90" i="30"/>
  <c r="AP91" i="30"/>
  <c r="AQ80" i="30"/>
  <c r="AQ79" i="30"/>
  <c r="AQ70" i="30"/>
  <c r="AQ71" i="30"/>
  <c r="AC8" i="30"/>
  <c r="AR10" i="30"/>
  <c r="AR74" i="30" s="1"/>
  <c r="AA14" i="14"/>
  <c r="AC147" i="30" l="1"/>
  <c r="AC122" i="30"/>
  <c r="AC66" i="30"/>
  <c r="AQ30" i="30"/>
  <c r="AQ17" i="30"/>
  <c r="AE16" i="14"/>
  <c r="AD15" i="14"/>
  <c r="AQ92" i="30"/>
  <c r="AR72" i="30"/>
  <c r="AR82" i="30"/>
  <c r="AQ89" i="30"/>
  <c r="AZ8" i="33"/>
  <c r="AZ10" i="33"/>
  <c r="AY9" i="33"/>
  <c r="AR69" i="30"/>
  <c r="AR9" i="30"/>
  <c r="X120" i="30"/>
  <c r="X123" i="30"/>
  <c r="AC62" i="30"/>
  <c r="AC110" i="30"/>
  <c r="AC16" i="33" s="1"/>
  <c r="AC117" i="30"/>
  <c r="AD25" i="33" s="1"/>
  <c r="AQ90" i="30"/>
  <c r="AR79" i="30"/>
  <c r="AR80" i="30"/>
  <c r="AR70" i="30"/>
  <c r="AR71" i="30"/>
  <c r="AQ91" i="30"/>
  <c r="AD8" i="30"/>
  <c r="AS10" i="30"/>
  <c r="AS74" i="30" s="1"/>
  <c r="C16" i="3"/>
  <c r="AB14" i="14"/>
  <c r="AD147" i="30" l="1"/>
  <c r="AD66" i="30"/>
  <c r="AD122" i="30"/>
  <c r="AR30" i="30"/>
  <c r="AR17" i="30"/>
  <c r="AF16" i="14"/>
  <c r="AE15" i="14"/>
  <c r="AR92" i="30"/>
  <c r="AR89" i="30"/>
  <c r="AS82" i="30"/>
  <c r="AS72" i="30"/>
  <c r="BA10" i="33"/>
  <c r="AZ9" i="33"/>
  <c r="BA8" i="33"/>
  <c r="AS69" i="30"/>
  <c r="AS9" i="30"/>
  <c r="X124" i="30"/>
  <c r="AD62" i="30"/>
  <c r="AD117" i="30"/>
  <c r="AE25" i="33" s="1"/>
  <c r="AD110" i="30"/>
  <c r="AD16" i="33" s="1"/>
  <c r="AR91" i="30"/>
  <c r="AR90" i="30"/>
  <c r="AS80" i="30"/>
  <c r="AS79" i="30"/>
  <c r="AS71" i="30"/>
  <c r="AS70" i="30"/>
  <c r="AE8" i="30"/>
  <c r="AT10" i="30"/>
  <c r="AT74" i="30" s="1"/>
  <c r="K27" i="11"/>
  <c r="AC14" i="14"/>
  <c r="C15" i="3"/>
  <c r="AE147" i="30" l="1"/>
  <c r="AE42" i="30"/>
  <c r="I27" i="11"/>
  <c r="H27" i="11"/>
  <c r="AE66" i="30"/>
  <c r="AE122" i="30"/>
  <c r="AS17" i="30"/>
  <c r="AS30" i="30"/>
  <c r="AG16" i="14"/>
  <c r="AF15" i="14"/>
  <c r="AS92" i="30"/>
  <c r="AT82" i="30"/>
  <c r="AT72" i="30"/>
  <c r="AS89" i="30"/>
  <c r="BB8" i="33"/>
  <c r="BB10" i="33"/>
  <c r="BA9" i="33"/>
  <c r="AT69" i="30"/>
  <c r="AT9" i="30"/>
  <c r="X125" i="30"/>
  <c r="Y121" i="30" s="1"/>
  <c r="AE62" i="30"/>
  <c r="AE117" i="30"/>
  <c r="AF25" i="33" s="1"/>
  <c r="AE110" i="30"/>
  <c r="AE16" i="33" s="1"/>
  <c r="AS90" i="30"/>
  <c r="AS91" i="30"/>
  <c r="AT80" i="30"/>
  <c r="AT79" i="30"/>
  <c r="AT71" i="30"/>
  <c r="AT70" i="30"/>
  <c r="AF8" i="30"/>
  <c r="AU10" i="30"/>
  <c r="AU74" i="30" s="1"/>
  <c r="AD14" i="14"/>
  <c r="AF147" i="30" l="1"/>
  <c r="AF42" i="30"/>
  <c r="AF66" i="30"/>
  <c r="AF122" i="30"/>
  <c r="AT30" i="30"/>
  <c r="AT17" i="30"/>
  <c r="AH16" i="14"/>
  <c r="AG15" i="14"/>
  <c r="AT92" i="30"/>
  <c r="AT89" i="30"/>
  <c r="AU82" i="30"/>
  <c r="AU72" i="30"/>
  <c r="BC10" i="33"/>
  <c r="BB9" i="33"/>
  <c r="BC8" i="33"/>
  <c r="AU69" i="30"/>
  <c r="AU9" i="30"/>
  <c r="Y127" i="30"/>
  <c r="Y120" i="30"/>
  <c r="Y123" i="30"/>
  <c r="AF62" i="30"/>
  <c r="AF117" i="30"/>
  <c r="AG25" i="33" s="1"/>
  <c r="AF110" i="30"/>
  <c r="AF16" i="33" s="1"/>
  <c r="AT90" i="30"/>
  <c r="AT91" i="30"/>
  <c r="AU80" i="30"/>
  <c r="AU79" i="30"/>
  <c r="AU71" i="30"/>
  <c r="AU70" i="30"/>
  <c r="AG8" i="30"/>
  <c r="AV10" i="30"/>
  <c r="AV74" i="30" s="1"/>
  <c r="AE14" i="14"/>
  <c r="AG147" i="30" l="1"/>
  <c r="AG42" i="30"/>
  <c r="AG122" i="30"/>
  <c r="AG66" i="30"/>
  <c r="AU30" i="30"/>
  <c r="AU17" i="30"/>
  <c r="AI16" i="14"/>
  <c r="AH15" i="14"/>
  <c r="AU92" i="30"/>
  <c r="AU89" i="30"/>
  <c r="AV82" i="30"/>
  <c r="AV72" i="30"/>
  <c r="BD8" i="33"/>
  <c r="BD10" i="33"/>
  <c r="BC9" i="33"/>
  <c r="AV69" i="30"/>
  <c r="AV9" i="30"/>
  <c r="Y124" i="30"/>
  <c r="AG62" i="30"/>
  <c r="AG110" i="30"/>
  <c r="AG16" i="33" s="1"/>
  <c r="AG117" i="30"/>
  <c r="AH25" i="33" s="1"/>
  <c r="AU90" i="30"/>
  <c r="AU91" i="30"/>
  <c r="AV80" i="30"/>
  <c r="AV79" i="30"/>
  <c r="AV70" i="30"/>
  <c r="AV71" i="30"/>
  <c r="AH8" i="30"/>
  <c r="AW10" i="30"/>
  <c r="AW74" i="30" s="1"/>
  <c r="AF14" i="14"/>
  <c r="AH147" i="30" l="1"/>
  <c r="AH42" i="30"/>
  <c r="AH66" i="30"/>
  <c r="AH122" i="30"/>
  <c r="AV30" i="30"/>
  <c r="AV17" i="30"/>
  <c r="AJ16" i="14"/>
  <c r="AI15" i="14"/>
  <c r="AV92" i="30"/>
  <c r="AW72" i="30"/>
  <c r="AW82" i="30"/>
  <c r="AV89" i="30"/>
  <c r="BE10" i="33"/>
  <c r="BD9" i="33"/>
  <c r="BE8" i="33"/>
  <c r="AW69" i="30"/>
  <c r="AW9" i="30"/>
  <c r="Y125" i="30"/>
  <c r="Z121" i="30" s="1"/>
  <c r="AH62" i="30"/>
  <c r="AH117" i="30"/>
  <c r="AI25" i="33" s="1"/>
  <c r="AH110" i="30"/>
  <c r="AH16" i="33" s="1"/>
  <c r="AV91" i="30"/>
  <c r="AV90" i="30"/>
  <c r="AW80" i="30"/>
  <c r="AW79" i="30"/>
  <c r="AW71" i="30"/>
  <c r="AW70" i="30"/>
  <c r="AI8" i="30"/>
  <c r="AX10" i="30"/>
  <c r="AX74" i="30" s="1"/>
  <c r="AG14" i="14"/>
  <c r="AI147" i="30" l="1"/>
  <c r="AI42" i="30"/>
  <c r="AI66" i="30"/>
  <c r="AW30" i="30"/>
  <c r="AW17" i="30"/>
  <c r="AK16" i="14"/>
  <c r="AJ15" i="14"/>
  <c r="AW92" i="30"/>
  <c r="AX82" i="30"/>
  <c r="AX72" i="30"/>
  <c r="AW89" i="30"/>
  <c r="BF10" i="33"/>
  <c r="BE9" i="33"/>
  <c r="BF8" i="33"/>
  <c r="AX69" i="30"/>
  <c r="AX9" i="30"/>
  <c r="Z120" i="30"/>
  <c r="Z123" i="30"/>
  <c r="Z127" i="30"/>
  <c r="AI62" i="30"/>
  <c r="AW90" i="30"/>
  <c r="AW91" i="30"/>
  <c r="AX80" i="30"/>
  <c r="AX79" i="30"/>
  <c r="AX71" i="30"/>
  <c r="AX70" i="30"/>
  <c r="AJ8" i="30"/>
  <c r="AY10" i="30"/>
  <c r="AY74" i="30" s="1"/>
  <c r="AH14" i="14"/>
  <c r="AJ147" i="30" l="1"/>
  <c r="AJ42" i="30"/>
  <c r="AJ66" i="30"/>
  <c r="AJ122" i="30"/>
  <c r="AX30" i="30"/>
  <c r="AX17" i="30"/>
  <c r="AL16" i="14"/>
  <c r="AK15" i="14"/>
  <c r="AX89" i="30"/>
  <c r="AX92" i="30"/>
  <c r="AY82" i="30"/>
  <c r="AY72" i="30"/>
  <c r="BG10" i="33"/>
  <c r="BF9" i="33"/>
  <c r="BG8" i="33"/>
  <c r="AY69" i="30"/>
  <c r="AY9" i="30"/>
  <c r="Z124" i="30"/>
  <c r="AJ62" i="30"/>
  <c r="AJ117" i="30"/>
  <c r="AK25" i="33" s="1"/>
  <c r="AJ110" i="30"/>
  <c r="AJ16" i="33" s="1"/>
  <c r="AX90" i="30"/>
  <c r="AX91" i="30"/>
  <c r="AY80" i="30"/>
  <c r="AY79" i="30"/>
  <c r="AY71" i="30"/>
  <c r="AY70" i="30"/>
  <c r="AK8" i="30"/>
  <c r="AZ10" i="30"/>
  <c r="AZ74" i="30" s="1"/>
  <c r="AI14" i="14"/>
  <c r="AK147" i="30" l="1"/>
  <c r="AK42" i="30"/>
  <c r="AK66" i="30"/>
  <c r="AY30" i="30"/>
  <c r="AY17" i="30"/>
  <c r="AY90" i="30"/>
  <c r="AM16" i="14"/>
  <c r="AL15" i="14"/>
  <c r="AY92" i="30"/>
  <c r="AZ72" i="30"/>
  <c r="AZ82" i="30"/>
  <c r="AY89" i="30"/>
  <c r="BH8" i="33"/>
  <c r="BH10" i="33"/>
  <c r="BG9" i="33"/>
  <c r="AZ69" i="30"/>
  <c r="AZ9" i="30"/>
  <c r="Z125" i="30"/>
  <c r="AA121" i="30" s="1"/>
  <c r="AK62" i="30"/>
  <c r="AY91" i="30"/>
  <c r="AZ80" i="30"/>
  <c r="AZ79" i="30"/>
  <c r="AZ70" i="30"/>
  <c r="AZ71" i="30"/>
  <c r="AL8" i="30"/>
  <c r="BA10" i="30"/>
  <c r="BA74" i="30" s="1"/>
  <c r="AJ14" i="14"/>
  <c r="AL147" i="30" l="1"/>
  <c r="AL42" i="30"/>
  <c r="AL66" i="30"/>
  <c r="AL122" i="30"/>
  <c r="AZ30" i="30"/>
  <c r="AZ17" i="30"/>
  <c r="AN16" i="14"/>
  <c r="AM15" i="14"/>
  <c r="AZ92" i="30"/>
  <c r="BA82" i="30"/>
  <c r="BA72" i="30"/>
  <c r="BI10" i="33"/>
  <c r="BH9" i="33"/>
  <c r="BI8" i="33"/>
  <c r="AZ91" i="30"/>
  <c r="AZ89" i="30"/>
  <c r="BA69" i="30"/>
  <c r="BA9" i="30"/>
  <c r="AA127" i="30"/>
  <c r="AA123" i="30"/>
  <c r="AA124" i="30" s="1"/>
  <c r="AA120" i="30"/>
  <c r="AL62" i="30"/>
  <c r="AL117" i="30"/>
  <c r="AM25" i="33" s="1"/>
  <c r="AL110" i="30"/>
  <c r="AL16" i="33" s="1"/>
  <c r="AZ90" i="30"/>
  <c r="BA80" i="30"/>
  <c r="BA79" i="30"/>
  <c r="BA71" i="30"/>
  <c r="BA70" i="30"/>
  <c r="AM8" i="30"/>
  <c r="BB10" i="30"/>
  <c r="BB74" i="30" s="1"/>
  <c r="AK14" i="14"/>
  <c r="AM147" i="30" l="1"/>
  <c r="AM42" i="30"/>
  <c r="AM66" i="30"/>
  <c r="BA17" i="30"/>
  <c r="BA30" i="30"/>
  <c r="BA90" i="30"/>
  <c r="AO16" i="14"/>
  <c r="AN15" i="14"/>
  <c r="BA92" i="30"/>
  <c r="BA89" i="30"/>
  <c r="BB82" i="30"/>
  <c r="BB72" i="30"/>
  <c r="BJ8" i="33"/>
  <c r="BJ10" i="33"/>
  <c r="BI9" i="33"/>
  <c r="BB69" i="30"/>
  <c r="BB9" i="30"/>
  <c r="AA125" i="30"/>
  <c r="AB121" i="30" s="1"/>
  <c r="AM62" i="30"/>
  <c r="BB80" i="30"/>
  <c r="BB79" i="30"/>
  <c r="BB71" i="30"/>
  <c r="BB70" i="30"/>
  <c r="BA91" i="30"/>
  <c r="AN8" i="30"/>
  <c r="BC10" i="30"/>
  <c r="BC74" i="30" s="1"/>
  <c r="AL14" i="14"/>
  <c r="AN147" i="30" l="1"/>
  <c r="AN42" i="30"/>
  <c r="AN66" i="30"/>
  <c r="AN122" i="30"/>
  <c r="BB30" i="30"/>
  <c r="BB17" i="30"/>
  <c r="AP16" i="14"/>
  <c r="AO15" i="14"/>
  <c r="BB92" i="30"/>
  <c r="BB89" i="30"/>
  <c r="BC82" i="30"/>
  <c r="BC72" i="30"/>
  <c r="BK10" i="33"/>
  <c r="BJ9" i="33"/>
  <c r="BK8" i="33"/>
  <c r="BC69" i="30"/>
  <c r="BC9" i="30"/>
  <c r="AB127" i="30"/>
  <c r="AB120" i="30"/>
  <c r="AB123" i="30"/>
  <c r="AB124" i="30" s="1"/>
  <c r="AN62" i="30"/>
  <c r="AN117" i="30"/>
  <c r="AO25" i="33" s="1"/>
  <c r="AN110" i="30"/>
  <c r="AN16" i="33" s="1"/>
  <c r="BB90" i="30"/>
  <c r="BB91" i="30"/>
  <c r="BC80" i="30"/>
  <c r="BC79" i="30"/>
  <c r="BC70" i="30"/>
  <c r="BC71" i="30"/>
  <c r="AO8" i="30"/>
  <c r="BD10" i="30"/>
  <c r="BD74" i="30" s="1"/>
  <c r="AM14" i="14"/>
  <c r="AO147" i="30" l="1"/>
  <c r="AO42" i="30"/>
  <c r="BC30" i="30"/>
  <c r="BC17" i="30"/>
  <c r="BC89" i="30"/>
  <c r="AQ16" i="14"/>
  <c r="AP15" i="14"/>
  <c r="BC92" i="30"/>
  <c r="BD82" i="30"/>
  <c r="BD72" i="30"/>
  <c r="BL8" i="33"/>
  <c r="BL10" i="33"/>
  <c r="BK9" i="33"/>
  <c r="BD69" i="30"/>
  <c r="BD9" i="30"/>
  <c r="AB125" i="30"/>
  <c r="AC121" i="30" s="1"/>
  <c r="AO62" i="30"/>
  <c r="BC90" i="30"/>
  <c r="BD80" i="30"/>
  <c r="BD79" i="30"/>
  <c r="BD71" i="30"/>
  <c r="BD70" i="30"/>
  <c r="BC91" i="30"/>
  <c r="AP8" i="30"/>
  <c r="BE10" i="30"/>
  <c r="BE74" i="30" s="1"/>
  <c r="AN14" i="14"/>
  <c r="AP147" i="30" l="1"/>
  <c r="AP42" i="30"/>
  <c r="AP66" i="30"/>
  <c r="BD30" i="30"/>
  <c r="BD17" i="30"/>
  <c r="BD92" i="30"/>
  <c r="AR16" i="14"/>
  <c r="AQ15" i="14"/>
  <c r="BE82" i="30"/>
  <c r="BE72" i="30"/>
  <c r="BD89" i="30"/>
  <c r="BM10" i="33"/>
  <c r="BL9" i="33"/>
  <c r="BM8" i="33"/>
  <c r="BE69" i="30"/>
  <c r="BE9" i="30"/>
  <c r="AC120" i="30"/>
  <c r="AC123" i="30"/>
  <c r="AC124" i="30" s="1"/>
  <c r="AC125" i="30" s="1"/>
  <c r="AD121" i="30" s="1"/>
  <c r="AC127" i="30"/>
  <c r="AP62" i="30"/>
  <c r="BD91" i="30"/>
  <c r="BE80" i="30"/>
  <c r="BE79" i="30"/>
  <c r="BE71" i="30"/>
  <c r="BE70" i="30"/>
  <c r="BD90" i="30"/>
  <c r="AQ8" i="30"/>
  <c r="BF10" i="30"/>
  <c r="BF74" i="30" s="1"/>
  <c r="AO14" i="14"/>
  <c r="AQ147" i="30" l="1"/>
  <c r="AQ42" i="30"/>
  <c r="AQ66" i="30"/>
  <c r="AQ122" i="30"/>
  <c r="BE30" i="30"/>
  <c r="BE17" i="30"/>
  <c r="BE90" i="30"/>
  <c r="AS16" i="14"/>
  <c r="AR15" i="14"/>
  <c r="BE92" i="30"/>
  <c r="BE89" i="30"/>
  <c r="BF82" i="30"/>
  <c r="BF72" i="30"/>
  <c r="BN8" i="33"/>
  <c r="BN10" i="33"/>
  <c r="BM9" i="33"/>
  <c r="BF69" i="30"/>
  <c r="BF9" i="30"/>
  <c r="AD120" i="30"/>
  <c r="AD123" i="30"/>
  <c r="AD124" i="30" s="1"/>
  <c r="AD125" i="30" s="1"/>
  <c r="AE121" i="30" s="1"/>
  <c r="AD127" i="30"/>
  <c r="AQ62" i="30"/>
  <c r="BE91" i="30"/>
  <c r="BF80" i="30"/>
  <c r="BF79" i="30"/>
  <c r="BF71" i="30"/>
  <c r="BF70" i="30"/>
  <c r="AR8" i="30"/>
  <c r="BG10" i="30"/>
  <c r="BG74" i="30" s="1"/>
  <c r="AP14" i="14"/>
  <c r="AR147" i="30" l="1"/>
  <c r="AR42" i="30"/>
  <c r="AR66" i="30"/>
  <c r="AR122" i="30"/>
  <c r="BF30" i="30"/>
  <c r="BF17" i="30"/>
  <c r="AT16" i="14"/>
  <c r="AS15" i="14"/>
  <c r="BF92" i="30"/>
  <c r="BG82" i="30"/>
  <c r="BG72" i="30"/>
  <c r="BF89" i="30"/>
  <c r="BO10" i="33"/>
  <c r="BN9" i="33"/>
  <c r="BO8" i="33"/>
  <c r="BG69" i="30"/>
  <c r="BG9" i="30"/>
  <c r="AE127" i="30"/>
  <c r="AE123" i="30"/>
  <c r="AE124" i="30" s="1"/>
  <c r="AE125" i="30" s="1"/>
  <c r="AF121" i="30" s="1"/>
  <c r="AE120" i="30"/>
  <c r="AR62" i="30"/>
  <c r="BF90" i="30"/>
  <c r="BF91" i="30"/>
  <c r="BG80" i="30"/>
  <c r="BG79" i="30"/>
  <c r="BG70" i="30"/>
  <c r="BG71" i="30"/>
  <c r="AS8" i="30"/>
  <c r="BH10" i="30"/>
  <c r="BH74" i="30" s="1"/>
  <c r="AQ14" i="14"/>
  <c r="AS147" i="30" l="1"/>
  <c r="AS42" i="30"/>
  <c r="AS122" i="30"/>
  <c r="AS66" i="30"/>
  <c r="BG30" i="30"/>
  <c r="BG17" i="30"/>
  <c r="BG92" i="30"/>
  <c r="AU16" i="14"/>
  <c r="AT15" i="14"/>
  <c r="BG89" i="30"/>
  <c r="BH72" i="30"/>
  <c r="BH82" i="30"/>
  <c r="BP8" i="33"/>
  <c r="BO9" i="33"/>
  <c r="BP10" i="33"/>
  <c r="BH69" i="30"/>
  <c r="BH9" i="30"/>
  <c r="AF120" i="30"/>
  <c r="AF127" i="30"/>
  <c r="AF123" i="30"/>
  <c r="AF124" i="30" s="1"/>
  <c r="AF125" i="30" s="1"/>
  <c r="AG121" i="30" s="1"/>
  <c r="AS62" i="30"/>
  <c r="AS110" i="30"/>
  <c r="AS16" i="33" s="1"/>
  <c r="AS117" i="30"/>
  <c r="AT25" i="33" s="1"/>
  <c r="BG90" i="30"/>
  <c r="BH79" i="30"/>
  <c r="BH80" i="30"/>
  <c r="BH70" i="30"/>
  <c r="BH71" i="30"/>
  <c r="BG91" i="30"/>
  <c r="AT8" i="30"/>
  <c r="BI10" i="30"/>
  <c r="BI74" i="30" s="1"/>
  <c r="AR14" i="14"/>
  <c r="AT147" i="30" l="1"/>
  <c r="AT42" i="30"/>
  <c r="AT122" i="30"/>
  <c r="AT66" i="30"/>
  <c r="BH30" i="30"/>
  <c r="BH17" i="30"/>
  <c r="AV16" i="14"/>
  <c r="AU15" i="14"/>
  <c r="BH92" i="30"/>
  <c r="BI82" i="30"/>
  <c r="BI72" i="30"/>
  <c r="BH89" i="30"/>
  <c r="BQ8" i="33"/>
  <c r="BQ10" i="33"/>
  <c r="BP9" i="33"/>
  <c r="BI69" i="30"/>
  <c r="BI9" i="30"/>
  <c r="AG123" i="30"/>
  <c r="AG124" i="30" s="1"/>
  <c r="AG125" i="30" s="1"/>
  <c r="AH121" i="30" s="1"/>
  <c r="AG127" i="30"/>
  <c r="AG120" i="30"/>
  <c r="AT62" i="30"/>
  <c r="AT117" i="30"/>
  <c r="AU25" i="33" s="1"/>
  <c r="AT110" i="30"/>
  <c r="AT16" i="33" s="1"/>
  <c r="BH91" i="30"/>
  <c r="BH90" i="30"/>
  <c r="BI80" i="30"/>
  <c r="BI79" i="30"/>
  <c r="BI71" i="30"/>
  <c r="BI70" i="30"/>
  <c r="AU8" i="30"/>
  <c r="BJ10" i="30"/>
  <c r="BJ74" i="30" s="1"/>
  <c r="AS14" i="14"/>
  <c r="AU147" i="30" l="1"/>
  <c r="AU42" i="30"/>
  <c r="BI17" i="30"/>
  <c r="BI30" i="30"/>
  <c r="AW16" i="14"/>
  <c r="AV15" i="14"/>
  <c r="BI89" i="30"/>
  <c r="BI92" i="30"/>
  <c r="BJ82" i="30"/>
  <c r="BJ72" i="30"/>
  <c r="BI90" i="30"/>
  <c r="BR10" i="33"/>
  <c r="BQ9" i="33"/>
  <c r="BR8" i="33"/>
  <c r="BJ69" i="30"/>
  <c r="BJ9" i="30"/>
  <c r="AH120" i="30"/>
  <c r="AH123" i="30"/>
  <c r="AH124" i="30" s="1"/>
  <c r="AH125" i="30" s="1"/>
  <c r="AI121" i="30" s="1"/>
  <c r="AH127" i="30"/>
  <c r="BI91" i="30"/>
  <c r="BJ80" i="30"/>
  <c r="BJ79" i="30"/>
  <c r="BJ71" i="30"/>
  <c r="BJ70" i="30"/>
  <c r="AV8" i="30"/>
  <c r="BK10" i="30"/>
  <c r="BK74" i="30" s="1"/>
  <c r="AT14" i="14"/>
  <c r="AV147" i="30" l="1"/>
  <c r="AV42" i="30"/>
  <c r="AV66" i="30"/>
  <c r="BJ30" i="30"/>
  <c r="BJ17" i="30"/>
  <c r="BJ90" i="30"/>
  <c r="AX16" i="14"/>
  <c r="AW15" i="14"/>
  <c r="BJ92" i="30"/>
  <c r="BJ89" i="30"/>
  <c r="BK82" i="30"/>
  <c r="BK72" i="30"/>
  <c r="BS10" i="33"/>
  <c r="BR9" i="33"/>
  <c r="BS8" i="33"/>
  <c r="BK69" i="30"/>
  <c r="BK9" i="30"/>
  <c r="AI123" i="30"/>
  <c r="AI120" i="30"/>
  <c r="AI127" i="30"/>
  <c r="AV62" i="30"/>
  <c r="BJ91" i="30"/>
  <c r="BK80" i="30"/>
  <c r="BK79" i="30"/>
  <c r="BK70" i="30"/>
  <c r="BK71" i="30"/>
  <c r="AW8" i="30"/>
  <c r="BL10" i="30"/>
  <c r="BL74" i="30" s="1"/>
  <c r="AU14" i="14"/>
  <c r="AW147" i="30" l="1"/>
  <c r="AW42" i="30"/>
  <c r="AW66" i="30"/>
  <c r="AW122" i="30"/>
  <c r="BK30" i="30"/>
  <c r="BK17" i="30"/>
  <c r="AY16" i="14"/>
  <c r="AX15" i="14"/>
  <c r="BK92" i="30"/>
  <c r="BL82" i="30"/>
  <c r="BL72" i="30"/>
  <c r="BK89" i="30"/>
  <c r="BT10" i="33"/>
  <c r="BS9" i="33"/>
  <c r="BT8" i="33"/>
  <c r="BL69" i="30"/>
  <c r="BL9" i="30"/>
  <c r="AW62" i="30"/>
  <c r="AW117" i="30"/>
  <c r="AX25" i="33" s="1"/>
  <c r="AW110" i="30"/>
  <c r="AW16" i="33" s="1"/>
  <c r="BK90" i="30"/>
  <c r="BK91" i="30"/>
  <c r="BL80" i="30"/>
  <c r="BL79" i="30"/>
  <c r="BL70" i="30"/>
  <c r="BL71" i="30"/>
  <c r="AX8" i="30"/>
  <c r="BM10" i="30"/>
  <c r="BM74" i="30" s="1"/>
  <c r="AV14" i="14"/>
  <c r="AX147" i="30" l="1"/>
  <c r="AX42" i="30"/>
  <c r="AX122" i="30"/>
  <c r="AX66" i="30"/>
  <c r="BL30" i="30"/>
  <c r="BL17" i="30"/>
  <c r="AZ16" i="14"/>
  <c r="AY15" i="14"/>
  <c r="BL92" i="30"/>
  <c r="BL89" i="30"/>
  <c r="BM72" i="30"/>
  <c r="BM82" i="30"/>
  <c r="BU8" i="33"/>
  <c r="BU10" i="33"/>
  <c r="BT9" i="33"/>
  <c r="BM69" i="30"/>
  <c r="BM9" i="30"/>
  <c r="AX62" i="30"/>
  <c r="BL91" i="30"/>
  <c r="BL90" i="30"/>
  <c r="BM80" i="30"/>
  <c r="BM79" i="30"/>
  <c r="BM71" i="30"/>
  <c r="BM70" i="30"/>
  <c r="AY8" i="30"/>
  <c r="BN10" i="30"/>
  <c r="BN74" i="30" s="1"/>
  <c r="AW14" i="14"/>
  <c r="AY147" i="30" l="1"/>
  <c r="AY42" i="30"/>
  <c r="AY122" i="30"/>
  <c r="AY66" i="30"/>
  <c r="BM30" i="30"/>
  <c r="BM17" i="30"/>
  <c r="BA16" i="14"/>
  <c r="AZ15" i="14"/>
  <c r="BM92" i="30"/>
  <c r="BN82" i="30"/>
  <c r="BN72" i="30"/>
  <c r="BM89" i="30"/>
  <c r="BV8" i="33"/>
  <c r="BV10" i="33"/>
  <c r="BU9" i="33"/>
  <c r="BN69" i="30"/>
  <c r="BN9" i="30"/>
  <c r="AY62" i="30"/>
  <c r="AY117" i="30"/>
  <c r="AZ25" i="33" s="1"/>
  <c r="AY110" i="30"/>
  <c r="AY16" i="33" s="1"/>
  <c r="BM90" i="30"/>
  <c r="BM91" i="30"/>
  <c r="BN80" i="30"/>
  <c r="BN79" i="30"/>
  <c r="BN71" i="30"/>
  <c r="BN70" i="30"/>
  <c r="AZ8" i="30"/>
  <c r="BO10" i="30"/>
  <c r="BO74" i="30" s="1"/>
  <c r="AX14" i="14"/>
  <c r="AZ147" i="30" l="1"/>
  <c r="AZ42" i="30"/>
  <c r="AZ66" i="30"/>
  <c r="AZ122" i="30"/>
  <c r="BN30" i="30"/>
  <c r="BN17" i="30"/>
  <c r="BN89" i="30"/>
  <c r="BB16" i="14"/>
  <c r="BA15" i="14"/>
  <c r="BN92" i="30"/>
  <c r="BO82" i="30"/>
  <c r="BO72" i="30"/>
  <c r="BW8" i="33"/>
  <c r="BW10" i="33"/>
  <c r="BV9" i="33"/>
  <c r="BN90" i="30"/>
  <c r="BO69" i="30"/>
  <c r="BO9" i="30"/>
  <c r="AZ62" i="30"/>
  <c r="AZ117" i="30"/>
  <c r="BA25" i="33" s="1"/>
  <c r="AZ110" i="30"/>
  <c r="AZ16" i="33" s="1"/>
  <c r="BN91" i="30"/>
  <c r="BO80" i="30"/>
  <c r="BO79" i="30"/>
  <c r="BO71" i="30"/>
  <c r="BO70" i="30"/>
  <c r="BA8" i="30"/>
  <c r="BP10" i="30"/>
  <c r="BP74" i="30" s="1"/>
  <c r="AY14" i="14"/>
  <c r="BA147" i="30" l="1"/>
  <c r="BA42" i="30"/>
  <c r="BA66" i="30"/>
  <c r="BA122" i="30"/>
  <c r="BO30" i="30"/>
  <c r="BO17" i="30"/>
  <c r="BC16" i="14"/>
  <c r="BB15" i="14"/>
  <c r="BO92" i="30"/>
  <c r="BO89" i="30"/>
  <c r="BP72" i="30"/>
  <c r="BP82" i="30"/>
  <c r="BX8" i="33"/>
  <c r="BX10" i="33"/>
  <c r="BW9" i="33"/>
  <c r="BP69" i="30"/>
  <c r="BP9" i="30"/>
  <c r="BO90" i="30"/>
  <c r="BA62" i="30"/>
  <c r="BA117" i="30"/>
  <c r="BB25" i="33" s="1"/>
  <c r="BA110" i="30"/>
  <c r="BA16" i="33" s="1"/>
  <c r="BO91" i="30"/>
  <c r="BP80" i="30"/>
  <c r="BP79" i="30"/>
  <c r="BP71" i="30"/>
  <c r="BP70" i="30"/>
  <c r="BB8" i="30"/>
  <c r="BQ10" i="30"/>
  <c r="BQ74" i="30" s="1"/>
  <c r="AZ14" i="14"/>
  <c r="BB147" i="30" l="1"/>
  <c r="BB42" i="30"/>
  <c r="BB122" i="30"/>
  <c r="BB66" i="30"/>
  <c r="BP30" i="30"/>
  <c r="BP17" i="30"/>
  <c r="BD16" i="14"/>
  <c r="BC15" i="14"/>
  <c r="BP92" i="30"/>
  <c r="BQ72" i="30"/>
  <c r="BQ82" i="30"/>
  <c r="BP89" i="30"/>
  <c r="BY10" i="33"/>
  <c r="BX9" i="33"/>
  <c r="BY8" i="33"/>
  <c r="BQ69" i="30"/>
  <c r="BQ9" i="30"/>
  <c r="BB62" i="30"/>
  <c r="BB117" i="30"/>
  <c r="BC25" i="33" s="1"/>
  <c r="BB110" i="30"/>
  <c r="BB16" i="33" s="1"/>
  <c r="BP91" i="30"/>
  <c r="BQ80" i="30"/>
  <c r="BQ79" i="30"/>
  <c r="BQ71" i="30"/>
  <c r="BQ70" i="30"/>
  <c r="BP90" i="30"/>
  <c r="BC8" i="30"/>
  <c r="BR10" i="30"/>
  <c r="BR74" i="30" s="1"/>
  <c r="BA14" i="14"/>
  <c r="BC147" i="30" l="1"/>
  <c r="BC42" i="30"/>
  <c r="BC122" i="30"/>
  <c r="BC66" i="30"/>
  <c r="BQ17" i="30"/>
  <c r="BQ30" i="30"/>
  <c r="BE16" i="14"/>
  <c r="BD15" i="14"/>
  <c r="BQ89" i="30"/>
  <c r="BQ92" i="30"/>
  <c r="BR82" i="30"/>
  <c r="BR72" i="30"/>
  <c r="BY9" i="33"/>
  <c r="BZ10" i="33"/>
  <c r="BZ8" i="33"/>
  <c r="BR69" i="30"/>
  <c r="BR9" i="30"/>
  <c r="BC62" i="30"/>
  <c r="BC117" i="30"/>
  <c r="BD25" i="33" s="1"/>
  <c r="BC110" i="30"/>
  <c r="BC16" i="33" s="1"/>
  <c r="BQ90" i="30"/>
  <c r="BQ91" i="30"/>
  <c r="BR80" i="30"/>
  <c r="BR79" i="30"/>
  <c r="BR71" i="30"/>
  <c r="BR70" i="30"/>
  <c r="BD8" i="30"/>
  <c r="BS10" i="30"/>
  <c r="BS74" i="30" s="1"/>
  <c r="BB14" i="14"/>
  <c r="BD147" i="30" l="1"/>
  <c r="BD42" i="30"/>
  <c r="BD66" i="30"/>
  <c r="BD122" i="30"/>
  <c r="BR30" i="30"/>
  <c r="BR17" i="30"/>
  <c r="BF16" i="14"/>
  <c r="BE15" i="14"/>
  <c r="BR92" i="30"/>
  <c r="BS82" i="30"/>
  <c r="BS72" i="30"/>
  <c r="BR89" i="30"/>
  <c r="CA8" i="33"/>
  <c r="CA10" i="33"/>
  <c r="BZ9" i="33"/>
  <c r="BS69" i="30"/>
  <c r="BS9" i="30"/>
  <c r="BD62" i="30"/>
  <c r="BD117" i="30"/>
  <c r="BE25" i="33" s="1"/>
  <c r="BD110" i="30"/>
  <c r="BD16" i="33" s="1"/>
  <c r="BR90" i="30"/>
  <c r="BR91" i="30"/>
  <c r="BS80" i="30"/>
  <c r="BS79" i="30"/>
  <c r="BS70" i="30"/>
  <c r="BS71" i="30"/>
  <c r="BE8" i="30"/>
  <c r="BT10" i="30"/>
  <c r="BT74" i="30" s="1"/>
  <c r="BC14" i="14"/>
  <c r="BE147" i="30" l="1"/>
  <c r="BE42" i="30"/>
  <c r="BE66" i="30"/>
  <c r="BE122" i="30"/>
  <c r="BS30" i="30"/>
  <c r="BS17" i="30"/>
  <c r="BG16" i="14"/>
  <c r="BF15" i="14"/>
  <c r="BS92" i="30"/>
  <c r="BT82" i="30"/>
  <c r="BT72" i="30"/>
  <c r="BS89" i="30"/>
  <c r="CB8" i="33"/>
  <c r="CB10" i="33"/>
  <c r="CA9" i="33"/>
  <c r="BT69" i="30"/>
  <c r="BT9" i="30"/>
  <c r="BE62" i="30"/>
  <c r="BE117" i="30"/>
  <c r="BF25" i="33" s="1"/>
  <c r="BE110" i="30"/>
  <c r="BE16" i="33" s="1"/>
  <c r="BS90" i="30"/>
  <c r="BT80" i="30"/>
  <c r="BT79" i="30"/>
  <c r="BT71" i="30"/>
  <c r="BT70" i="30"/>
  <c r="BS91" i="30"/>
  <c r="BF8" i="30"/>
  <c r="BU10" i="30"/>
  <c r="BU74" i="30" s="1"/>
  <c r="BD14" i="14"/>
  <c r="BF147" i="30" l="1"/>
  <c r="BF42" i="30"/>
  <c r="BF122" i="30"/>
  <c r="BF66" i="30"/>
  <c r="BT30" i="30"/>
  <c r="BT17" i="30"/>
  <c r="BH16" i="14"/>
  <c r="BG15" i="14"/>
  <c r="BT92" i="30"/>
  <c r="BU82" i="30"/>
  <c r="BU72" i="30"/>
  <c r="BT89" i="30"/>
  <c r="CC10" i="33"/>
  <c r="CB9" i="33"/>
  <c r="CC8" i="33"/>
  <c r="BU69" i="30"/>
  <c r="BU9" i="30"/>
  <c r="BF62" i="30"/>
  <c r="BF117" i="30"/>
  <c r="BG25" i="33" s="1"/>
  <c r="BF110" i="30"/>
  <c r="BF16" i="33" s="1"/>
  <c r="BT91" i="30"/>
  <c r="BU80" i="30"/>
  <c r="BU79" i="30"/>
  <c r="BU71" i="30"/>
  <c r="BU70" i="30"/>
  <c r="BT90" i="30"/>
  <c r="BG8" i="30"/>
  <c r="BV10" i="30"/>
  <c r="BV74" i="30" s="1"/>
  <c r="BE14" i="14"/>
  <c r="BG147" i="30" l="1"/>
  <c r="BG42" i="30"/>
  <c r="BG122" i="30"/>
  <c r="BG66" i="30"/>
  <c r="BU30" i="30"/>
  <c r="BU17" i="30"/>
  <c r="BI16" i="14"/>
  <c r="BH15" i="14"/>
  <c r="BU92" i="30"/>
  <c r="BV82" i="30"/>
  <c r="BV72" i="30"/>
  <c r="BU89" i="30"/>
  <c r="CD8" i="33"/>
  <c r="CD10" i="33"/>
  <c r="CC9" i="33"/>
  <c r="BV69" i="30"/>
  <c r="BV9" i="30"/>
  <c r="BU90" i="30"/>
  <c r="BU91" i="30"/>
  <c r="BV80" i="30"/>
  <c r="BV79" i="30"/>
  <c r="BV71" i="30"/>
  <c r="BV70" i="30"/>
  <c r="BH8" i="30"/>
  <c r="BW10" i="30"/>
  <c r="BW74" i="30" s="1"/>
  <c r="BF14" i="14"/>
  <c r="BH147" i="30" l="1"/>
  <c r="BH42" i="30"/>
  <c r="BH66" i="30"/>
  <c r="BH122" i="30"/>
  <c r="BV30" i="30"/>
  <c r="BV17" i="30"/>
  <c r="BJ16" i="14"/>
  <c r="BI15" i="14"/>
  <c r="BV89" i="30"/>
  <c r="BV92" i="30"/>
  <c r="BW82" i="30"/>
  <c r="BW72" i="30"/>
  <c r="CE8" i="33"/>
  <c r="CE10" i="33"/>
  <c r="CD9" i="33"/>
  <c r="BW69" i="30"/>
  <c r="BW9" i="30"/>
  <c r="BH62" i="30"/>
  <c r="BH117" i="30"/>
  <c r="BI25" i="33" s="1"/>
  <c r="BH110" i="30"/>
  <c r="BH16" i="33" s="1"/>
  <c r="BV90" i="30"/>
  <c r="BV91" i="30"/>
  <c r="BW80" i="30"/>
  <c r="BW79" i="30"/>
  <c r="BW70" i="30"/>
  <c r="BW71" i="30"/>
  <c r="BI8" i="30"/>
  <c r="BX10" i="30"/>
  <c r="BX74" i="30" s="1"/>
  <c r="BG14" i="14"/>
  <c r="BI147" i="30" l="1"/>
  <c r="BI42" i="30"/>
  <c r="BI66" i="30"/>
  <c r="BI122" i="30"/>
  <c r="BW30" i="30"/>
  <c r="BW17" i="30"/>
  <c r="BK16" i="14"/>
  <c r="BJ15" i="14"/>
  <c r="BW92" i="30"/>
  <c r="BX72" i="30"/>
  <c r="BX82" i="30"/>
  <c r="BW89" i="30"/>
  <c r="CF10" i="33"/>
  <c r="CE9" i="33"/>
  <c r="CF8" i="33"/>
  <c r="BX69" i="30"/>
  <c r="BX9" i="30"/>
  <c r="BI62" i="30"/>
  <c r="BI117" i="30"/>
  <c r="BJ25" i="33" s="1"/>
  <c r="BI110" i="30"/>
  <c r="BI16" i="33" s="1"/>
  <c r="BW90" i="30"/>
  <c r="BX79" i="30"/>
  <c r="BX80" i="30"/>
  <c r="BX71" i="30"/>
  <c r="BX70" i="30"/>
  <c r="BW91" i="30"/>
  <c r="BJ8" i="30"/>
  <c r="BY10" i="30"/>
  <c r="BY74" i="30" s="1"/>
  <c r="BH14" i="14"/>
  <c r="BJ147" i="30" l="1"/>
  <c r="BJ42" i="30"/>
  <c r="BJ122" i="30"/>
  <c r="BJ66" i="30"/>
  <c r="BX30" i="30"/>
  <c r="BX17" i="30"/>
  <c r="BX89" i="30"/>
  <c r="BL16" i="14"/>
  <c r="BK15" i="14"/>
  <c r="BX92" i="30"/>
  <c r="BY82" i="30"/>
  <c r="BY72" i="30"/>
  <c r="CG8" i="33"/>
  <c r="CG10" i="33"/>
  <c r="CF9" i="33"/>
  <c r="BY69" i="30"/>
  <c r="BY9" i="30"/>
  <c r="BJ62" i="30"/>
  <c r="BJ110" i="30"/>
  <c r="BJ16" i="33" s="1"/>
  <c r="BJ117" i="30"/>
  <c r="BK25" i="33" s="1"/>
  <c r="BX90" i="30"/>
  <c r="BX91" i="30"/>
  <c r="BY80" i="30"/>
  <c r="BY79" i="30"/>
  <c r="BY71" i="30"/>
  <c r="BY70" i="30"/>
  <c r="BK8" i="30"/>
  <c r="BZ10" i="30"/>
  <c r="BZ74" i="30" s="1"/>
  <c r="BI14" i="14"/>
  <c r="BK147" i="30" l="1"/>
  <c r="BK42" i="30"/>
  <c r="BK122" i="30"/>
  <c r="BK66" i="30"/>
  <c r="BY17" i="30"/>
  <c r="BY30" i="30"/>
  <c r="BM16" i="14"/>
  <c r="BL15" i="14"/>
  <c r="BY92" i="30"/>
  <c r="BY89" i="30"/>
  <c r="BZ82" i="30"/>
  <c r="BZ72" i="30"/>
  <c r="CH8" i="33"/>
  <c r="CH10" i="33"/>
  <c r="CG9" i="33"/>
  <c r="BZ69" i="30"/>
  <c r="BZ9" i="30"/>
  <c r="BK62" i="30"/>
  <c r="BK117" i="30"/>
  <c r="BL25" i="33" s="1"/>
  <c r="BK110" i="30"/>
  <c r="BK16" i="33" s="1"/>
  <c r="BY90" i="30"/>
  <c r="BY91" i="30"/>
  <c r="BZ80" i="30"/>
  <c r="BZ79" i="30"/>
  <c r="BZ71" i="30"/>
  <c r="BZ70" i="30"/>
  <c r="BL8" i="30"/>
  <c r="CA10" i="30"/>
  <c r="CA74" i="30" s="1"/>
  <c r="BJ14" i="14"/>
  <c r="BL147" i="30" l="1"/>
  <c r="BL42" i="30"/>
  <c r="BL66" i="30"/>
  <c r="BL122" i="30"/>
  <c r="BZ30" i="30"/>
  <c r="BZ17" i="30"/>
  <c r="BN16" i="14"/>
  <c r="BM15" i="14"/>
  <c r="BZ92" i="30"/>
  <c r="BZ89" i="30"/>
  <c r="CA82" i="30"/>
  <c r="CA72" i="30"/>
  <c r="CI10" i="33"/>
  <c r="CH9" i="33"/>
  <c r="CI8" i="33"/>
  <c r="CA69" i="30"/>
  <c r="CA9" i="30"/>
  <c r="BL62" i="30"/>
  <c r="BL117" i="30"/>
  <c r="BM25" i="33" s="1"/>
  <c r="BL110" i="30"/>
  <c r="BL16" i="33" s="1"/>
  <c r="BZ90" i="30"/>
  <c r="BZ91" i="30"/>
  <c r="CA80" i="30"/>
  <c r="CA79" i="30"/>
  <c r="CA71" i="30"/>
  <c r="CA70" i="30"/>
  <c r="BM8" i="30"/>
  <c r="CB10" i="30"/>
  <c r="CB74" i="30" s="1"/>
  <c r="BK14" i="14"/>
  <c r="BM147" i="30" l="1"/>
  <c r="BM42" i="30"/>
  <c r="BM66" i="30"/>
  <c r="BM122" i="30"/>
  <c r="CA30" i="30"/>
  <c r="CA17" i="30"/>
  <c r="CA90" i="30"/>
  <c r="BO16" i="14"/>
  <c r="BN15" i="14"/>
  <c r="CA92" i="30"/>
  <c r="CB82" i="30"/>
  <c r="CB72" i="30"/>
  <c r="CA89" i="30"/>
  <c r="CJ10" i="33"/>
  <c r="CI9" i="33"/>
  <c r="CJ8" i="33"/>
  <c r="CB69" i="30"/>
  <c r="CB9" i="30"/>
  <c r="BM117" i="30"/>
  <c r="BN25" i="33" s="1"/>
  <c r="BM110" i="30"/>
  <c r="BM16" i="33" s="1"/>
  <c r="CA91" i="30"/>
  <c r="CB80" i="30"/>
  <c r="CB79" i="30"/>
  <c r="CB70" i="30"/>
  <c r="CB71" i="30"/>
  <c r="BN8" i="30"/>
  <c r="CC10" i="30"/>
  <c r="CC74" i="30" s="1"/>
  <c r="BL14" i="14"/>
  <c r="BN147" i="30" l="1"/>
  <c r="BN42" i="30"/>
  <c r="BN122" i="30"/>
  <c r="BN66" i="30"/>
  <c r="CB30" i="30"/>
  <c r="CB17" i="30"/>
  <c r="BP16" i="14"/>
  <c r="BO15" i="14"/>
  <c r="CB92" i="30"/>
  <c r="CB89" i="30"/>
  <c r="CC72" i="30"/>
  <c r="CC82" i="30"/>
  <c r="CK8" i="33"/>
  <c r="CK10" i="33"/>
  <c r="CJ9" i="33"/>
  <c r="CC69" i="30"/>
  <c r="CC9" i="30"/>
  <c r="CB91" i="30"/>
  <c r="BN62" i="30"/>
  <c r="BN117" i="30"/>
  <c r="BO25" i="33" s="1"/>
  <c r="BN110" i="30"/>
  <c r="BN16" i="33" s="1"/>
  <c r="CC80" i="30"/>
  <c r="CC79" i="30"/>
  <c r="CC71" i="30"/>
  <c r="CC70" i="30"/>
  <c r="CB90" i="30"/>
  <c r="BO8" i="30"/>
  <c r="CD10" i="30"/>
  <c r="CD74" i="30" s="1"/>
  <c r="BM14" i="14"/>
  <c r="BO147" i="30" l="1"/>
  <c r="BO42" i="30"/>
  <c r="BO122" i="30"/>
  <c r="BO66" i="30"/>
  <c r="CC30" i="30"/>
  <c r="CC17" i="30"/>
  <c r="BQ16" i="14"/>
  <c r="BP15" i="14"/>
  <c r="CC89" i="30"/>
  <c r="CC92" i="30"/>
  <c r="CD82" i="30"/>
  <c r="CD72" i="30"/>
  <c r="CL10" i="33"/>
  <c r="CK9" i="33"/>
  <c r="CL8" i="33"/>
  <c r="CD69" i="30"/>
  <c r="CD9" i="30"/>
  <c r="BO62" i="30"/>
  <c r="BO117" i="30"/>
  <c r="BP25" i="33" s="1"/>
  <c r="BO110" i="30"/>
  <c r="BO16" i="33" s="1"/>
  <c r="CC90" i="30"/>
  <c r="CC91" i="30"/>
  <c r="CD80" i="30"/>
  <c r="CD79" i="30"/>
  <c r="CD71" i="30"/>
  <c r="CD70" i="30"/>
  <c r="BP8" i="30"/>
  <c r="CE10" i="30"/>
  <c r="CE74" i="30" s="1"/>
  <c r="BN14" i="14"/>
  <c r="BP147" i="30" l="1"/>
  <c r="BP42" i="30"/>
  <c r="BP66" i="30"/>
  <c r="BP122" i="30"/>
  <c r="CD30" i="30"/>
  <c r="CD17" i="30"/>
  <c r="BR16" i="14"/>
  <c r="BQ15" i="14"/>
  <c r="CD92" i="30"/>
  <c r="CE82" i="30"/>
  <c r="CE72" i="30"/>
  <c r="CD89" i="30"/>
  <c r="CM8" i="33"/>
  <c r="CM10" i="33"/>
  <c r="CL9" i="33"/>
  <c r="CE69" i="30"/>
  <c r="CE9" i="30"/>
  <c r="BP62" i="30"/>
  <c r="BP117" i="30"/>
  <c r="BQ25" i="33" s="1"/>
  <c r="BP110" i="30"/>
  <c r="BP16" i="33" s="1"/>
  <c r="CD90" i="30"/>
  <c r="CD91" i="30"/>
  <c r="CE80" i="30"/>
  <c r="CE79" i="30"/>
  <c r="CE71" i="30"/>
  <c r="CE70" i="30"/>
  <c r="BQ8" i="30"/>
  <c r="CF10" i="30"/>
  <c r="CF74" i="30" s="1"/>
  <c r="BO14" i="14"/>
  <c r="BQ147" i="30" l="1"/>
  <c r="BQ42" i="30"/>
  <c r="BQ66" i="30"/>
  <c r="BQ122" i="30"/>
  <c r="CE30" i="30"/>
  <c r="CE17" i="30"/>
  <c r="BS16" i="14"/>
  <c r="BR15" i="14"/>
  <c r="CE92" i="30"/>
  <c r="CF72" i="30"/>
  <c r="CF82" i="30"/>
  <c r="CE89" i="30"/>
  <c r="CN10" i="33"/>
  <c r="CM9" i="33"/>
  <c r="CN8" i="33"/>
  <c r="CF69" i="30"/>
  <c r="CF9" i="30"/>
  <c r="BQ62" i="30"/>
  <c r="BQ117" i="30"/>
  <c r="BR25" i="33" s="1"/>
  <c r="BQ110" i="30"/>
  <c r="BQ16" i="33" s="1"/>
  <c r="CE90" i="30"/>
  <c r="CF80" i="30"/>
  <c r="CF79" i="30"/>
  <c r="CF70" i="30"/>
  <c r="CF71" i="30"/>
  <c r="CE91" i="30"/>
  <c r="BR8" i="30"/>
  <c r="CG10" i="30"/>
  <c r="CG74" i="30" s="1"/>
  <c r="BP14" i="14"/>
  <c r="BR147" i="30" l="1"/>
  <c r="BR42" i="30"/>
  <c r="BR122" i="30"/>
  <c r="BR66" i="30"/>
  <c r="CF30" i="30"/>
  <c r="CF17" i="30"/>
  <c r="BT16" i="14"/>
  <c r="BS15" i="14"/>
  <c r="CF89" i="30"/>
  <c r="CF92" i="30"/>
  <c r="CG72" i="30"/>
  <c r="CG82" i="30"/>
  <c r="CO8" i="33"/>
  <c r="CO10" i="33"/>
  <c r="CN9" i="33"/>
  <c r="CF91" i="30"/>
  <c r="CG69" i="30"/>
  <c r="CG9" i="30"/>
  <c r="BR117" i="30"/>
  <c r="BS25" i="33" s="1"/>
  <c r="BR110" i="30"/>
  <c r="BR16" i="33" s="1"/>
  <c r="CG80" i="30"/>
  <c r="CG79" i="30"/>
  <c r="CG71" i="30"/>
  <c r="CG70" i="30"/>
  <c r="CF90" i="30"/>
  <c r="BS8" i="30"/>
  <c r="CH10" i="30"/>
  <c r="CH74" i="30" s="1"/>
  <c r="BQ14" i="14"/>
  <c r="BS147" i="30" l="1"/>
  <c r="BS42" i="30"/>
  <c r="BS122" i="30"/>
  <c r="CG17" i="30"/>
  <c r="CG30" i="30"/>
  <c r="BU16" i="14"/>
  <c r="BT15" i="14"/>
  <c r="CG92" i="30"/>
  <c r="CH82" i="30"/>
  <c r="CH72" i="30"/>
  <c r="CG89" i="30"/>
  <c r="CP8" i="33"/>
  <c r="CP10" i="33"/>
  <c r="CO9" i="33"/>
  <c r="CH69" i="30"/>
  <c r="CH9" i="30"/>
  <c r="CH80" i="30"/>
  <c r="CH79" i="30"/>
  <c r="CH71" i="30"/>
  <c r="CH70" i="30"/>
  <c r="CG90" i="30"/>
  <c r="CG91" i="30"/>
  <c r="BT8" i="30"/>
  <c r="CI10" i="30"/>
  <c r="CI74" i="30" s="1"/>
  <c r="BR14" i="14"/>
  <c r="BT147" i="30" l="1"/>
  <c r="BT42" i="30"/>
  <c r="BT66" i="30"/>
  <c r="BT122" i="30"/>
  <c r="CH30" i="30"/>
  <c r="CH17" i="30"/>
  <c r="BV16" i="14"/>
  <c r="BU15" i="14"/>
  <c r="CH92" i="30"/>
  <c r="CI82" i="30"/>
  <c r="CI72" i="30"/>
  <c r="CQ10" i="33"/>
  <c r="CP9" i="33"/>
  <c r="CQ8" i="33"/>
  <c r="CH89" i="30"/>
  <c r="CI69" i="30"/>
  <c r="CI9" i="30"/>
  <c r="BT117" i="30"/>
  <c r="BU25" i="33" s="1"/>
  <c r="BT110" i="30"/>
  <c r="BT16" i="33" s="1"/>
  <c r="CH90" i="30"/>
  <c r="BT62" i="30"/>
  <c r="CH91" i="30"/>
  <c r="CI80" i="30"/>
  <c r="CI79" i="30"/>
  <c r="CI70" i="30"/>
  <c r="CI71" i="30"/>
  <c r="BU8" i="30"/>
  <c r="CJ10" i="30"/>
  <c r="CJ74" i="30" s="1"/>
  <c r="BS14" i="14"/>
  <c r="BU147" i="30" l="1"/>
  <c r="BU42" i="30"/>
  <c r="BU66" i="30"/>
  <c r="BU122" i="30"/>
  <c r="CI30" i="30"/>
  <c r="CI17" i="30"/>
  <c r="BW16" i="14"/>
  <c r="BV15" i="14"/>
  <c r="CI92" i="30"/>
  <c r="CI89" i="30"/>
  <c r="CJ82" i="30"/>
  <c r="CJ72" i="30"/>
  <c r="CR8" i="33"/>
  <c r="CR10" i="33"/>
  <c r="CQ9" i="33"/>
  <c r="CJ69" i="30"/>
  <c r="CJ9" i="30"/>
  <c r="BU117" i="30"/>
  <c r="BV25" i="33" s="1"/>
  <c r="BU110" i="30"/>
  <c r="BU16" i="33" s="1"/>
  <c r="BU62" i="30"/>
  <c r="CI91" i="30"/>
  <c r="CJ80" i="30"/>
  <c r="CJ79" i="30"/>
  <c r="CJ71" i="30"/>
  <c r="CJ70" i="30"/>
  <c r="CI90" i="30"/>
  <c r="BV8" i="30"/>
  <c r="CK10" i="30"/>
  <c r="CK74" i="30" s="1"/>
  <c r="BT14" i="14"/>
  <c r="BV147" i="30" l="1"/>
  <c r="BV42" i="30"/>
  <c r="BV122" i="30"/>
  <c r="BV66" i="30"/>
  <c r="CJ30" i="30"/>
  <c r="CJ17" i="30"/>
  <c r="BX16" i="14"/>
  <c r="BW15" i="14"/>
  <c r="CJ89" i="30"/>
  <c r="CJ92" i="30"/>
  <c r="CK82" i="30"/>
  <c r="CK72" i="30"/>
  <c r="CS10" i="33"/>
  <c r="CR9" i="33"/>
  <c r="CS8" i="33"/>
  <c r="CK69" i="30"/>
  <c r="CK9" i="30"/>
  <c r="BV117" i="30"/>
  <c r="BW25" i="33" s="1"/>
  <c r="BV110" i="30"/>
  <c r="BV16" i="33" s="1"/>
  <c r="BV62" i="30"/>
  <c r="CJ90" i="30"/>
  <c r="CJ91" i="30"/>
  <c r="CK80" i="30"/>
  <c r="CK79" i="30"/>
  <c r="CK71" i="30"/>
  <c r="CK70" i="30"/>
  <c r="BW8" i="30"/>
  <c r="CL10" i="30"/>
  <c r="CL74" i="30" s="1"/>
  <c r="BU14" i="14"/>
  <c r="BW147" i="30" l="1"/>
  <c r="BW42" i="30"/>
  <c r="BW122" i="30"/>
  <c r="BW66" i="30"/>
  <c r="CK30" i="30"/>
  <c r="CK17" i="30"/>
  <c r="CK90" i="30"/>
  <c r="BY16" i="14"/>
  <c r="BX15" i="14"/>
  <c r="CK92" i="30"/>
  <c r="CL82" i="30"/>
  <c r="CL72" i="30"/>
  <c r="CK89" i="30"/>
  <c r="CT8" i="33"/>
  <c r="CT10" i="33"/>
  <c r="CS9" i="33"/>
  <c r="CL69" i="30"/>
  <c r="CL9" i="30"/>
  <c r="BW117" i="30"/>
  <c r="BX25" i="33" s="1"/>
  <c r="BW110" i="30"/>
  <c r="BW16" i="33" s="1"/>
  <c r="BW62" i="30"/>
  <c r="CK91" i="30"/>
  <c r="CL80" i="30"/>
  <c r="CL79" i="30"/>
  <c r="CL71" i="30"/>
  <c r="CL70" i="30"/>
  <c r="BX8" i="30"/>
  <c r="CM10" i="30"/>
  <c r="CM74" i="30" s="1"/>
  <c r="BV14" i="14"/>
  <c r="BX147" i="30" l="1"/>
  <c r="BX42" i="30"/>
  <c r="BX66" i="30"/>
  <c r="BX122" i="30"/>
  <c r="CL30" i="30"/>
  <c r="CL17" i="30"/>
  <c r="CL89" i="30"/>
  <c r="BZ16" i="14"/>
  <c r="BY15" i="14"/>
  <c r="CL92" i="30"/>
  <c r="CM82" i="30"/>
  <c r="CM72" i="30"/>
  <c r="CU10" i="33"/>
  <c r="CT9" i="33"/>
  <c r="CU8" i="33"/>
  <c r="CM69" i="30"/>
  <c r="CM9" i="30"/>
  <c r="BX117" i="30"/>
  <c r="BY25" i="33" s="1"/>
  <c r="BX110" i="30"/>
  <c r="BX16" i="33" s="1"/>
  <c r="BX62" i="30"/>
  <c r="CL90" i="30"/>
  <c r="CL91" i="30"/>
  <c r="CM80" i="30"/>
  <c r="CM79" i="30"/>
  <c r="CM70" i="30"/>
  <c r="CM71" i="30"/>
  <c r="BY8" i="30"/>
  <c r="CN10" i="30"/>
  <c r="CN74" i="30" s="1"/>
  <c r="BW14" i="14"/>
  <c r="BY147" i="30" l="1"/>
  <c r="BY42" i="30"/>
  <c r="BY66" i="30"/>
  <c r="BY122" i="30"/>
  <c r="CM30" i="30"/>
  <c r="CM17" i="30"/>
  <c r="CA16" i="14"/>
  <c r="BZ15" i="14"/>
  <c r="CM92" i="30"/>
  <c r="CN72" i="30"/>
  <c r="CN82" i="30"/>
  <c r="CM89" i="30"/>
  <c r="CV10" i="33"/>
  <c r="CU9" i="33"/>
  <c r="CV8" i="33"/>
  <c r="CN69" i="30"/>
  <c r="CN9" i="30"/>
  <c r="BY117" i="30"/>
  <c r="BZ25" i="33" s="1"/>
  <c r="BY110" i="30"/>
  <c r="BY16" i="33" s="1"/>
  <c r="CM90" i="30"/>
  <c r="CN79" i="30"/>
  <c r="CN80" i="30"/>
  <c r="CN71" i="30"/>
  <c r="CN70" i="30"/>
  <c r="CM91" i="30"/>
  <c r="BZ8" i="30"/>
  <c r="CO10" i="30"/>
  <c r="CO74" i="30" s="1"/>
  <c r="BX14" i="14"/>
  <c r="BZ147" i="30" l="1"/>
  <c r="BZ42" i="30"/>
  <c r="BZ122" i="30"/>
  <c r="BZ66" i="30"/>
  <c r="CN30" i="30"/>
  <c r="CN17" i="30"/>
  <c r="CB16" i="14"/>
  <c r="CA15" i="14"/>
  <c r="CN92" i="30"/>
  <c r="CN89" i="30"/>
  <c r="CO82" i="30"/>
  <c r="CO72" i="30"/>
  <c r="CW8" i="33"/>
  <c r="CW10" i="33"/>
  <c r="CV9" i="33"/>
  <c r="CO69" i="30"/>
  <c r="CO9" i="30"/>
  <c r="BZ110" i="30"/>
  <c r="BZ16" i="33" s="1"/>
  <c r="BZ117" i="30"/>
  <c r="CA25" i="33" s="1"/>
  <c r="BZ62" i="30"/>
  <c r="CN90" i="30"/>
  <c r="CN91" i="30"/>
  <c r="CO80" i="30"/>
  <c r="CO79" i="30"/>
  <c r="CO71" i="30"/>
  <c r="CO70" i="30"/>
  <c r="CA8" i="30"/>
  <c r="CP10" i="30"/>
  <c r="CP74" i="30" s="1"/>
  <c r="BY14" i="14"/>
  <c r="CA147" i="30" l="1"/>
  <c r="CA42" i="30"/>
  <c r="CA122" i="30"/>
  <c r="CA66" i="30"/>
  <c r="CO17" i="30"/>
  <c r="CO30" i="30"/>
  <c r="CC16" i="14"/>
  <c r="CB15" i="14"/>
  <c r="CO92" i="30"/>
  <c r="CP82" i="30"/>
  <c r="CP72" i="30"/>
  <c r="CO90" i="30"/>
  <c r="CO89" i="30"/>
  <c r="CX8" i="33"/>
  <c r="CX10" i="33"/>
  <c r="CW9" i="33"/>
  <c r="CP69" i="30"/>
  <c r="CP9" i="30"/>
  <c r="CA117" i="30"/>
  <c r="CB25" i="33" s="1"/>
  <c r="CA110" i="30"/>
  <c r="CA16" i="33" s="1"/>
  <c r="CA62" i="30"/>
  <c r="CO91" i="30"/>
  <c r="CP80" i="30"/>
  <c r="CP79" i="30"/>
  <c r="CP71" i="30"/>
  <c r="CP70" i="30"/>
  <c r="CB8" i="30"/>
  <c r="CQ10" i="30"/>
  <c r="CQ74" i="30" s="1"/>
  <c r="BZ14" i="14"/>
  <c r="CB147" i="30" l="1"/>
  <c r="CB42" i="30"/>
  <c r="CB66" i="30"/>
  <c r="CB122" i="30"/>
  <c r="CP30" i="30"/>
  <c r="CP17" i="30"/>
  <c r="CP89" i="30"/>
  <c r="CP92" i="30"/>
  <c r="CD16" i="14"/>
  <c r="CC15" i="14"/>
  <c r="CQ82" i="30"/>
  <c r="CQ72" i="30"/>
  <c r="CY10" i="33"/>
  <c r="CX9" i="33"/>
  <c r="CY8" i="33"/>
  <c r="CQ69" i="30"/>
  <c r="CQ9" i="30"/>
  <c r="CB117" i="30"/>
  <c r="CC25" i="33" s="1"/>
  <c r="CB110" i="30"/>
  <c r="CB16" i="33" s="1"/>
  <c r="CB62" i="30"/>
  <c r="CP90" i="30"/>
  <c r="CQ80" i="30"/>
  <c r="CQ79" i="30"/>
  <c r="CQ70" i="30"/>
  <c r="CQ71" i="30"/>
  <c r="CP91" i="30"/>
  <c r="CC8" i="30"/>
  <c r="CR10" i="30"/>
  <c r="CR74" i="30" s="1"/>
  <c r="CA14" i="14"/>
  <c r="CC147" i="30" l="1"/>
  <c r="CC42" i="30"/>
  <c r="CC66" i="30"/>
  <c r="CC122" i="30"/>
  <c r="CQ30" i="30"/>
  <c r="CQ17" i="30"/>
  <c r="CE16" i="14"/>
  <c r="CD15" i="14"/>
  <c r="CQ92" i="30"/>
  <c r="CR72" i="30"/>
  <c r="CR82" i="30"/>
  <c r="CQ89" i="30"/>
  <c r="CZ10" i="33"/>
  <c r="CY9" i="33"/>
  <c r="CZ8" i="33"/>
  <c r="CR69" i="30"/>
  <c r="CR9" i="30"/>
  <c r="CC117" i="30"/>
  <c r="CD25" i="33" s="1"/>
  <c r="CC110" i="30"/>
  <c r="CC16" i="33" s="1"/>
  <c r="CC62" i="30"/>
  <c r="CQ90" i="30"/>
  <c r="CQ91" i="30"/>
  <c r="CR80" i="30"/>
  <c r="CR79" i="30"/>
  <c r="CR70" i="30"/>
  <c r="CR71" i="30"/>
  <c r="CD8" i="30"/>
  <c r="CS10" i="30"/>
  <c r="CS74" i="30" s="1"/>
  <c r="CB14" i="14"/>
  <c r="CD147" i="30" l="1"/>
  <c r="CD42" i="30"/>
  <c r="CD122" i="30"/>
  <c r="CD66" i="30"/>
  <c r="CR30" i="30"/>
  <c r="CR17" i="30"/>
  <c r="CF16" i="14"/>
  <c r="CE15" i="14"/>
  <c r="CR89" i="30"/>
  <c r="CR92" i="30"/>
  <c r="CS82" i="30"/>
  <c r="CS72" i="30"/>
  <c r="DA8" i="33"/>
  <c r="DA10" i="33"/>
  <c r="CZ9" i="33"/>
  <c r="CS69" i="30"/>
  <c r="CS9" i="30"/>
  <c r="CD117" i="30"/>
  <c r="CE25" i="33" s="1"/>
  <c r="CD110" i="30"/>
  <c r="CD16" i="33" s="1"/>
  <c r="CD62" i="30"/>
  <c r="CR91" i="30"/>
  <c r="CR90" i="30"/>
  <c r="CS80" i="30"/>
  <c r="CS79" i="30"/>
  <c r="CS71" i="30"/>
  <c r="CS70" i="30"/>
  <c r="CE8" i="30"/>
  <c r="CT10" i="30"/>
  <c r="CT74" i="30" s="1"/>
  <c r="CC14" i="14"/>
  <c r="CE147" i="30" l="1"/>
  <c r="CE42" i="30"/>
  <c r="CE122" i="30"/>
  <c r="CE66" i="30"/>
  <c r="CS30" i="30"/>
  <c r="CS17" i="30"/>
  <c r="CG16" i="14"/>
  <c r="CF15" i="14"/>
  <c r="CS92" i="30"/>
  <c r="CT82" i="30"/>
  <c r="CT72" i="30"/>
  <c r="CS89" i="30"/>
  <c r="DB10" i="33"/>
  <c r="DA9" i="33"/>
  <c r="DB8" i="33"/>
  <c r="CT69" i="30"/>
  <c r="CT9" i="30"/>
  <c r="CS90" i="30"/>
  <c r="CE117" i="30"/>
  <c r="CF25" i="33" s="1"/>
  <c r="CE110" i="30"/>
  <c r="CE16" i="33" s="1"/>
  <c r="CE62" i="30"/>
  <c r="CS91" i="30"/>
  <c r="CT79" i="30"/>
  <c r="CT80" i="30"/>
  <c r="CT71" i="30"/>
  <c r="CT70" i="30"/>
  <c r="CF8" i="30"/>
  <c r="CU10" i="30"/>
  <c r="CU74" i="30" s="1"/>
  <c r="CD14" i="14"/>
  <c r="CF147" i="30" l="1"/>
  <c r="CF42" i="30"/>
  <c r="CF66" i="30"/>
  <c r="CF122" i="30"/>
  <c r="CT30" i="30"/>
  <c r="CT17" i="30"/>
  <c r="CH16" i="14"/>
  <c r="CG15" i="14"/>
  <c r="CT92" i="30"/>
  <c r="CU82" i="30"/>
  <c r="CU72" i="30"/>
  <c r="DC10" i="33"/>
  <c r="DB9" i="33"/>
  <c r="DC8" i="33"/>
  <c r="CT89" i="30"/>
  <c r="CU69" i="30"/>
  <c r="CU9" i="30"/>
  <c r="CF117" i="30"/>
  <c r="CG25" i="33" s="1"/>
  <c r="CF110" i="30"/>
  <c r="CF16" i="33" s="1"/>
  <c r="CF62" i="30"/>
  <c r="CT91" i="30"/>
  <c r="CT90" i="30"/>
  <c r="CU80" i="30"/>
  <c r="CU79" i="30"/>
  <c r="CU71" i="30"/>
  <c r="CU70" i="30"/>
  <c r="CG8" i="30"/>
  <c r="CV10" i="30"/>
  <c r="CV74" i="30" s="1"/>
  <c r="CE14" i="14"/>
  <c r="CG147" i="30" l="1"/>
  <c r="CG42" i="30"/>
  <c r="CG66" i="30"/>
  <c r="CG122" i="30"/>
  <c r="CU30" i="30"/>
  <c r="CU17" i="30"/>
  <c r="CI16" i="14"/>
  <c r="CH15" i="14"/>
  <c r="CU92" i="30"/>
  <c r="CV72" i="30"/>
  <c r="CV82" i="30"/>
  <c r="DD8" i="33"/>
  <c r="DC9" i="33"/>
  <c r="DD10" i="33"/>
  <c r="CV69" i="30"/>
  <c r="CV9" i="30"/>
  <c r="CU89" i="30"/>
  <c r="CG117" i="30"/>
  <c r="CH25" i="33" s="1"/>
  <c r="CG110" i="30"/>
  <c r="CG16" i="33" s="1"/>
  <c r="CG62" i="30"/>
  <c r="CU90" i="30"/>
  <c r="CV80" i="30"/>
  <c r="CV79" i="30"/>
  <c r="CV70" i="30"/>
  <c r="CV71" i="30"/>
  <c r="CU91" i="30"/>
  <c r="CH8" i="30"/>
  <c r="CW10" i="30"/>
  <c r="CW74" i="30" s="1"/>
  <c r="CF14" i="14"/>
  <c r="CH147" i="30" l="1"/>
  <c r="CH42" i="30"/>
  <c r="CH122" i="30"/>
  <c r="CH66" i="30"/>
  <c r="CV30" i="30"/>
  <c r="CV17" i="30"/>
  <c r="CJ16" i="14"/>
  <c r="CI15" i="14"/>
  <c r="CV92" i="30"/>
  <c r="CW82" i="30"/>
  <c r="CW72" i="30"/>
  <c r="CV89" i="30"/>
  <c r="DE10" i="33"/>
  <c r="DD9" i="33"/>
  <c r="DE8" i="33"/>
  <c r="CW69" i="30"/>
  <c r="CW9" i="30"/>
  <c r="CH117" i="30"/>
  <c r="CI25" i="33" s="1"/>
  <c r="CH110" i="30"/>
  <c r="CH16" i="33" s="1"/>
  <c r="CH62" i="30"/>
  <c r="CV91" i="30"/>
  <c r="CW79" i="30"/>
  <c r="CW80" i="30"/>
  <c r="CW71" i="30"/>
  <c r="CW70" i="30"/>
  <c r="CV90" i="30"/>
  <c r="CI8" i="30"/>
  <c r="CX10" i="30"/>
  <c r="CX74" i="30" s="1"/>
  <c r="CG14" i="14"/>
  <c r="CI147" i="30" l="1"/>
  <c r="CI42" i="30"/>
  <c r="CI122" i="30"/>
  <c r="CI66" i="30"/>
  <c r="CW17" i="30"/>
  <c r="CW30" i="30"/>
  <c r="CK16" i="14"/>
  <c r="CJ15" i="14"/>
  <c r="CW89" i="30"/>
  <c r="CW92" i="30"/>
  <c r="CX82" i="30"/>
  <c r="CX72" i="30"/>
  <c r="DF8" i="33"/>
  <c r="DF10" i="33"/>
  <c r="DE9" i="33"/>
  <c r="CX69" i="30"/>
  <c r="CX9" i="30"/>
  <c r="CI117" i="30"/>
  <c r="CJ25" i="33" s="1"/>
  <c r="CI110" i="30"/>
  <c r="CI16" i="33" s="1"/>
  <c r="CI62" i="30"/>
  <c r="CW90" i="30"/>
  <c r="CX79" i="30"/>
  <c r="CX80" i="30"/>
  <c r="CX71" i="30"/>
  <c r="CX70" i="30"/>
  <c r="CW91" i="30"/>
  <c r="CJ8" i="30"/>
  <c r="CY10" i="30"/>
  <c r="CY74" i="30" s="1"/>
  <c r="CH14" i="14"/>
  <c r="CJ147" i="30" l="1"/>
  <c r="CJ42" i="30"/>
  <c r="CJ66" i="30"/>
  <c r="CJ122" i="30"/>
  <c r="CX30" i="30"/>
  <c r="CX17" i="30"/>
  <c r="CL16" i="14"/>
  <c r="CK15" i="14"/>
  <c r="CX92" i="30"/>
  <c r="CY82" i="30"/>
  <c r="CY72" i="30"/>
  <c r="DG10" i="33"/>
  <c r="DF9" i="33"/>
  <c r="DG8" i="33"/>
  <c r="CY69" i="30"/>
  <c r="CY9" i="30"/>
  <c r="CX89" i="30"/>
  <c r="CJ117" i="30"/>
  <c r="CK25" i="33" s="1"/>
  <c r="CJ110" i="30"/>
  <c r="CJ16" i="33" s="1"/>
  <c r="CJ62" i="30"/>
  <c r="CX90" i="30"/>
  <c r="CX91" i="30"/>
  <c r="CY80" i="30"/>
  <c r="CY79" i="30"/>
  <c r="CY70" i="30"/>
  <c r="CY71" i="30"/>
  <c r="CK8" i="30"/>
  <c r="CZ10" i="30"/>
  <c r="CZ74" i="30" s="1"/>
  <c r="CI14" i="14"/>
  <c r="CK147" i="30" l="1"/>
  <c r="CK42" i="30"/>
  <c r="CK66" i="30"/>
  <c r="CK122" i="30"/>
  <c r="CY30" i="30"/>
  <c r="CY17" i="30"/>
  <c r="CM16" i="14"/>
  <c r="CL15" i="14"/>
  <c r="CY89" i="30"/>
  <c r="CY92" i="30"/>
  <c r="CZ82" i="30"/>
  <c r="CZ72" i="30"/>
  <c r="DH10" i="33"/>
  <c r="DG9" i="33"/>
  <c r="DH8" i="33"/>
  <c r="CZ69" i="30"/>
  <c r="CZ9" i="30"/>
  <c r="CK117" i="30"/>
  <c r="CL25" i="33" s="1"/>
  <c r="CK110" i="30"/>
  <c r="CK16" i="33" s="1"/>
  <c r="CK62" i="30"/>
  <c r="CY91" i="30"/>
  <c r="CY90" i="30"/>
  <c r="CZ79" i="30"/>
  <c r="CZ80" i="30"/>
  <c r="CZ71" i="30"/>
  <c r="CZ70" i="30"/>
  <c r="CL8" i="30"/>
  <c r="DA10" i="30"/>
  <c r="DA74" i="30" s="1"/>
  <c r="CJ14" i="14"/>
  <c r="CL147" i="30" l="1"/>
  <c r="CL42" i="30"/>
  <c r="CL122" i="30"/>
  <c r="CL66" i="30"/>
  <c r="CZ30" i="30"/>
  <c r="CZ17" i="30"/>
  <c r="CN16" i="14"/>
  <c r="CM15" i="14"/>
  <c r="CZ92" i="30"/>
  <c r="DA82" i="30"/>
  <c r="DA72" i="30"/>
  <c r="CZ89" i="30"/>
  <c r="DI8" i="33"/>
  <c r="DI10" i="33"/>
  <c r="DH9" i="33"/>
  <c r="DA69" i="30"/>
  <c r="DA9" i="30"/>
  <c r="CL117" i="30"/>
  <c r="CM25" i="33" s="1"/>
  <c r="CL110" i="30"/>
  <c r="CL16" i="33" s="1"/>
  <c r="CZ91" i="30"/>
  <c r="CL62" i="30"/>
  <c r="DA79" i="30"/>
  <c r="DA80" i="30"/>
  <c r="DA71" i="30"/>
  <c r="DA70" i="30"/>
  <c r="CZ90" i="30"/>
  <c r="CM8" i="30"/>
  <c r="DB10" i="30"/>
  <c r="DB74" i="30" s="1"/>
  <c r="CK14" i="14"/>
  <c r="CM147" i="30" l="1"/>
  <c r="CM42" i="30"/>
  <c r="CM122" i="30"/>
  <c r="CM66" i="30"/>
  <c r="DA30" i="30"/>
  <c r="DA17" i="30"/>
  <c r="CO16" i="14"/>
  <c r="CN15" i="14"/>
  <c r="DA89" i="30"/>
  <c r="DA92" i="30"/>
  <c r="DB82" i="30"/>
  <c r="DB72" i="30"/>
  <c r="DJ8" i="33"/>
  <c r="DJ10" i="33"/>
  <c r="DI9" i="33"/>
  <c r="DB69" i="30"/>
  <c r="DB9" i="30"/>
  <c r="CM117" i="30"/>
  <c r="CN25" i="33" s="1"/>
  <c r="CM110" i="30"/>
  <c r="CM16" i="33" s="1"/>
  <c r="CM62" i="30"/>
  <c r="DA91" i="30"/>
  <c r="DB79" i="30"/>
  <c r="DB80" i="30"/>
  <c r="DB71" i="30"/>
  <c r="DB70" i="30"/>
  <c r="DA90" i="30"/>
  <c r="CN8" i="30"/>
  <c r="DC10" i="30"/>
  <c r="DC74" i="30" s="1"/>
  <c r="CL14" i="14"/>
  <c r="CN147" i="30" l="1"/>
  <c r="CN42" i="30"/>
  <c r="CN66" i="30"/>
  <c r="CN122" i="30"/>
  <c r="DB30" i="30"/>
  <c r="DB17" i="30"/>
  <c r="CP16" i="14"/>
  <c r="CO15" i="14"/>
  <c r="DB92" i="30"/>
  <c r="DC82" i="30"/>
  <c r="DC72" i="30"/>
  <c r="DK10" i="33"/>
  <c r="DJ9" i="33"/>
  <c r="DK8" i="33"/>
  <c r="DC69" i="30"/>
  <c r="DC9" i="30"/>
  <c r="DB89" i="30"/>
  <c r="CN117" i="30"/>
  <c r="CO25" i="33" s="1"/>
  <c r="CN110" i="30"/>
  <c r="CN16" i="33" s="1"/>
  <c r="CN62" i="30"/>
  <c r="DB91" i="30"/>
  <c r="DB90" i="30"/>
  <c r="DC80" i="30"/>
  <c r="DC79" i="30"/>
  <c r="DC70" i="30"/>
  <c r="DC71" i="30"/>
  <c r="CO8" i="30"/>
  <c r="DD10" i="30"/>
  <c r="DD74" i="30" s="1"/>
  <c r="CM14" i="14"/>
  <c r="CO147" i="30" l="1"/>
  <c r="CO42" i="30"/>
  <c r="CO66" i="30"/>
  <c r="CO122" i="30"/>
  <c r="DC30" i="30"/>
  <c r="DC17" i="30"/>
  <c r="DC92" i="30"/>
  <c r="CQ16" i="14"/>
  <c r="CP15" i="14"/>
  <c r="DD72" i="30"/>
  <c r="DD82" i="30"/>
  <c r="DL8" i="33"/>
  <c r="DL10" i="33"/>
  <c r="DK9" i="33"/>
  <c r="DD69" i="30"/>
  <c r="DD9" i="30"/>
  <c r="DC89" i="30"/>
  <c r="CO117" i="30"/>
  <c r="CP25" i="33" s="1"/>
  <c r="CO110" i="30"/>
  <c r="CO16" i="33" s="1"/>
  <c r="CO62" i="30"/>
  <c r="DD79" i="30"/>
  <c r="DD80" i="30"/>
  <c r="DD70" i="30"/>
  <c r="DD71" i="30"/>
  <c r="DC90" i="30"/>
  <c r="DC91" i="30"/>
  <c r="CP8" i="30"/>
  <c r="DE10" i="30"/>
  <c r="DE74" i="30" s="1"/>
  <c r="CN14" i="14"/>
  <c r="CP147" i="30" l="1"/>
  <c r="CP42" i="30"/>
  <c r="CP122" i="30"/>
  <c r="CP66" i="30"/>
  <c r="DD30" i="30"/>
  <c r="DD17" i="30"/>
  <c r="CR16" i="14"/>
  <c r="CQ15" i="14"/>
  <c r="DD92" i="30"/>
  <c r="DE82" i="30"/>
  <c r="DE72" i="30"/>
  <c r="DD89" i="30"/>
  <c r="DM10" i="33"/>
  <c r="DL9" i="33"/>
  <c r="DM8" i="33"/>
  <c r="DE69" i="30"/>
  <c r="DE9" i="30"/>
  <c r="CP110" i="30"/>
  <c r="CP16" i="33" s="1"/>
  <c r="CP117" i="30"/>
  <c r="CQ25" i="33" s="1"/>
  <c r="DD91" i="30"/>
  <c r="CP62" i="30"/>
  <c r="DD90" i="30"/>
  <c r="DE79" i="30"/>
  <c r="DE80" i="30"/>
  <c r="DE71" i="30"/>
  <c r="DE70" i="30"/>
  <c r="CQ8" i="30"/>
  <c r="DF10" i="30"/>
  <c r="DF74" i="30" s="1"/>
  <c r="CO14" i="14"/>
  <c r="CQ147" i="30" l="1"/>
  <c r="CQ42" i="30"/>
  <c r="CQ122" i="30"/>
  <c r="CQ66" i="30"/>
  <c r="DE17" i="30"/>
  <c r="DE30" i="30"/>
  <c r="CS16" i="14"/>
  <c r="CR15" i="14"/>
  <c r="DE92" i="30"/>
  <c r="DF82" i="30"/>
  <c r="DF72" i="30"/>
  <c r="DM9" i="33"/>
  <c r="DN10" i="33"/>
  <c r="DN8" i="33"/>
  <c r="DF69" i="30"/>
  <c r="DF9" i="30"/>
  <c r="DE89" i="30"/>
  <c r="CQ117" i="30"/>
  <c r="CR25" i="33" s="1"/>
  <c r="CQ110" i="30"/>
  <c r="CQ16" i="33" s="1"/>
  <c r="CQ62" i="30"/>
  <c r="DE91" i="30"/>
  <c r="DE90" i="30"/>
  <c r="DF79" i="30"/>
  <c r="DF80" i="30"/>
  <c r="DF71" i="30"/>
  <c r="DF70" i="30"/>
  <c r="CR8" i="30"/>
  <c r="DG10" i="30"/>
  <c r="DG74" i="30" s="1"/>
  <c r="CP14" i="14"/>
  <c r="CR147" i="30" l="1"/>
  <c r="CR42" i="30"/>
  <c r="CR66" i="30"/>
  <c r="CR122" i="30"/>
  <c r="DF30" i="30"/>
  <c r="DF17" i="30"/>
  <c r="CT16" i="14"/>
  <c r="CS15" i="14"/>
  <c r="DF92" i="30"/>
  <c r="DG82" i="30"/>
  <c r="DG72" i="30"/>
  <c r="DF89" i="30"/>
  <c r="DO10" i="33"/>
  <c r="DN9" i="33"/>
  <c r="DO8" i="33"/>
  <c r="DG69" i="30"/>
  <c r="DG9" i="30"/>
  <c r="CR117" i="30"/>
  <c r="CS25" i="33" s="1"/>
  <c r="CR110" i="30"/>
  <c r="CR16" i="33" s="1"/>
  <c r="CR62" i="30"/>
  <c r="DF90" i="30"/>
  <c r="DF91" i="30"/>
  <c r="DG80" i="30"/>
  <c r="DG79" i="30"/>
  <c r="DG71" i="30"/>
  <c r="DG70" i="30"/>
  <c r="CS8" i="30"/>
  <c r="DH10" i="30"/>
  <c r="DH74" i="30" s="1"/>
  <c r="CQ14" i="14"/>
  <c r="CS147" i="30" l="1"/>
  <c r="CS42" i="30"/>
  <c r="CS66" i="30"/>
  <c r="CS122" i="30"/>
  <c r="DG30" i="30"/>
  <c r="DG17" i="30"/>
  <c r="CU16" i="14"/>
  <c r="CT15" i="14"/>
  <c r="DG89" i="30"/>
  <c r="DG92" i="30"/>
  <c r="DH72" i="30"/>
  <c r="DH82" i="30"/>
  <c r="DP8" i="33"/>
  <c r="DP10" i="33"/>
  <c r="DO9" i="33"/>
  <c r="DH69" i="30"/>
  <c r="DH9" i="30"/>
  <c r="CS117" i="30"/>
  <c r="CT25" i="33" s="1"/>
  <c r="CS110" i="30"/>
  <c r="CS16" i="33" s="1"/>
  <c r="CS62" i="30"/>
  <c r="DG90" i="30"/>
  <c r="DG91" i="30"/>
  <c r="DH79" i="30"/>
  <c r="DH80" i="30"/>
  <c r="DH70" i="30"/>
  <c r="DH71" i="30"/>
  <c r="CT8" i="30"/>
  <c r="DI10" i="30"/>
  <c r="DI74" i="30" s="1"/>
  <c r="CR14" i="14"/>
  <c r="CT147" i="30" l="1"/>
  <c r="CT42" i="30"/>
  <c r="CT122" i="30"/>
  <c r="CT66" i="30"/>
  <c r="DH30" i="30"/>
  <c r="DH17" i="30"/>
  <c r="CV16" i="14"/>
  <c r="CU15" i="14"/>
  <c r="DH89" i="30"/>
  <c r="DH92" i="30"/>
  <c r="DI82" i="30"/>
  <c r="DI72" i="30"/>
  <c r="DQ8" i="33"/>
  <c r="DQ10" i="33"/>
  <c r="DP9" i="33"/>
  <c r="DH91" i="30"/>
  <c r="DI69" i="30"/>
  <c r="DI9" i="30"/>
  <c r="CT117" i="30"/>
  <c r="CU25" i="33" s="1"/>
  <c r="CT110" i="30"/>
  <c r="CT16" i="33" s="1"/>
  <c r="CT62" i="30"/>
  <c r="DH90" i="30"/>
  <c r="DI79" i="30"/>
  <c r="DI80" i="30"/>
  <c r="DI71" i="30"/>
  <c r="DI70" i="30"/>
  <c r="CU8" i="30"/>
  <c r="DJ10" i="30"/>
  <c r="DJ74" i="30" s="1"/>
  <c r="CS14" i="14"/>
  <c r="CU147" i="30" l="1"/>
  <c r="CU42" i="30"/>
  <c r="CU122" i="30"/>
  <c r="CU66" i="30"/>
  <c r="DI30" i="30"/>
  <c r="DI17" i="30"/>
  <c r="CW16" i="14"/>
  <c r="CV15" i="14"/>
  <c r="DI89" i="30"/>
  <c r="DI92" i="30"/>
  <c r="DJ82" i="30"/>
  <c r="DJ72" i="30"/>
  <c r="DR10" i="33"/>
  <c r="DQ9" i="33"/>
  <c r="DR8" i="33"/>
  <c r="DJ69" i="30"/>
  <c r="DJ9" i="30"/>
  <c r="CU117" i="30"/>
  <c r="CV25" i="33" s="1"/>
  <c r="CU110" i="30"/>
  <c r="CU16" i="33" s="1"/>
  <c r="CU62" i="30"/>
  <c r="DI90" i="30"/>
  <c r="DI91" i="30"/>
  <c r="DJ79" i="30"/>
  <c r="DJ80" i="30"/>
  <c r="DJ71" i="30"/>
  <c r="DJ70" i="30"/>
  <c r="CV8" i="30"/>
  <c r="DK10" i="30"/>
  <c r="DK74" i="30" s="1"/>
  <c r="CT14" i="14"/>
  <c r="CV147" i="30" l="1"/>
  <c r="CV42" i="30"/>
  <c r="CV66" i="30"/>
  <c r="CV122" i="30"/>
  <c r="DJ30" i="30"/>
  <c r="DJ17" i="30"/>
  <c r="CX16" i="14"/>
  <c r="CW15" i="14"/>
  <c r="DJ92" i="30"/>
  <c r="DK82" i="30"/>
  <c r="DK72" i="30"/>
  <c r="DJ89" i="30"/>
  <c r="DS8" i="33"/>
  <c r="DS10" i="33"/>
  <c r="DR9" i="33"/>
  <c r="DK69" i="30"/>
  <c r="DK9" i="30"/>
  <c r="CV117" i="30"/>
  <c r="CW25" i="33" s="1"/>
  <c r="CV110" i="30"/>
  <c r="CV16" i="33" s="1"/>
  <c r="CV62" i="30"/>
  <c r="DJ90" i="30"/>
  <c r="DJ91" i="30"/>
  <c r="DK80" i="30"/>
  <c r="DK79" i="30"/>
  <c r="DK71" i="30"/>
  <c r="DK70" i="30"/>
  <c r="CW8" i="30"/>
  <c r="DL10" i="30"/>
  <c r="DL74" i="30" s="1"/>
  <c r="CU14" i="14"/>
  <c r="CW147" i="30" l="1"/>
  <c r="CW42" i="30"/>
  <c r="CW66" i="30"/>
  <c r="CW122" i="30"/>
  <c r="DK30" i="30"/>
  <c r="DK17" i="30"/>
  <c r="DK90" i="30"/>
  <c r="CY16" i="14"/>
  <c r="CX15" i="14"/>
  <c r="DK92" i="30"/>
  <c r="DK89" i="30"/>
  <c r="DL82" i="30"/>
  <c r="DL72" i="30"/>
  <c r="DT10" i="33"/>
  <c r="DS9" i="33"/>
  <c r="DT8" i="33"/>
  <c r="DL69" i="30"/>
  <c r="DL9" i="30"/>
  <c r="CW117" i="30"/>
  <c r="CX25" i="33" s="1"/>
  <c r="CW110" i="30"/>
  <c r="CW16" i="33" s="1"/>
  <c r="CW62" i="30"/>
  <c r="DK91" i="30"/>
  <c r="DL79" i="30"/>
  <c r="DL80" i="30"/>
  <c r="DL71" i="30"/>
  <c r="DL70" i="30"/>
  <c r="CX8" i="30"/>
  <c r="DM10" i="30"/>
  <c r="DM74" i="30" s="1"/>
  <c r="CV14" i="14"/>
  <c r="CX147" i="30" l="1"/>
  <c r="CX42" i="30"/>
  <c r="CX122" i="30"/>
  <c r="CX66" i="30"/>
  <c r="DL30" i="30"/>
  <c r="DL17" i="30"/>
  <c r="CZ16" i="14"/>
  <c r="CY15" i="14"/>
  <c r="DL92" i="30"/>
  <c r="DM82" i="30"/>
  <c r="DM72" i="30"/>
  <c r="DL89" i="30"/>
  <c r="DU10" i="33"/>
  <c r="DT9" i="33"/>
  <c r="DU8" i="33"/>
  <c r="DM69" i="30"/>
  <c r="DM9" i="30"/>
  <c r="CX117" i="30"/>
  <c r="CY25" i="33" s="1"/>
  <c r="CX110" i="30"/>
  <c r="CX16" i="33" s="1"/>
  <c r="CX62" i="30"/>
  <c r="DL90" i="30"/>
  <c r="DL91" i="30"/>
  <c r="DM79" i="30"/>
  <c r="DM80" i="30"/>
  <c r="DM71" i="30"/>
  <c r="DM70" i="30"/>
  <c r="CY8" i="30"/>
  <c r="DN10" i="30"/>
  <c r="DN74" i="30" s="1"/>
  <c r="CW14" i="14"/>
  <c r="CY147" i="30" l="1"/>
  <c r="CY42" i="30"/>
  <c r="CY122" i="30"/>
  <c r="CY66" i="30"/>
  <c r="DM17" i="30"/>
  <c r="DM30" i="30"/>
  <c r="DA16" i="14"/>
  <c r="CZ15" i="14"/>
  <c r="DM92" i="30"/>
  <c r="DN82" i="30"/>
  <c r="DN72" i="30"/>
  <c r="DV8" i="33"/>
  <c r="DV10" i="33"/>
  <c r="DU9" i="33"/>
  <c r="DM89" i="30"/>
  <c r="DN69" i="30"/>
  <c r="DN9" i="30"/>
  <c r="CY117" i="30"/>
  <c r="CZ25" i="33" s="1"/>
  <c r="CY110" i="30"/>
  <c r="CY16" i="33" s="1"/>
  <c r="CY62" i="30"/>
  <c r="DM91" i="30"/>
  <c r="DM90" i="30"/>
  <c r="DN79" i="30"/>
  <c r="DN80" i="30"/>
  <c r="DN71" i="30"/>
  <c r="DN70" i="30"/>
  <c r="CZ8" i="30"/>
  <c r="DO10" i="30"/>
  <c r="DO74" i="30" s="1"/>
  <c r="CX14" i="14"/>
  <c r="CZ147" i="30" l="1"/>
  <c r="CZ42" i="30"/>
  <c r="CZ66" i="30"/>
  <c r="CZ122" i="30"/>
  <c r="DN30" i="30"/>
  <c r="DN17" i="30"/>
  <c r="DB16" i="14"/>
  <c r="DA15" i="14"/>
  <c r="DN92" i="30"/>
  <c r="DO82" i="30"/>
  <c r="DO72" i="30"/>
  <c r="DW8" i="33"/>
  <c r="DW10" i="33"/>
  <c r="DV9" i="33"/>
  <c r="DN89" i="30"/>
  <c r="DO69" i="30"/>
  <c r="DO9" i="30"/>
  <c r="CZ117" i="30"/>
  <c r="DA25" i="33" s="1"/>
  <c r="CZ110" i="30"/>
  <c r="CZ16" i="33" s="1"/>
  <c r="CZ62" i="30"/>
  <c r="DN91" i="30"/>
  <c r="DO80" i="30"/>
  <c r="DO79" i="30"/>
  <c r="DO70" i="30"/>
  <c r="DO71" i="30"/>
  <c r="DN90" i="30"/>
  <c r="DA8" i="30"/>
  <c r="DP10" i="30"/>
  <c r="DP74" i="30" s="1"/>
  <c r="CY14" i="14"/>
  <c r="DA147" i="30" l="1"/>
  <c r="DA42" i="30"/>
  <c r="DA66" i="30"/>
  <c r="DA122" i="30"/>
  <c r="DO30" i="30"/>
  <c r="DO17" i="30"/>
  <c r="DC16" i="14"/>
  <c r="DB15" i="14"/>
  <c r="DO92" i="30"/>
  <c r="DP82" i="30"/>
  <c r="DP72" i="30"/>
  <c r="DX10" i="33"/>
  <c r="DW9" i="33"/>
  <c r="DX8" i="33"/>
  <c r="DP69" i="30"/>
  <c r="DP9" i="30"/>
  <c r="DO89" i="30"/>
  <c r="DA117" i="30"/>
  <c r="DB25" i="33" s="1"/>
  <c r="DA110" i="30"/>
  <c r="DA16" i="33" s="1"/>
  <c r="DA62" i="30"/>
  <c r="DO91" i="30"/>
  <c r="DO90" i="30"/>
  <c r="DP79" i="30"/>
  <c r="DP80" i="30"/>
  <c r="DP71" i="30"/>
  <c r="DP70" i="30"/>
  <c r="DB8" i="30"/>
  <c r="DQ10" i="30"/>
  <c r="DQ74" i="30" s="1"/>
  <c r="CZ14" i="14"/>
  <c r="DB147" i="30" l="1"/>
  <c r="DB42" i="30"/>
  <c r="DB122" i="30"/>
  <c r="DB66" i="30"/>
  <c r="DP30" i="30"/>
  <c r="DP17" i="30"/>
  <c r="DD16" i="14"/>
  <c r="DC15" i="14"/>
  <c r="DP92" i="30"/>
  <c r="DQ82" i="30"/>
  <c r="DQ72" i="30"/>
  <c r="DP89" i="30"/>
  <c r="DY10" i="33"/>
  <c r="DX9" i="33"/>
  <c r="DY8" i="33"/>
  <c r="DQ69" i="30"/>
  <c r="DQ9" i="30"/>
  <c r="DB117" i="30"/>
  <c r="DC25" i="33" s="1"/>
  <c r="DB110" i="30"/>
  <c r="DB16" i="33" s="1"/>
  <c r="DB62" i="30"/>
  <c r="DP90" i="30"/>
  <c r="DP91" i="30"/>
  <c r="DQ79" i="30"/>
  <c r="DQ80" i="30"/>
  <c r="DQ71" i="30"/>
  <c r="DQ70" i="30"/>
  <c r="DC8" i="30"/>
  <c r="DR10" i="30"/>
  <c r="DR74" i="30" s="1"/>
  <c r="DA14" i="14"/>
  <c r="DC147" i="30" l="1"/>
  <c r="DC42" i="30"/>
  <c r="DC122" i="30"/>
  <c r="DC66" i="30"/>
  <c r="DQ30" i="30"/>
  <c r="DQ17" i="30"/>
  <c r="DE16" i="14"/>
  <c r="DD15" i="14"/>
  <c r="DQ92" i="30"/>
  <c r="DQ89" i="30"/>
  <c r="DR82" i="30"/>
  <c r="DR72" i="30"/>
  <c r="DZ10" i="33"/>
  <c r="DY9" i="33"/>
  <c r="DZ8" i="33"/>
  <c r="DR69" i="30"/>
  <c r="DR9" i="30"/>
  <c r="DC117" i="30"/>
  <c r="DD25" i="33" s="1"/>
  <c r="DC110" i="30"/>
  <c r="DC16" i="33" s="1"/>
  <c r="DC62" i="30"/>
  <c r="DQ90" i="30"/>
  <c r="DQ91" i="30"/>
  <c r="DR79" i="30"/>
  <c r="DR80" i="30"/>
  <c r="DR71" i="30"/>
  <c r="DR70" i="30"/>
  <c r="DD8" i="30"/>
  <c r="DS10" i="30"/>
  <c r="DS74" i="30" s="1"/>
  <c r="DB14" i="14"/>
  <c r="DD147" i="30" l="1"/>
  <c r="DD42" i="30"/>
  <c r="DD66" i="30"/>
  <c r="DD122" i="30"/>
  <c r="DR30" i="30"/>
  <c r="DR17" i="30"/>
  <c r="DF16" i="14"/>
  <c r="DE15" i="14"/>
  <c r="DR92" i="30"/>
  <c r="DS82" i="30"/>
  <c r="DS72" i="30"/>
  <c r="DR89" i="30"/>
  <c r="EA8" i="33"/>
  <c r="EA10" i="33"/>
  <c r="DZ9" i="33"/>
  <c r="DS69" i="30"/>
  <c r="DS9" i="30"/>
  <c r="DD117" i="30"/>
  <c r="DE25" i="33" s="1"/>
  <c r="DD110" i="30"/>
  <c r="DD16" i="33" s="1"/>
  <c r="DD62" i="30"/>
  <c r="DR90" i="30"/>
  <c r="DR91" i="30"/>
  <c r="DS80" i="30"/>
  <c r="DS79" i="30"/>
  <c r="DS70" i="30"/>
  <c r="DS71" i="30"/>
  <c r="DE8" i="30"/>
  <c r="DT10" i="30"/>
  <c r="DT74" i="30" s="1"/>
  <c r="DC14" i="14"/>
  <c r="DE147" i="30" l="1"/>
  <c r="DE42" i="30"/>
  <c r="DE66" i="30"/>
  <c r="DE122" i="30"/>
  <c r="DS30" i="30"/>
  <c r="DS17" i="30"/>
  <c r="DG16" i="14"/>
  <c r="DF15" i="14"/>
  <c r="DS92" i="30"/>
  <c r="DT72" i="30"/>
  <c r="DT82" i="30"/>
  <c r="EA9" i="33"/>
  <c r="DS89" i="30"/>
  <c r="DT69" i="30"/>
  <c r="DT9" i="30"/>
  <c r="DE117" i="30"/>
  <c r="DF25" i="33" s="1"/>
  <c r="DE110" i="30"/>
  <c r="DE16" i="33" s="1"/>
  <c r="DE62" i="30"/>
  <c r="DS91" i="30"/>
  <c r="DS90" i="30"/>
  <c r="DT79" i="30"/>
  <c r="DT80" i="30"/>
  <c r="DT71" i="30"/>
  <c r="DT70" i="30"/>
  <c r="DF8" i="30"/>
  <c r="DU10" i="30"/>
  <c r="DU74" i="30" s="1"/>
  <c r="DD14" i="14"/>
  <c r="DF147" i="30" l="1"/>
  <c r="DF42" i="30"/>
  <c r="DF122" i="30"/>
  <c r="DF66" i="30"/>
  <c r="DT30" i="30"/>
  <c r="DT17" i="30"/>
  <c r="DH16" i="14"/>
  <c r="DG15" i="14"/>
  <c r="DT92" i="30"/>
  <c r="DU82" i="30"/>
  <c r="DU72" i="30"/>
  <c r="DU69" i="30"/>
  <c r="DU9" i="30"/>
  <c r="DT89" i="30"/>
  <c r="DF117" i="30"/>
  <c r="DG25" i="33" s="1"/>
  <c r="DF110" i="30"/>
  <c r="DF16" i="33" s="1"/>
  <c r="DF62" i="30"/>
  <c r="DT90" i="30"/>
  <c r="DT91" i="30"/>
  <c r="DU79" i="30"/>
  <c r="DU80" i="30"/>
  <c r="DU71" i="30"/>
  <c r="DU70" i="30"/>
  <c r="DG8" i="30"/>
  <c r="DV10" i="30"/>
  <c r="DV74" i="30" s="1"/>
  <c r="DE14" i="14"/>
  <c r="DG147" i="30" l="1"/>
  <c r="DG42" i="30"/>
  <c r="DG122" i="30"/>
  <c r="DG66" i="30"/>
  <c r="DU17" i="30"/>
  <c r="DU30" i="30"/>
  <c r="DI16" i="14"/>
  <c r="DH15" i="14"/>
  <c r="DU92" i="30"/>
  <c r="DU89" i="30"/>
  <c r="DV82" i="30"/>
  <c r="DV72" i="30"/>
  <c r="DV69" i="30"/>
  <c r="DV9" i="30"/>
  <c r="DG117" i="30"/>
  <c r="DH25" i="33" s="1"/>
  <c r="DG110" i="30"/>
  <c r="DG16" i="33" s="1"/>
  <c r="DG62" i="30"/>
  <c r="DU90" i="30"/>
  <c r="DV79" i="30"/>
  <c r="DV80" i="30"/>
  <c r="DV71" i="30"/>
  <c r="DV70" i="30"/>
  <c r="DU91" i="30"/>
  <c r="DH8" i="30"/>
  <c r="DW10" i="30"/>
  <c r="DW74" i="30" s="1"/>
  <c r="DF14" i="14"/>
  <c r="DH147" i="30" l="1"/>
  <c r="DH42" i="30"/>
  <c r="DH66" i="30"/>
  <c r="DH122" i="30"/>
  <c r="DV30" i="30"/>
  <c r="DV17" i="30"/>
  <c r="DJ16" i="14"/>
  <c r="DI15" i="14"/>
  <c r="DV92" i="30"/>
  <c r="DW82" i="30"/>
  <c r="DW72" i="30"/>
  <c r="DV89" i="30"/>
  <c r="DW69" i="30"/>
  <c r="DW9" i="30"/>
  <c r="DH117" i="30"/>
  <c r="DI25" i="33" s="1"/>
  <c r="DH110" i="30"/>
  <c r="DH16" i="33" s="1"/>
  <c r="DH62" i="30"/>
  <c r="DV91" i="30"/>
  <c r="DV90" i="30"/>
  <c r="DW80" i="30"/>
  <c r="DW79" i="30"/>
  <c r="DW70" i="30"/>
  <c r="DW71" i="30"/>
  <c r="DI8" i="30"/>
  <c r="DX10" i="30"/>
  <c r="DX74" i="30" s="1"/>
  <c r="DG14" i="14"/>
  <c r="DI147" i="30" l="1"/>
  <c r="DI42" i="30"/>
  <c r="DI66" i="30"/>
  <c r="DI122" i="30"/>
  <c r="DW30" i="30"/>
  <c r="DW17" i="30"/>
  <c r="DK16" i="14"/>
  <c r="DJ15" i="14"/>
  <c r="DW89" i="30"/>
  <c r="DW92" i="30"/>
  <c r="DX82" i="30"/>
  <c r="DX72" i="30"/>
  <c r="DX69" i="30"/>
  <c r="DX9" i="30"/>
  <c r="DI117" i="30"/>
  <c r="DJ25" i="33" s="1"/>
  <c r="DI110" i="30"/>
  <c r="DI16" i="33" s="1"/>
  <c r="DI62" i="30"/>
  <c r="DW90" i="30"/>
  <c r="DX79" i="30"/>
  <c r="DX80" i="30"/>
  <c r="DX71" i="30"/>
  <c r="DX70" i="30"/>
  <c r="DW91" i="30"/>
  <c r="DJ8" i="30"/>
  <c r="DY10" i="30"/>
  <c r="DY74" i="30" s="1"/>
  <c r="DH14" i="14"/>
  <c r="DJ147" i="30" l="1"/>
  <c r="DJ42" i="30"/>
  <c r="DJ122" i="30"/>
  <c r="DJ66" i="30"/>
  <c r="DX30" i="30"/>
  <c r="DX17" i="30"/>
  <c r="DL16" i="14"/>
  <c r="DK15" i="14"/>
  <c r="DX92" i="30"/>
  <c r="DY82" i="30"/>
  <c r="DY72" i="30"/>
  <c r="DX89" i="30"/>
  <c r="DY69" i="30"/>
  <c r="DY9" i="30"/>
  <c r="DJ110" i="30"/>
  <c r="DJ16" i="33" s="1"/>
  <c r="DJ117" i="30"/>
  <c r="DK25" i="33" s="1"/>
  <c r="DJ62" i="30"/>
  <c r="DX90" i="30"/>
  <c r="DX91" i="30"/>
  <c r="DY79" i="30"/>
  <c r="DY80" i="30"/>
  <c r="DY71" i="30"/>
  <c r="DY70" i="30"/>
  <c r="DK8" i="30"/>
  <c r="DZ10" i="30"/>
  <c r="DZ74" i="30" s="1"/>
  <c r="DI14" i="14"/>
  <c r="DK147" i="30" l="1"/>
  <c r="DK42" i="30"/>
  <c r="DK122" i="30"/>
  <c r="DK66" i="30"/>
  <c r="DY30" i="30"/>
  <c r="DY17" i="30"/>
  <c r="DM16" i="14"/>
  <c r="DL15" i="14"/>
  <c r="DY92" i="30"/>
  <c r="DZ82" i="30"/>
  <c r="DZ72" i="30"/>
  <c r="DY89" i="30"/>
  <c r="DZ69" i="30"/>
  <c r="DZ9" i="30"/>
  <c r="DK117" i="30"/>
  <c r="DL25" i="33" s="1"/>
  <c r="DK110" i="30"/>
  <c r="DK16" i="33" s="1"/>
  <c r="DK62" i="30"/>
  <c r="DY90" i="30"/>
  <c r="DY91" i="30"/>
  <c r="DZ79" i="30"/>
  <c r="DZ80" i="30"/>
  <c r="DZ71" i="30"/>
  <c r="DZ70" i="30"/>
  <c r="DL8" i="30"/>
  <c r="EA10" i="30"/>
  <c r="EA74" i="30" s="1"/>
  <c r="DJ14" i="14"/>
  <c r="DL147" i="30" l="1"/>
  <c r="DL42" i="30"/>
  <c r="DL66" i="30"/>
  <c r="DL122" i="30"/>
  <c r="DZ30" i="30"/>
  <c r="DZ17" i="30"/>
  <c r="DN16" i="14"/>
  <c r="DM15" i="14"/>
  <c r="DZ92" i="30"/>
  <c r="EA82" i="30"/>
  <c r="EA72" i="30"/>
  <c r="DZ89" i="30"/>
  <c r="EA69" i="30"/>
  <c r="EA9" i="30"/>
  <c r="M41" i="32" s="1"/>
  <c r="DL117" i="30"/>
  <c r="DM25" i="33" s="1"/>
  <c r="DL110" i="30"/>
  <c r="DL16" i="33" s="1"/>
  <c r="DL62" i="30"/>
  <c r="DZ91" i="30"/>
  <c r="EA80" i="30"/>
  <c r="EA79" i="30"/>
  <c r="EA71" i="30"/>
  <c r="EA70" i="30"/>
  <c r="DZ90" i="30"/>
  <c r="DM8" i="30"/>
  <c r="I85" i="30"/>
  <c r="DK14" i="14"/>
  <c r="DM147" i="30" l="1"/>
  <c r="DM42" i="30"/>
  <c r="DM66" i="30"/>
  <c r="DM122" i="30"/>
  <c r="EA30" i="30"/>
  <c r="EA17" i="30"/>
  <c r="I69" i="30"/>
  <c r="DO16" i="14"/>
  <c r="DN15" i="14"/>
  <c r="EA92" i="30"/>
  <c r="N71" i="32"/>
  <c r="O71" i="32"/>
  <c r="P71" i="32"/>
  <c r="Q71" i="32"/>
  <c r="R71" i="32"/>
  <c r="S71" i="32"/>
  <c r="T71" i="32"/>
  <c r="U71" i="32"/>
  <c r="L81" i="32"/>
  <c r="O81" i="32"/>
  <c r="P81" i="32"/>
  <c r="Q81" i="32"/>
  <c r="R81" i="32"/>
  <c r="S81" i="32"/>
  <c r="T81" i="32"/>
  <c r="U81" i="32"/>
  <c r="DM117" i="30"/>
  <c r="DN25" i="33" s="1"/>
  <c r="DM110" i="30"/>
  <c r="DM16" i="33" s="1"/>
  <c r="EA90" i="30"/>
  <c r="DM62" i="30"/>
  <c r="EA91" i="30"/>
  <c r="EA89" i="30"/>
  <c r="I89" i="30" s="1"/>
  <c r="I79" i="30"/>
  <c r="DN8" i="30"/>
  <c r="DL14" i="14"/>
  <c r="DN147" i="30" l="1"/>
  <c r="DN42" i="30"/>
  <c r="DN122" i="30"/>
  <c r="DN66" i="30"/>
  <c r="DP16" i="14"/>
  <c r="DO15" i="14"/>
  <c r="T91" i="32"/>
  <c r="P91" i="32"/>
  <c r="S91" i="32"/>
  <c r="R91" i="32"/>
  <c r="O91" i="32"/>
  <c r="U91" i="32"/>
  <c r="Q91" i="32"/>
  <c r="DN117" i="30"/>
  <c r="DO25" i="33" s="1"/>
  <c r="DN110" i="30"/>
  <c r="DN16" i="33" s="1"/>
  <c r="DN62" i="30"/>
  <c r="DO8" i="30"/>
  <c r="DM14" i="14"/>
  <c r="DO147" i="30" l="1"/>
  <c r="DO42" i="30"/>
  <c r="DO122" i="30"/>
  <c r="DQ16" i="14"/>
  <c r="DP15" i="14"/>
  <c r="DO117" i="30"/>
  <c r="DP25" i="33" s="1"/>
  <c r="DO110" i="30"/>
  <c r="DO16" i="33" s="1"/>
  <c r="DP8" i="30"/>
  <c r="DN14" i="14"/>
  <c r="DP147" i="30" l="1"/>
  <c r="DP42" i="30"/>
  <c r="DP66" i="30"/>
  <c r="DP122" i="30"/>
  <c r="DR16" i="14"/>
  <c r="DQ15" i="14"/>
  <c r="DP117" i="30"/>
  <c r="DQ25" i="33" s="1"/>
  <c r="DP110" i="30"/>
  <c r="DP16" i="33" s="1"/>
  <c r="DP62" i="30"/>
  <c r="DQ8" i="30"/>
  <c r="DO14" i="14"/>
  <c r="DQ147" i="30" l="1"/>
  <c r="DQ42" i="30"/>
  <c r="DQ66" i="30"/>
  <c r="DQ122" i="30"/>
  <c r="DS16" i="14"/>
  <c r="DR15" i="14"/>
  <c r="DQ117" i="30"/>
  <c r="DR25" i="33" s="1"/>
  <c r="DQ110" i="30"/>
  <c r="DQ16" i="33" s="1"/>
  <c r="DQ62" i="30"/>
  <c r="DR8" i="30"/>
  <c r="DP14" i="14"/>
  <c r="DR147" i="30" l="1"/>
  <c r="DR42" i="30"/>
  <c r="DR122" i="30"/>
  <c r="DR66" i="30"/>
  <c r="DT16" i="14"/>
  <c r="DS15" i="14"/>
  <c r="DR117" i="30"/>
  <c r="DS25" i="33" s="1"/>
  <c r="DR110" i="30"/>
  <c r="DR16" i="33" s="1"/>
  <c r="DR62" i="30"/>
  <c r="DS8" i="30"/>
  <c r="DQ14" i="14"/>
  <c r="DS147" i="30" l="1"/>
  <c r="DS42" i="30"/>
  <c r="DS122" i="30"/>
  <c r="DS66" i="30"/>
  <c r="DU16" i="14"/>
  <c r="DT15" i="14"/>
  <c r="DS117" i="30"/>
  <c r="DT25" i="33" s="1"/>
  <c r="DS110" i="30"/>
  <c r="DS16" i="33" s="1"/>
  <c r="DS62" i="30"/>
  <c r="DT8" i="30"/>
  <c r="DR14" i="14"/>
  <c r="DT147" i="30" l="1"/>
  <c r="DT42" i="30"/>
  <c r="DT66" i="30"/>
  <c r="DT122" i="30"/>
  <c r="DV16" i="14"/>
  <c r="DU15" i="14"/>
  <c r="DT117" i="30"/>
  <c r="DU25" i="33" s="1"/>
  <c r="DT110" i="30"/>
  <c r="DT16" i="33" s="1"/>
  <c r="DT62" i="30"/>
  <c r="DU8" i="30"/>
  <c r="DS14" i="14"/>
  <c r="DU147" i="30" l="1"/>
  <c r="DU42" i="30"/>
  <c r="DU66" i="30"/>
  <c r="DU122" i="30"/>
  <c r="DW16" i="14"/>
  <c r="DV15" i="14"/>
  <c r="DU117" i="30"/>
  <c r="DV25" i="33" s="1"/>
  <c r="DU110" i="30"/>
  <c r="DU16" i="33" s="1"/>
  <c r="DU62" i="30"/>
  <c r="DV8" i="30"/>
  <c r="DT14" i="14"/>
  <c r="DV147" i="30" l="1"/>
  <c r="DV42" i="30"/>
  <c r="DV122" i="30"/>
  <c r="DX16" i="14"/>
  <c r="DW15" i="14"/>
  <c r="DV110" i="30"/>
  <c r="DV16" i="33" s="1"/>
  <c r="DV117" i="30"/>
  <c r="DW25" i="33" s="1"/>
  <c r="DW8" i="30"/>
  <c r="DU14" i="14"/>
  <c r="DW147" i="30" l="1"/>
  <c r="DW42" i="30"/>
  <c r="DW122" i="30"/>
  <c r="DW66" i="30"/>
  <c r="DY16" i="14"/>
  <c r="DY15" i="14" s="1"/>
  <c r="DX15" i="14"/>
  <c r="DW117" i="30"/>
  <c r="DX25" i="33" s="1"/>
  <c r="DW110" i="30"/>
  <c r="DW16" i="33" s="1"/>
  <c r="DW62" i="30"/>
  <c r="DX8" i="30"/>
  <c r="DV14" i="14"/>
  <c r="DX147" i="30" l="1"/>
  <c r="DX42" i="30"/>
  <c r="DX66" i="30"/>
  <c r="DX122" i="30"/>
  <c r="DX117" i="30"/>
  <c r="DY25" i="33" s="1"/>
  <c r="DX110" i="30"/>
  <c r="DX16" i="33" s="1"/>
  <c r="DX62" i="30"/>
  <c r="DY8" i="30"/>
  <c r="DW14" i="14"/>
  <c r="DY147" i="30" l="1"/>
  <c r="DY42" i="30"/>
  <c r="DY66" i="30"/>
  <c r="DY122" i="30"/>
  <c r="DY117" i="30"/>
  <c r="DZ25" i="33" s="1"/>
  <c r="DY110" i="30"/>
  <c r="DY16" i="33" s="1"/>
  <c r="DY62" i="30"/>
  <c r="DZ8" i="30"/>
  <c r="DX14" i="14"/>
  <c r="DZ147" i="30" l="1"/>
  <c r="DZ42" i="30"/>
  <c r="DZ122" i="30"/>
  <c r="DZ66" i="30"/>
  <c r="DZ110" i="30"/>
  <c r="DZ16" i="33" s="1"/>
  <c r="DZ117" i="30"/>
  <c r="EA25" i="33" s="1"/>
  <c r="DZ62" i="30"/>
  <c r="EA8" i="30"/>
  <c r="DY14" i="14"/>
  <c r="EA147" i="30" l="1"/>
  <c r="EA122" i="30"/>
  <c r="L65" i="32"/>
  <c r="M65" i="32"/>
  <c r="O65" i="32"/>
  <c r="Q65" i="32"/>
  <c r="R65" i="32"/>
  <c r="S65" i="32"/>
  <c r="EA117" i="30"/>
  <c r="EA110" i="30"/>
  <c r="EA16" i="33" s="1"/>
  <c r="L41" i="32" l="1"/>
  <c r="EA42" i="30"/>
  <c r="N41" i="32"/>
  <c r="O41" i="32"/>
  <c r="P41" i="32"/>
  <c r="Q41" i="32"/>
  <c r="R41" i="32"/>
  <c r="S41" i="32"/>
  <c r="T41" i="32"/>
  <c r="U41" i="32"/>
  <c r="I41" i="30"/>
  <c r="L84" i="32"/>
  <c r="O68" i="32"/>
  <c r="U84" i="32"/>
  <c r="R78" i="32"/>
  <c r="S84" i="32"/>
  <c r="M68" i="32"/>
  <c r="P84" i="32"/>
  <c r="N84" i="32"/>
  <c r="R84" i="32"/>
  <c r="Q78" i="32"/>
  <c r="Q68" i="32"/>
  <c r="R68" i="32"/>
  <c r="S68" i="32"/>
  <c r="P78" i="32"/>
  <c r="M78" i="32"/>
  <c r="N68" i="32"/>
  <c r="N78" i="32"/>
  <c r="L78" i="32"/>
  <c r="T84" i="32"/>
  <c r="L68" i="32"/>
  <c r="U68" i="32"/>
  <c r="T68" i="32"/>
  <c r="U78" i="32"/>
  <c r="T78" i="32"/>
  <c r="S78" i="32"/>
  <c r="P68" i="32"/>
  <c r="Q84" i="32"/>
  <c r="O84" i="32"/>
  <c r="M84" i="32"/>
  <c r="O78" i="32"/>
  <c r="R11" i="17"/>
  <c r="S11" i="17" s="1"/>
  <c r="M42" i="32" l="1"/>
  <c r="I42" i="30"/>
  <c r="N42" i="32"/>
  <c r="O42" i="32"/>
  <c r="P42" i="32"/>
  <c r="Q42" i="32"/>
  <c r="R42" i="32"/>
  <c r="S42" i="32"/>
  <c r="T42" i="32"/>
  <c r="U42" i="32"/>
  <c r="I41" i="32"/>
  <c r="Q88" i="32"/>
  <c r="L16" i="40" s="1"/>
  <c r="P88" i="32"/>
  <c r="K16" i="40" s="1"/>
  <c r="R88" i="32"/>
  <c r="M16" i="40" s="1"/>
  <c r="T88" i="32"/>
  <c r="O16" i="40" s="1"/>
  <c r="M88" i="32"/>
  <c r="H16" i="40" s="1"/>
  <c r="O88" i="32"/>
  <c r="J16" i="40" s="1"/>
  <c r="U88" i="32"/>
  <c r="P16" i="40" s="1"/>
  <c r="N88" i="32"/>
  <c r="I16" i="40" s="1"/>
  <c r="I78" i="32"/>
  <c r="S88" i="32"/>
  <c r="N16" i="40" s="1"/>
  <c r="L88" i="32"/>
  <c r="G16" i="40" s="1"/>
  <c r="G26" i="40" s="1"/>
  <c r="I68" i="32"/>
  <c r="I84" i="32"/>
  <c r="I42" i="32" l="1"/>
  <c r="I88" i="32"/>
  <c r="R24" i="28" l="1"/>
  <c r="D56" i="3" l="1"/>
  <c r="E80" i="30" l="1"/>
  <c r="AK80" i="30" s="1"/>
  <c r="J74" i="11"/>
  <c r="AJ80" i="30" l="1"/>
  <c r="AJ90" i="30" s="1"/>
  <c r="AK90" i="30"/>
  <c r="Y80" i="30"/>
  <c r="Z80" i="30"/>
  <c r="AA80" i="30"/>
  <c r="AB80" i="30"/>
  <c r="AC80" i="30"/>
  <c r="AD80" i="30"/>
  <c r="AE80" i="30"/>
  <c r="AF80" i="30"/>
  <c r="AG80" i="30"/>
  <c r="AH80" i="30"/>
  <c r="AI80" i="30"/>
  <c r="AI90" i="30" l="1"/>
  <c r="AG90" i="30"/>
  <c r="AH90" i="30"/>
  <c r="AF90" i="30"/>
  <c r="AE90" i="30"/>
  <c r="P79" i="32"/>
  <c r="O79" i="32"/>
  <c r="R79" i="32"/>
  <c r="U79" i="32"/>
  <c r="N79" i="32"/>
  <c r="M79" i="32"/>
  <c r="L79" i="32"/>
  <c r="Q79" i="32"/>
  <c r="S79" i="32"/>
  <c r="T79" i="32"/>
  <c r="U69" i="32"/>
  <c r="N69" i="32"/>
  <c r="P69" i="32"/>
  <c r="R69" i="32"/>
  <c r="Q69" i="32"/>
  <c r="O69" i="32"/>
  <c r="S69" i="32"/>
  <c r="T69" i="32"/>
  <c r="I80" i="30"/>
  <c r="O89" i="32" l="1"/>
  <c r="J17" i="40" s="1"/>
  <c r="N89" i="32"/>
  <c r="I17" i="40" s="1"/>
  <c r="U89" i="32"/>
  <c r="P17" i="40" s="1"/>
  <c r="P89" i="32"/>
  <c r="K17" i="40" s="1"/>
  <c r="R89" i="32"/>
  <c r="M17" i="40" s="1"/>
  <c r="T89" i="32"/>
  <c r="O17" i="40" s="1"/>
  <c r="S89" i="32"/>
  <c r="N17" i="40" s="1"/>
  <c r="Q89" i="32"/>
  <c r="L17" i="40" s="1"/>
  <c r="I79" i="32"/>
  <c r="L71" i="30" l="1"/>
  <c r="L91" i="30" l="1"/>
  <c r="AD19" i="30" l="1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AE19" i="30" l="1"/>
  <c r="AF19" i="30" l="1"/>
  <c r="AG19" i="30" l="1"/>
  <c r="AH19" i="30" l="1"/>
  <c r="AI19" i="30" l="1"/>
  <c r="AJ19" i="30" l="1"/>
  <c r="AK19" i="30" l="1"/>
  <c r="AL19" i="30" l="1"/>
  <c r="AM19" i="30" l="1"/>
  <c r="AN19" i="30" l="1"/>
  <c r="AO19" i="30" l="1"/>
  <c r="AP19" i="30" l="1"/>
  <c r="AQ19" i="30" l="1"/>
  <c r="AR19" i="30" l="1"/>
  <c r="AS19" i="30" l="1"/>
  <c r="AT19" i="30" l="1"/>
  <c r="AU19" i="30" l="1"/>
  <c r="AV19" i="30" l="1"/>
  <c r="AW19" i="30" l="1"/>
  <c r="AX19" i="30" l="1"/>
  <c r="AY19" i="30" l="1"/>
  <c r="AZ19" i="30" l="1"/>
  <c r="BA19" i="30" l="1"/>
  <c r="BB19" i="30" l="1"/>
  <c r="BC19" i="30" l="1"/>
  <c r="BD19" i="30" l="1"/>
  <c r="BE19" i="30" l="1"/>
  <c r="BF19" i="30" l="1"/>
  <c r="BG19" i="30" l="1"/>
  <c r="M14" i="32"/>
  <c r="L14" i="32"/>
  <c r="N14" i="32"/>
  <c r="O14" i="32"/>
  <c r="BH19" i="30" l="1"/>
  <c r="M19" i="32"/>
  <c r="N19" i="32"/>
  <c r="O19" i="32"/>
  <c r="L19" i="32"/>
  <c r="L121" i="32"/>
  <c r="R121" i="32"/>
  <c r="S121" i="32"/>
  <c r="T121" i="32"/>
  <c r="Q121" i="32"/>
  <c r="U121" i="32"/>
  <c r="BI19" i="30" l="1"/>
  <c r="L61" i="32"/>
  <c r="R61" i="32"/>
  <c r="M61" i="32"/>
  <c r="BJ19" i="30" l="1"/>
  <c r="BK19" i="30" l="1"/>
  <c r="BL19" i="30" l="1"/>
  <c r="S61" i="32"/>
  <c r="P121" i="32"/>
  <c r="BM19" i="30" l="1"/>
  <c r="BN19" i="30" l="1"/>
  <c r="BO19" i="30" l="1"/>
  <c r="BP19" i="30" l="1"/>
  <c r="BQ19" i="30" l="1"/>
  <c r="BR19" i="30" l="1"/>
  <c r="BS19" i="30" l="1"/>
  <c r="BT19" i="30" l="1"/>
  <c r="BU19" i="30" l="1"/>
  <c r="BV19" i="30" l="1"/>
  <c r="BW19" i="30" l="1"/>
  <c r="BX19" i="30" l="1"/>
  <c r="BY19" i="30" l="1"/>
  <c r="BZ19" i="30" l="1"/>
  <c r="CA19" i="30" l="1"/>
  <c r="CB19" i="30" l="1"/>
  <c r="CC19" i="30" l="1"/>
  <c r="CD19" i="30" l="1"/>
  <c r="CE19" i="30" l="1"/>
  <c r="CF19" i="30" l="1"/>
  <c r="CG19" i="30" l="1"/>
  <c r="CH19" i="30" l="1"/>
  <c r="CI19" i="30" l="1"/>
  <c r="CJ19" i="30" l="1"/>
  <c r="CK19" i="30" l="1"/>
  <c r="CL19" i="30" l="1"/>
  <c r="CM19" i="30" l="1"/>
  <c r="CN19" i="30" l="1"/>
  <c r="CO19" i="30" l="1"/>
  <c r="CP19" i="30" l="1"/>
  <c r="CQ19" i="30" l="1"/>
  <c r="CR19" i="30" l="1"/>
  <c r="CS19" i="30" l="1"/>
  <c r="CT19" i="30" l="1"/>
  <c r="CU19" i="30" l="1"/>
  <c r="CV19" i="30" l="1"/>
  <c r="CW19" i="30" l="1"/>
  <c r="R14" i="32"/>
  <c r="CX19" i="30" l="1"/>
  <c r="Q19" i="32"/>
  <c r="R19" i="32"/>
  <c r="CY19" i="30" l="1"/>
  <c r="CZ19" i="30" l="1"/>
  <c r="DA19" i="30" l="1"/>
  <c r="DB19" i="30" l="1"/>
  <c r="DC19" i="30" l="1"/>
  <c r="S14" i="32"/>
  <c r="DD19" i="30" l="1"/>
  <c r="S19" i="32"/>
  <c r="DE19" i="30" l="1"/>
  <c r="DF19" i="30" l="1"/>
  <c r="DG19" i="30" l="1"/>
  <c r="DH19" i="30" l="1"/>
  <c r="DI19" i="30" l="1"/>
  <c r="DJ19" i="30" l="1"/>
  <c r="DK19" i="30" l="1"/>
  <c r="DL19" i="30" l="1"/>
  <c r="DM19" i="30" l="1"/>
  <c r="DN19" i="30" l="1"/>
  <c r="DO19" i="30" l="1"/>
  <c r="DP19" i="30" l="1"/>
  <c r="DQ19" i="30" l="1"/>
  <c r="DR19" i="30" l="1"/>
  <c r="DS19" i="30" l="1"/>
  <c r="DT19" i="30" l="1"/>
  <c r="DU19" i="30" l="1"/>
  <c r="DV19" i="30" l="1"/>
  <c r="DW19" i="30" l="1"/>
  <c r="DX19" i="30" l="1"/>
  <c r="DY19" i="30" l="1"/>
  <c r="DZ19" i="30" l="1"/>
  <c r="P14" i="32" l="1"/>
  <c r="Q14" i="32"/>
  <c r="EA19" i="30"/>
  <c r="T14" i="32"/>
  <c r="I14" i="30"/>
  <c r="U14" i="32"/>
  <c r="P19" i="32" l="1"/>
  <c r="T19" i="32"/>
  <c r="I19" i="30"/>
  <c r="U19" i="32"/>
  <c r="I14" i="32"/>
  <c r="I19" i="32" l="1"/>
  <c r="AX110" i="30" l="1"/>
  <c r="AX16" i="33" s="1"/>
  <c r="AX117" i="30"/>
  <c r="AY25" i="33" s="1"/>
  <c r="I31" i="14" l="1"/>
  <c r="I23" i="14"/>
  <c r="I77" i="14"/>
  <c r="I27" i="14" s="1"/>
  <c r="I28" i="14" s="1"/>
  <c r="I29" i="14" s="1"/>
  <c r="I22" i="14"/>
  <c r="I85" i="14" l="1"/>
  <c r="I95" i="14" s="1"/>
  <c r="I74" i="14"/>
  <c r="I24" i="14"/>
  <c r="I83" i="14" l="1"/>
  <c r="I76" i="14"/>
  <c r="I78" i="14" s="1"/>
  <c r="J73" i="14" s="1"/>
  <c r="I79" i="14"/>
  <c r="J75" i="14" l="1"/>
  <c r="I86" i="14"/>
  <c r="I93" i="14"/>
  <c r="I87" i="14" l="1"/>
  <c r="I88" i="14" s="1"/>
  <c r="J82" i="14" s="1"/>
  <c r="I34" i="14" l="1"/>
  <c r="I96" i="14"/>
  <c r="I97" i="14" s="1"/>
  <c r="I89" i="14"/>
  <c r="J84" i="14"/>
  <c r="I35" i="14" l="1"/>
  <c r="I36" i="14"/>
  <c r="I37" i="14" l="1"/>
  <c r="I39" i="14" s="1"/>
  <c r="I98" i="14" l="1"/>
  <c r="I99" i="14" s="1"/>
  <c r="J92" i="14" s="1"/>
  <c r="J94" i="14" l="1"/>
  <c r="I42" i="14"/>
  <c r="I100" i="14"/>
  <c r="I44" i="14" l="1"/>
  <c r="I43" i="14"/>
  <c r="I45" i="14" l="1"/>
  <c r="I47" i="14" s="1"/>
  <c r="I51" i="14" l="1"/>
  <c r="I50" i="14"/>
  <c r="I52" i="14"/>
  <c r="I61" i="14" l="1"/>
  <c r="I53" i="14"/>
  <c r="I58" i="14"/>
  <c r="I59" i="14"/>
  <c r="I60" i="14" l="1"/>
  <c r="I55" i="14"/>
  <c r="I63" i="14"/>
  <c r="I62" i="14" l="1"/>
  <c r="L126" i="32" l="1"/>
  <c r="M126" i="32"/>
  <c r="L122" i="32"/>
  <c r="M122" i="32"/>
  <c r="AQ110" i="30"/>
  <c r="AQ16" i="33" s="1"/>
  <c r="AQ117" i="30"/>
  <c r="AR25" i="33" s="1"/>
  <c r="K103" i="30"/>
  <c r="K109" i="30" s="1"/>
  <c r="K111" i="30" l="1"/>
  <c r="L108" i="30" s="1"/>
  <c r="K107" i="30"/>
  <c r="L123" i="32"/>
  <c r="L124" i="32" s="1"/>
  <c r="M120" i="32" s="1"/>
  <c r="L107" i="32" l="1"/>
  <c r="L114" i="32" l="1"/>
  <c r="N70" i="32" l="1"/>
  <c r="O70" i="32"/>
  <c r="P70" i="32"/>
  <c r="Q70" i="32"/>
  <c r="R70" i="32"/>
  <c r="S70" i="32"/>
  <c r="T70" i="32"/>
  <c r="U70" i="32"/>
  <c r="L80" i="32"/>
  <c r="N80" i="32"/>
  <c r="O80" i="32"/>
  <c r="P80" i="32"/>
  <c r="Q80" i="32"/>
  <c r="R80" i="32"/>
  <c r="S80" i="32"/>
  <c r="T80" i="32"/>
  <c r="U80" i="32"/>
  <c r="L109" i="32"/>
  <c r="Q109" i="32"/>
  <c r="R109" i="32"/>
  <c r="S109" i="32"/>
  <c r="T109" i="32"/>
  <c r="U109" i="32"/>
  <c r="L116" i="32"/>
  <c r="Q116" i="32"/>
  <c r="R116" i="32"/>
  <c r="S116" i="32"/>
  <c r="T116" i="32"/>
  <c r="U116" i="32"/>
  <c r="S90" i="32" l="1"/>
  <c r="N18" i="40" s="1"/>
  <c r="N19" i="40" s="1"/>
  <c r="O90" i="32"/>
  <c r="J18" i="40" s="1"/>
  <c r="P90" i="32"/>
  <c r="K18" i="40" s="1"/>
  <c r="K19" i="40" s="1"/>
  <c r="U90" i="32"/>
  <c r="P18" i="40" s="1"/>
  <c r="P19" i="40" s="1"/>
  <c r="R90" i="32"/>
  <c r="M18" i="40" s="1"/>
  <c r="M19" i="40" s="1"/>
  <c r="N90" i="32"/>
  <c r="I18" i="40" s="1"/>
  <c r="Q90" i="32"/>
  <c r="L18" i="40" s="1"/>
  <c r="L19" i="40" s="1"/>
  <c r="T90" i="32"/>
  <c r="O18" i="40" s="1"/>
  <c r="O19" i="40" s="1"/>
  <c r="K98" i="30" l="1"/>
  <c r="K104" i="30"/>
  <c r="K116" i="30" l="1"/>
  <c r="L24" i="33" l="1"/>
  <c r="L26" i="33" s="1"/>
  <c r="M23" i="33" s="1"/>
  <c r="M29" i="33" s="1"/>
  <c r="K129" i="30"/>
  <c r="L22" i="33"/>
  <c r="K118" i="30"/>
  <c r="L115" i="30" s="1"/>
  <c r="L84" i="30" s="1"/>
  <c r="I43" i="11" l="1"/>
  <c r="J43" i="11"/>
  <c r="AR117" i="30" l="1"/>
  <c r="AS25" i="33" l="1"/>
  <c r="AR110" i="30" l="1"/>
  <c r="AR16" i="33" l="1"/>
  <c r="BG110" i="30" l="1"/>
  <c r="BG16" i="33" s="1"/>
  <c r="BG117" i="30"/>
  <c r="BH25" i="33" s="1"/>
  <c r="J62" i="11" l="1"/>
  <c r="BS110" i="30" l="1"/>
  <c r="P109" i="32" l="1"/>
  <c r="BS16" i="33"/>
  <c r="BS117" i="30" l="1"/>
  <c r="P116" i="32" l="1"/>
  <c r="BT25" i="33"/>
  <c r="J33" i="11"/>
  <c r="E82" i="30"/>
  <c r="Z82" i="30" s="1"/>
  <c r="AJ82" i="30" l="1"/>
  <c r="AJ92" i="30" s="1"/>
  <c r="AE82" i="30"/>
  <c r="AE92" i="30" s="1"/>
  <c r="AB82" i="30"/>
  <c r="AF82" i="30"/>
  <c r="AF92" i="30" s="1"/>
  <c r="AI82" i="30"/>
  <c r="AI92" i="30" s="1"/>
  <c r="AH82" i="30"/>
  <c r="AH92" i="30" s="1"/>
  <c r="AA82" i="30"/>
  <c r="AK82" i="30"/>
  <c r="AG82" i="30"/>
  <c r="AC82" i="30"/>
  <c r="Y82" i="30"/>
  <c r="AD82" i="30"/>
  <c r="N81" i="32" l="1"/>
  <c r="N91" i="32" s="1"/>
  <c r="M81" i="32"/>
  <c r="I82" i="30"/>
  <c r="AG92" i="30"/>
  <c r="AK92" i="30"/>
  <c r="I81" i="32" l="1"/>
  <c r="I61" i="11"/>
  <c r="M82" i="32"/>
  <c r="N82" i="32"/>
  <c r="O82" i="32"/>
  <c r="P82" i="32"/>
  <c r="Q82" i="32"/>
  <c r="R82" i="32"/>
  <c r="S82" i="32"/>
  <c r="T82" i="32"/>
  <c r="U82" i="32"/>
  <c r="L83" i="32"/>
  <c r="M83" i="32"/>
  <c r="N83" i="32"/>
  <c r="O83" i="32"/>
  <c r="P83" i="32"/>
  <c r="Q83" i="32"/>
  <c r="R83" i="32"/>
  <c r="S83" i="32"/>
  <c r="T83" i="32"/>
  <c r="U83" i="32"/>
  <c r="I84" i="30"/>
  <c r="M86" i="30"/>
  <c r="M104" i="30" s="1"/>
  <c r="M116" i="30" s="1"/>
  <c r="N24" i="33" s="1"/>
  <c r="N86" i="30"/>
  <c r="N104" i="30" s="1"/>
  <c r="O86" i="30"/>
  <c r="O104" i="30" s="1"/>
  <c r="O116" i="30" s="1"/>
  <c r="P86" i="30"/>
  <c r="P104" i="30" s="1"/>
  <c r="Q86" i="30"/>
  <c r="Q104" i="30" s="1"/>
  <c r="Q116" i="30" s="1"/>
  <c r="R86" i="30"/>
  <c r="R104" i="30" s="1"/>
  <c r="R116" i="30" s="1"/>
  <c r="S86" i="30"/>
  <c r="S104" i="30" s="1"/>
  <c r="S116" i="30" s="1"/>
  <c r="T86" i="30"/>
  <c r="U86" i="30"/>
  <c r="U104" i="30" s="1"/>
  <c r="U116" i="30" s="1"/>
  <c r="V24" i="33" s="1"/>
  <c r="V86" i="30"/>
  <c r="V104" i="30" s="1"/>
  <c r="V116" i="30" s="1"/>
  <c r="W86" i="30"/>
  <c r="W104" i="30" s="1"/>
  <c r="W116" i="30" s="1"/>
  <c r="AJ86" i="30"/>
  <c r="AK86" i="30"/>
  <c r="AK104" i="30" s="1"/>
  <c r="AK116" i="30" s="1"/>
  <c r="AL24" i="33" s="1"/>
  <c r="AL86" i="30"/>
  <c r="AL104" i="30" s="1"/>
  <c r="AL116" i="30" s="1"/>
  <c r="AM86" i="30"/>
  <c r="AM104" i="30" s="1"/>
  <c r="AM116" i="30" s="1"/>
  <c r="AN86" i="30"/>
  <c r="AN104" i="30" s="1"/>
  <c r="AO86" i="30"/>
  <c r="AO104" i="30" s="1"/>
  <c r="AO116" i="30" s="1"/>
  <c r="AP24" i="33" s="1"/>
  <c r="AP86" i="30"/>
  <c r="AP104" i="30" s="1"/>
  <c r="AP116" i="30" s="1"/>
  <c r="AQ86" i="30"/>
  <c r="AQ104" i="30" s="1"/>
  <c r="AQ116" i="30" s="1"/>
  <c r="AR86" i="30"/>
  <c r="AS86" i="30"/>
  <c r="AS104" i="30" s="1"/>
  <c r="AT86" i="30"/>
  <c r="AT104" i="30" s="1"/>
  <c r="AU86" i="30"/>
  <c r="AU104" i="30" s="1"/>
  <c r="AU116" i="30" s="1"/>
  <c r="AV86" i="30"/>
  <c r="AW86" i="30"/>
  <c r="AW104" i="30" s="1"/>
  <c r="AW116" i="30" s="1"/>
  <c r="AX24" i="33" s="1"/>
  <c r="AX86" i="30"/>
  <c r="AX104" i="30" s="1"/>
  <c r="AX116" i="30" s="1"/>
  <c r="AY86" i="30"/>
  <c r="AY104" i="30" s="1"/>
  <c r="AY116" i="30" s="1"/>
  <c r="AZ86" i="30"/>
  <c r="AZ104" i="30" s="1"/>
  <c r="BA86" i="30"/>
  <c r="BA104" i="30" s="1"/>
  <c r="BA116" i="30" s="1"/>
  <c r="BB24" i="33" s="1"/>
  <c r="BB86" i="30"/>
  <c r="BB104" i="30" s="1"/>
  <c r="BB116" i="30" s="1"/>
  <c r="BC86" i="30"/>
  <c r="BC104" i="30" s="1"/>
  <c r="BC116" i="30" s="1"/>
  <c r="BD86" i="30"/>
  <c r="BE86" i="30"/>
  <c r="BE104" i="30" s="1"/>
  <c r="BE116" i="30" s="1"/>
  <c r="BF24" i="33" s="1"/>
  <c r="BF86" i="30"/>
  <c r="BF104" i="30" s="1"/>
  <c r="BG86" i="30"/>
  <c r="BG104" i="30" s="1"/>
  <c r="BG116" i="30" s="1"/>
  <c r="BH86" i="30"/>
  <c r="BI86" i="30"/>
  <c r="BI104" i="30" s="1"/>
  <c r="BI116" i="30" s="1"/>
  <c r="BJ24" i="33" s="1"/>
  <c r="BJ86" i="30"/>
  <c r="BJ104" i="30" s="1"/>
  <c r="BJ116" i="30" s="1"/>
  <c r="BK86" i="30"/>
  <c r="BK104" i="30" s="1"/>
  <c r="BK116" i="30" s="1"/>
  <c r="BL86" i="30"/>
  <c r="BM86" i="30"/>
  <c r="BM104" i="30" s="1"/>
  <c r="BM116" i="30" s="1"/>
  <c r="BN24" i="33" s="1"/>
  <c r="BN86" i="30"/>
  <c r="BN104" i="30" s="1"/>
  <c r="BN116" i="30" s="1"/>
  <c r="BO86" i="30"/>
  <c r="BO104" i="30" s="1"/>
  <c r="BO116" i="30" s="1"/>
  <c r="BP86" i="30"/>
  <c r="BQ86" i="30"/>
  <c r="BQ104" i="30" s="1"/>
  <c r="BQ116" i="30" s="1"/>
  <c r="BR24" i="33" s="1"/>
  <c r="BR86" i="30"/>
  <c r="BR104" i="30" s="1"/>
  <c r="BR116" i="30" s="1"/>
  <c r="BS86" i="30"/>
  <c r="BS104" i="30" s="1"/>
  <c r="BS116" i="30" s="1"/>
  <c r="BT86" i="30"/>
  <c r="BU86" i="30"/>
  <c r="BU104" i="30" s="1"/>
  <c r="BU116" i="30" s="1"/>
  <c r="BV24" i="33" s="1"/>
  <c r="BV86" i="30"/>
  <c r="BW86" i="30"/>
  <c r="BW104" i="30" s="1"/>
  <c r="BW116" i="30" s="1"/>
  <c r="BX86" i="30"/>
  <c r="BY86" i="30"/>
  <c r="BY104" i="30" s="1"/>
  <c r="BY116" i="30" s="1"/>
  <c r="BZ24" i="33" s="1"/>
  <c r="BZ86" i="30"/>
  <c r="BZ104" i="30" s="1"/>
  <c r="BZ116" i="30" s="1"/>
  <c r="CA86" i="30"/>
  <c r="CA104" i="30" s="1"/>
  <c r="CA116" i="30" s="1"/>
  <c r="CB86" i="30"/>
  <c r="CB104" i="30" s="1"/>
  <c r="CC86" i="30"/>
  <c r="CC104" i="30" s="1"/>
  <c r="CC116" i="30" s="1"/>
  <c r="CD86" i="30"/>
  <c r="CD104" i="30" s="1"/>
  <c r="CD116" i="30" s="1"/>
  <c r="CE86" i="30"/>
  <c r="CE104" i="30" s="1"/>
  <c r="CE116" i="30" s="1"/>
  <c r="CF86" i="30"/>
  <c r="CG86" i="30"/>
  <c r="CG104" i="30" s="1"/>
  <c r="CG116" i="30" s="1"/>
  <c r="CH24" i="33" s="1"/>
  <c r="CH86" i="30"/>
  <c r="CH104" i="30" s="1"/>
  <c r="CI86" i="30"/>
  <c r="CI104" i="30" s="1"/>
  <c r="CI116" i="30" s="1"/>
  <c r="CJ86" i="30"/>
  <c r="CK86" i="30"/>
  <c r="CK104" i="30" s="1"/>
  <c r="CK116" i="30" s="1"/>
  <c r="CL24" i="33" s="1"/>
  <c r="CL86" i="30"/>
  <c r="CL104" i="30" s="1"/>
  <c r="CL116" i="30" s="1"/>
  <c r="CM86" i="30"/>
  <c r="CM104" i="30" s="1"/>
  <c r="CM116" i="30" s="1"/>
  <c r="CN86" i="30"/>
  <c r="CN104" i="30" s="1"/>
  <c r="CO86" i="30"/>
  <c r="CO104" i="30" s="1"/>
  <c r="CO116" i="30" s="1"/>
  <c r="CP24" i="33" s="1"/>
  <c r="CP86" i="30"/>
  <c r="CP104" i="30" s="1"/>
  <c r="CP116" i="30" s="1"/>
  <c r="CQ86" i="30"/>
  <c r="CQ104" i="30" s="1"/>
  <c r="CQ116" i="30" s="1"/>
  <c r="CR86" i="30"/>
  <c r="CS86" i="30"/>
  <c r="CS104" i="30" s="1"/>
  <c r="CS116" i="30" s="1"/>
  <c r="CT24" i="33" s="1"/>
  <c r="CT86" i="30"/>
  <c r="CT104" i="30" s="1"/>
  <c r="CT116" i="30" s="1"/>
  <c r="CU86" i="30"/>
  <c r="CU104" i="30" s="1"/>
  <c r="CU116" i="30" s="1"/>
  <c r="CV86" i="30"/>
  <c r="CV104" i="30" s="1"/>
  <c r="CW86" i="30"/>
  <c r="CW104" i="30" s="1"/>
  <c r="CW116" i="30" s="1"/>
  <c r="CX24" i="33" s="1"/>
  <c r="CX86" i="30"/>
  <c r="CX104" i="30" s="1"/>
  <c r="CY86" i="30"/>
  <c r="CY104" i="30" s="1"/>
  <c r="CY116" i="30" s="1"/>
  <c r="CZ86" i="30"/>
  <c r="CZ104" i="30" s="1"/>
  <c r="DA86" i="30"/>
  <c r="DA104" i="30" s="1"/>
  <c r="DA116" i="30" s="1"/>
  <c r="DB24" i="33" s="1"/>
  <c r="DB86" i="30"/>
  <c r="DB104" i="30" s="1"/>
  <c r="DB116" i="30" s="1"/>
  <c r="DC86" i="30"/>
  <c r="DC104" i="30" s="1"/>
  <c r="DC116" i="30" s="1"/>
  <c r="DD86" i="30"/>
  <c r="DE86" i="30"/>
  <c r="DE104" i="30" s="1"/>
  <c r="DE116" i="30" s="1"/>
  <c r="DF24" i="33" s="1"/>
  <c r="DF86" i="30"/>
  <c r="DF104" i="30" s="1"/>
  <c r="DF116" i="30" s="1"/>
  <c r="DG86" i="30"/>
  <c r="DG104" i="30" s="1"/>
  <c r="DG116" i="30" s="1"/>
  <c r="DH86" i="30"/>
  <c r="DH104" i="30" s="1"/>
  <c r="DI86" i="30"/>
  <c r="DI104" i="30" s="1"/>
  <c r="DI116" i="30" s="1"/>
  <c r="DJ24" i="33" s="1"/>
  <c r="DJ86" i="30"/>
  <c r="DJ104" i="30" s="1"/>
  <c r="DJ116" i="30" s="1"/>
  <c r="DK86" i="30"/>
  <c r="DK104" i="30" s="1"/>
  <c r="DK116" i="30" s="1"/>
  <c r="DL86" i="30"/>
  <c r="DL104" i="30" s="1"/>
  <c r="DM86" i="30"/>
  <c r="DM104" i="30" s="1"/>
  <c r="DM116" i="30" s="1"/>
  <c r="DN86" i="30"/>
  <c r="DN104" i="30" s="1"/>
  <c r="DN116" i="30" s="1"/>
  <c r="DO86" i="30"/>
  <c r="DO104" i="30" s="1"/>
  <c r="DO116" i="30" s="1"/>
  <c r="DP86" i="30"/>
  <c r="DQ86" i="30"/>
  <c r="DQ104" i="30" s="1"/>
  <c r="DQ116" i="30" s="1"/>
  <c r="DR24" i="33" s="1"/>
  <c r="DR86" i="30"/>
  <c r="DR104" i="30" s="1"/>
  <c r="DR116" i="30" s="1"/>
  <c r="DS86" i="30"/>
  <c r="DS104" i="30" s="1"/>
  <c r="DS116" i="30" s="1"/>
  <c r="DT86" i="30"/>
  <c r="DT104" i="30" s="1"/>
  <c r="DU86" i="30"/>
  <c r="DU104" i="30" s="1"/>
  <c r="DU116" i="30" s="1"/>
  <c r="DV24" i="33" s="1"/>
  <c r="DV86" i="30"/>
  <c r="DV104" i="30" s="1"/>
  <c r="DV116" i="30" s="1"/>
  <c r="DW86" i="30"/>
  <c r="DW104" i="30" s="1"/>
  <c r="DW116" i="30" s="1"/>
  <c r="DX86" i="30"/>
  <c r="DX104" i="30" s="1"/>
  <c r="DY86" i="30"/>
  <c r="DY104" i="30" s="1"/>
  <c r="DY116" i="30" s="1"/>
  <c r="DZ24" i="33" s="1"/>
  <c r="DZ86" i="30"/>
  <c r="DZ104" i="30" s="1"/>
  <c r="DZ116" i="30" s="1"/>
  <c r="EA86" i="30"/>
  <c r="EA104" i="30" s="1"/>
  <c r="EA116" i="30" s="1"/>
  <c r="P85" i="32" l="1"/>
  <c r="P116" i="30"/>
  <c r="Q24" i="33" s="1"/>
  <c r="T85" i="32"/>
  <c r="CX116" i="30"/>
  <c r="CY24" i="33" s="1"/>
  <c r="N116" i="30"/>
  <c r="O24" i="33" s="1"/>
  <c r="CH116" i="30"/>
  <c r="CI24" i="33" s="1"/>
  <c r="AT116" i="30"/>
  <c r="AU24" i="33" s="1"/>
  <c r="BV104" i="30"/>
  <c r="BV116" i="30" s="1"/>
  <c r="BW24" i="33" s="1"/>
  <c r="BF116" i="30"/>
  <c r="BG24" i="33" s="1"/>
  <c r="AS116" i="30"/>
  <c r="AT24" i="33" s="1"/>
  <c r="CB116" i="30"/>
  <c r="CC24" i="33" s="1"/>
  <c r="DL116" i="30"/>
  <c r="DM24" i="33" s="1"/>
  <c r="CV116" i="30"/>
  <c r="CW24" i="33" s="1"/>
  <c r="DX116" i="30"/>
  <c r="DY24" i="33" s="1"/>
  <c r="DH116" i="30"/>
  <c r="DI24" i="33" s="1"/>
  <c r="CN116" i="30"/>
  <c r="CO24" i="33" s="1"/>
  <c r="AZ116" i="30"/>
  <c r="BA24" i="33" s="1"/>
  <c r="AN116" i="30"/>
  <c r="AO24" i="33" s="1"/>
  <c r="DT116" i="30"/>
  <c r="DU24" i="33" s="1"/>
  <c r="CZ116" i="30"/>
  <c r="DA24" i="33" s="1"/>
  <c r="DN24" i="33"/>
  <c r="T104" i="30"/>
  <c r="T116" i="30" s="1"/>
  <c r="U24" i="33" s="1"/>
  <c r="S85" i="32"/>
  <c r="DP104" i="30"/>
  <c r="DP116" i="30" s="1"/>
  <c r="DD104" i="30"/>
  <c r="T103" i="32" s="1"/>
  <c r="CR104" i="30"/>
  <c r="CR116" i="30" s="1"/>
  <c r="CJ104" i="30"/>
  <c r="CF104" i="30"/>
  <c r="CF116" i="30" s="1"/>
  <c r="BX104" i="30"/>
  <c r="BX116" i="30" s="1"/>
  <c r="BY24" i="33" s="1"/>
  <c r="BT104" i="30"/>
  <c r="BT116" i="30" s="1"/>
  <c r="BP104" i="30"/>
  <c r="BP116" i="30" s="1"/>
  <c r="BQ24" i="33" s="1"/>
  <c r="BL104" i="30"/>
  <c r="BL116" i="30" s="1"/>
  <c r="BM24" i="33" s="1"/>
  <c r="BH104" i="30"/>
  <c r="BH116" i="30" s="1"/>
  <c r="BD104" i="30"/>
  <c r="BD116" i="30" s="1"/>
  <c r="BE24" i="33" s="1"/>
  <c r="AV104" i="30"/>
  <c r="AR104" i="30"/>
  <c r="AR116" i="30" s="1"/>
  <c r="AS24" i="33" s="1"/>
  <c r="AJ104" i="30"/>
  <c r="AJ116" i="30" s="1"/>
  <c r="DW24" i="33"/>
  <c r="BK24" i="33"/>
  <c r="W24" i="33"/>
  <c r="CM24" i="33"/>
  <c r="CA24" i="33"/>
  <c r="AM24" i="33"/>
  <c r="DO24" i="33"/>
  <c r="DC24" i="33"/>
  <c r="CQ24" i="33"/>
  <c r="BC24" i="33"/>
  <c r="AQ24" i="33"/>
  <c r="DX24" i="33"/>
  <c r="DT24" i="33"/>
  <c r="DP24" i="33"/>
  <c r="DL24" i="33"/>
  <c r="DH24" i="33"/>
  <c r="DD24" i="33"/>
  <c r="CZ24" i="33"/>
  <c r="CV24" i="33"/>
  <c r="CR24" i="33"/>
  <c r="CN24" i="33"/>
  <c r="CJ24" i="33"/>
  <c r="CF24" i="33"/>
  <c r="CB24" i="33"/>
  <c r="BX24" i="33"/>
  <c r="BT24" i="33"/>
  <c r="BP24" i="33"/>
  <c r="BL24" i="33"/>
  <c r="BH24" i="33"/>
  <c r="BD24" i="33"/>
  <c r="AZ24" i="33"/>
  <c r="AV24" i="33"/>
  <c r="AR24" i="33"/>
  <c r="AN24" i="33"/>
  <c r="X24" i="33"/>
  <c r="T24" i="33"/>
  <c r="P24" i="33"/>
  <c r="DS24" i="33"/>
  <c r="DG24" i="33"/>
  <c r="BS24" i="33"/>
  <c r="EA24" i="33"/>
  <c r="DK24" i="33"/>
  <c r="CU24" i="33"/>
  <c r="CE24" i="33"/>
  <c r="BO24" i="33"/>
  <c r="AY24" i="33"/>
  <c r="S24" i="33"/>
  <c r="CD24" i="33"/>
  <c r="R24" i="33"/>
  <c r="O85" i="32"/>
  <c r="U85" i="32"/>
  <c r="Q85" i="32"/>
  <c r="I83" i="32"/>
  <c r="R85" i="32"/>
  <c r="N85" i="32"/>
  <c r="U103" i="32" l="1"/>
  <c r="DD116" i="30"/>
  <c r="P103" i="32"/>
  <c r="Q103" i="32"/>
  <c r="S103" i="32"/>
  <c r="O103" i="32"/>
  <c r="DQ24" i="33"/>
  <c r="U115" i="32"/>
  <c r="CS24" i="33"/>
  <c r="S115" i="32"/>
  <c r="R103" i="32"/>
  <c r="AK24" i="33"/>
  <c r="N115" i="32"/>
  <c r="CG24" i="33"/>
  <c r="P115" i="32"/>
  <c r="BI24" i="33"/>
  <c r="BU24" i="33"/>
  <c r="Q115" i="32"/>
  <c r="N103" i="32"/>
  <c r="AV116" i="30"/>
  <c r="CJ116" i="30"/>
  <c r="T115" i="32" l="1"/>
  <c r="DE24" i="33"/>
  <c r="CK24" i="33"/>
  <c r="R115" i="32"/>
  <c r="AW24" i="33"/>
  <c r="O115" i="32"/>
  <c r="M80" i="32" l="1"/>
  <c r="M85" i="32" s="1"/>
  <c r="I81" i="30"/>
  <c r="X86" i="30"/>
  <c r="X104" i="30" s="1"/>
  <c r="Y86" i="30"/>
  <c r="Y104" i="30" s="1"/>
  <c r="Z86" i="30"/>
  <c r="Z104" i="30" s="1"/>
  <c r="AA86" i="30"/>
  <c r="AA104" i="30" s="1"/>
  <c r="AA116" i="30" s="1"/>
  <c r="AB86" i="30"/>
  <c r="AB104" i="30" s="1"/>
  <c r="AB116" i="30" s="1"/>
  <c r="AC86" i="30"/>
  <c r="AC104" i="30" s="1"/>
  <c r="AC116" i="30" s="1"/>
  <c r="AD86" i="30"/>
  <c r="AD104" i="30" s="1"/>
  <c r="AE86" i="30"/>
  <c r="AE104" i="30" s="1"/>
  <c r="AE116" i="30" s="1"/>
  <c r="AF86" i="30"/>
  <c r="AF104" i="30" s="1"/>
  <c r="AF116" i="30" s="1"/>
  <c r="AG86" i="30"/>
  <c r="AG104" i="30" s="1"/>
  <c r="AG116" i="30" s="1"/>
  <c r="AH86" i="30"/>
  <c r="AH104" i="30" s="1"/>
  <c r="AI86" i="30"/>
  <c r="AI104" i="30" s="1"/>
  <c r="AI116" i="30" s="1"/>
  <c r="AD91" i="30"/>
  <c r="AE91" i="30"/>
  <c r="AF91" i="30"/>
  <c r="AG91" i="30"/>
  <c r="AH91" i="30"/>
  <c r="AI91" i="30"/>
  <c r="X116" i="30" l="1"/>
  <c r="Y24" i="33" s="1"/>
  <c r="Y116" i="30"/>
  <c r="Z24" i="33" s="1"/>
  <c r="Z116" i="30"/>
  <c r="AA24" i="33" s="1"/>
  <c r="AD116" i="30"/>
  <c r="AE24" i="33" s="1"/>
  <c r="AH116" i="30"/>
  <c r="AI24" i="33" s="1"/>
  <c r="AH24" i="33"/>
  <c r="AD24" i="33"/>
  <c r="AG24" i="33"/>
  <c r="AC24" i="33"/>
  <c r="AJ24" i="33"/>
  <c r="AF24" i="33"/>
  <c r="AB24" i="33"/>
  <c r="M103" i="32"/>
  <c r="I80" i="32"/>
  <c r="M115" i="32" l="1"/>
  <c r="BR62" i="30"/>
  <c r="BY62" i="30"/>
  <c r="Q61" i="32" s="1"/>
  <c r="BH24" i="30" l="1"/>
  <c r="BI24" i="30"/>
  <c r="BJ24" i="30"/>
  <c r="BK24" i="30"/>
  <c r="BL24" i="30"/>
  <c r="BM24" i="30"/>
  <c r="BN24" i="30"/>
  <c r="BO24" i="30"/>
  <c r="BP24" i="30"/>
  <c r="BQ24" i="30"/>
  <c r="BR24" i="30"/>
  <c r="BS24" i="30"/>
  <c r="BT24" i="30"/>
  <c r="BU24" i="30"/>
  <c r="BV24" i="30"/>
  <c r="BW24" i="30"/>
  <c r="BX24" i="30"/>
  <c r="BY24" i="30"/>
  <c r="BZ24" i="30"/>
  <c r="CA24" i="30"/>
  <c r="CB24" i="30"/>
  <c r="CC24" i="30"/>
  <c r="CD24" i="30"/>
  <c r="CE24" i="30"/>
  <c r="CF24" i="30"/>
  <c r="CG24" i="30"/>
  <c r="CH24" i="30"/>
  <c r="CI24" i="30"/>
  <c r="CJ24" i="30"/>
  <c r="CK24" i="30"/>
  <c r="CL24" i="30"/>
  <c r="CM24" i="30"/>
  <c r="CN24" i="30"/>
  <c r="CO24" i="30"/>
  <c r="CP24" i="30"/>
  <c r="CQ24" i="30"/>
  <c r="CR24" i="30"/>
  <c r="CS24" i="30"/>
  <c r="CT24" i="30"/>
  <c r="CU24" i="30"/>
  <c r="CV24" i="30"/>
  <c r="CW24" i="30"/>
  <c r="CX24" i="30"/>
  <c r="CY24" i="30"/>
  <c r="CZ24" i="30"/>
  <c r="DA24" i="30"/>
  <c r="DB24" i="30"/>
  <c r="DC24" i="30"/>
  <c r="DD24" i="30"/>
  <c r="DE24" i="30"/>
  <c r="DF24" i="30"/>
  <c r="DG24" i="30"/>
  <c r="DH24" i="30"/>
  <c r="DI24" i="30"/>
  <c r="DJ24" i="30"/>
  <c r="DK24" i="30"/>
  <c r="DL24" i="30"/>
  <c r="DM24" i="30"/>
  <c r="DN24" i="30"/>
  <c r="DO24" i="30"/>
  <c r="DP24" i="30"/>
  <c r="DQ24" i="30"/>
  <c r="DR24" i="30"/>
  <c r="DS24" i="30"/>
  <c r="DT24" i="30"/>
  <c r="DU24" i="30"/>
  <c r="DV24" i="30"/>
  <c r="DW24" i="30"/>
  <c r="DX24" i="30"/>
  <c r="DY24" i="30"/>
  <c r="DZ24" i="30"/>
  <c r="EA24" i="30"/>
  <c r="U32" i="32" l="1"/>
  <c r="N17" i="19" s="1"/>
  <c r="T32" i="32"/>
  <c r="M17" i="19" s="1"/>
  <c r="S32" i="32"/>
  <c r="L17" i="19" s="1"/>
  <c r="R32" i="32"/>
  <c r="K17" i="19" s="1"/>
  <c r="Q32" i="32"/>
  <c r="J17" i="19" s="1"/>
  <c r="P32" i="32"/>
  <c r="I17" i="19" s="1"/>
  <c r="U24" i="32"/>
  <c r="N7" i="19" s="1"/>
  <c r="T24" i="32"/>
  <c r="M7" i="19" s="1"/>
  <c r="S24" i="32"/>
  <c r="L7" i="19" s="1"/>
  <c r="R24" i="32"/>
  <c r="K7" i="19" s="1"/>
  <c r="Q24" i="32"/>
  <c r="J7" i="19" s="1"/>
  <c r="P24" i="32"/>
  <c r="I7" i="19" s="1"/>
  <c r="AV24" i="30" l="1"/>
  <c r="AW24" i="30"/>
  <c r="AX24" i="30"/>
  <c r="AY24" i="30"/>
  <c r="AZ24" i="30"/>
  <c r="BA24" i="30"/>
  <c r="BB24" i="30"/>
  <c r="BC24" i="30"/>
  <c r="BD24" i="30"/>
  <c r="BE24" i="30"/>
  <c r="BF24" i="30"/>
  <c r="BG24" i="30"/>
  <c r="O32" i="32" l="1"/>
  <c r="H17" i="19" s="1"/>
  <c r="O24" i="32"/>
  <c r="H7" i="19" s="1"/>
  <c r="L32" i="32" l="1"/>
  <c r="E17" i="19" s="1"/>
  <c r="I32" i="30"/>
  <c r="N32" i="32"/>
  <c r="G17" i="19" s="1"/>
  <c r="M32" i="32"/>
  <c r="F17" i="19" s="1"/>
  <c r="I32" i="32" l="1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AH24" i="30"/>
  <c r="AI24" i="30"/>
  <c r="AJ24" i="30"/>
  <c r="AK24" i="30"/>
  <c r="AL24" i="30"/>
  <c r="AM24" i="30"/>
  <c r="AN24" i="30"/>
  <c r="AO24" i="30"/>
  <c r="AP24" i="30"/>
  <c r="AQ24" i="30"/>
  <c r="AR24" i="30"/>
  <c r="AS24" i="30"/>
  <c r="AT24" i="30"/>
  <c r="AU24" i="30"/>
  <c r="L24" i="32" l="1"/>
  <c r="E7" i="19" s="1"/>
  <c r="N24" i="32"/>
  <c r="G7" i="19" s="1"/>
  <c r="M24" i="32"/>
  <c r="F7" i="19" s="1"/>
  <c r="I24" i="30"/>
  <c r="I24" i="32" l="1"/>
  <c r="K43" i="11"/>
  <c r="BG62" i="30" l="1"/>
  <c r="O61" i="32" s="1"/>
  <c r="Q24" i="17" l="1"/>
  <c r="Q26" i="17" l="1"/>
  <c r="R26" i="17" s="1"/>
  <c r="S26" i="17" s="1"/>
  <c r="R39" i="17"/>
  <c r="S39" i="17" s="1"/>
  <c r="R24" i="17"/>
  <c r="S24" i="17"/>
  <c r="AU62" i="30" l="1"/>
  <c r="N61" i="32" s="1"/>
  <c r="AM110" i="30"/>
  <c r="AM117" i="30"/>
  <c r="AM122" i="30"/>
  <c r="AN25" i="33" l="1"/>
  <c r="AM16" i="33"/>
  <c r="AO110" i="30" l="1"/>
  <c r="AO117" i="30"/>
  <c r="AO122" i="30"/>
  <c r="AO16" i="33" l="1"/>
  <c r="AP25" i="33"/>
  <c r="AO66" i="30" l="1"/>
  <c r="BM62" i="30"/>
  <c r="AU66" i="30" l="1"/>
  <c r="N65" i="32" s="1"/>
  <c r="C16" i="25" l="1"/>
  <c r="A1" i="12"/>
  <c r="A1" i="15"/>
  <c r="J19" i="11" l="1"/>
  <c r="O69" i="11" s="1"/>
  <c r="E81" i="30"/>
  <c r="J79" i="11" l="1"/>
  <c r="F104" i="30" s="1"/>
  <c r="N24" i="3" l="1"/>
  <c r="I65" i="11"/>
  <c r="I46" i="11"/>
  <c r="E7" i="39"/>
  <c r="D14" i="39"/>
  <c r="DO62" i="30" l="1"/>
  <c r="T61" i="32" s="1"/>
  <c r="DO66" i="30"/>
  <c r="T65" i="32" s="1"/>
  <c r="AI110" i="30"/>
  <c r="AI117" i="30"/>
  <c r="AI122" i="30"/>
  <c r="M121" i="32" s="1"/>
  <c r="AI124" i="30" l="1"/>
  <c r="AJ25" i="33"/>
  <c r="M116" i="32"/>
  <c r="AI16" i="33"/>
  <c r="M109" i="32"/>
  <c r="M123" i="32" l="1"/>
  <c r="M124" i="32" s="1"/>
  <c r="N120" i="32" s="1"/>
  <c r="AI125" i="30"/>
  <c r="AJ121" i="30" s="1"/>
  <c r="AJ127" i="30" l="1"/>
  <c r="AJ123" i="30"/>
  <c r="AJ124" i="30" s="1"/>
  <c r="AJ125" i="30" s="1"/>
  <c r="AK121" i="30" s="1"/>
  <c r="AJ120" i="30"/>
  <c r="AK120" i="30" l="1"/>
  <c r="AK123" i="30"/>
  <c r="AK127" i="30"/>
  <c r="I50" i="11" l="1"/>
  <c r="I62" i="11" s="1"/>
  <c r="K62" i="11"/>
  <c r="I19" i="40"/>
  <c r="J19" i="40"/>
  <c r="G33" i="40"/>
  <c r="H33" i="40"/>
  <c r="I33" i="40"/>
  <c r="J33" i="40"/>
  <c r="K33" i="40"/>
  <c r="L33" i="40"/>
  <c r="M33" i="40"/>
  <c r="N33" i="40"/>
  <c r="O33" i="40"/>
  <c r="P33" i="40"/>
  <c r="G36" i="40"/>
  <c r="G39" i="40" s="1"/>
  <c r="G43" i="40" s="1"/>
  <c r="G37" i="40"/>
  <c r="G44" i="40" l="1"/>
  <c r="DV62" i="30" l="1"/>
  <c r="DV66" i="30"/>
  <c r="AP110" i="30" l="1"/>
  <c r="AP117" i="30"/>
  <c r="AP122" i="30"/>
  <c r="AQ25" i="33" l="1"/>
  <c r="AP16" i="33"/>
  <c r="AU110" i="30" l="1"/>
  <c r="AU117" i="30"/>
  <c r="AU122" i="30"/>
  <c r="AU16" i="33" l="1"/>
  <c r="AV25" i="33"/>
  <c r="AV110" i="30" l="1"/>
  <c r="AV117" i="30"/>
  <c r="AV122" i="30"/>
  <c r="O121" i="32" s="1"/>
  <c r="O116" i="32" l="1"/>
  <c r="AW25" i="33"/>
  <c r="O109" i="32"/>
  <c r="AV16" i="33"/>
  <c r="D53" i="4" l="1"/>
  <c r="O73" i="32"/>
  <c r="O93" i="32" s="1"/>
  <c r="P73" i="32"/>
  <c r="P93" i="32" s="1"/>
  <c r="Q73" i="32"/>
  <c r="Q93" i="32" s="1"/>
  <c r="R73" i="32"/>
  <c r="R93" i="32" s="1"/>
  <c r="S73" i="32"/>
  <c r="S93" i="32" s="1"/>
  <c r="T73" i="32"/>
  <c r="T93" i="32" s="1"/>
  <c r="U73" i="32"/>
  <c r="U93" i="32" s="1"/>
  <c r="AL94" i="30"/>
  <c r="AM94" i="30"/>
  <c r="AN94" i="30"/>
  <c r="AO94" i="30"/>
  <c r="AP94" i="30"/>
  <c r="AQ94" i="30"/>
  <c r="AR94" i="30"/>
  <c r="AS94" i="30"/>
  <c r="AT94" i="30"/>
  <c r="AU94" i="30"/>
  <c r="AV94" i="30"/>
  <c r="AW94" i="30"/>
  <c r="AX94" i="30"/>
  <c r="AY94" i="30"/>
  <c r="AZ94" i="30"/>
  <c r="BA94" i="30"/>
  <c r="BB94" i="30"/>
  <c r="BC94" i="30"/>
  <c r="BD94" i="30"/>
  <c r="BE94" i="30"/>
  <c r="BF94" i="30"/>
  <c r="BG94" i="30"/>
  <c r="BH94" i="30"/>
  <c r="BI94" i="30"/>
  <c r="BJ94" i="30"/>
  <c r="BK94" i="30"/>
  <c r="BL94" i="30"/>
  <c r="BM94" i="30"/>
  <c r="BN94" i="30"/>
  <c r="BO94" i="30"/>
  <c r="BP94" i="30"/>
  <c r="BQ94" i="30"/>
  <c r="BR94" i="30"/>
  <c r="BS94" i="30"/>
  <c r="BT94" i="30"/>
  <c r="BU94" i="30"/>
  <c r="BV94" i="30"/>
  <c r="BW94" i="30"/>
  <c r="BX94" i="30"/>
  <c r="BY94" i="30"/>
  <c r="BZ94" i="30"/>
  <c r="CA94" i="30"/>
  <c r="CB94" i="30"/>
  <c r="CC94" i="30"/>
  <c r="CD94" i="30"/>
  <c r="CE94" i="30"/>
  <c r="CF94" i="30"/>
  <c r="CG94" i="30"/>
  <c r="CH94" i="30"/>
  <c r="CI94" i="30"/>
  <c r="CJ94" i="30"/>
  <c r="CK94" i="30"/>
  <c r="CL94" i="30"/>
  <c r="CM94" i="30"/>
  <c r="CN94" i="30"/>
  <c r="CO94" i="30"/>
  <c r="CP94" i="30"/>
  <c r="CQ94" i="30"/>
  <c r="CR94" i="30"/>
  <c r="CS94" i="30"/>
  <c r="CT94" i="30"/>
  <c r="CU94" i="30"/>
  <c r="CV94" i="30"/>
  <c r="CW94" i="30"/>
  <c r="CX94" i="30"/>
  <c r="CY94" i="30"/>
  <c r="CZ94" i="30"/>
  <c r="DA94" i="30"/>
  <c r="DB94" i="30"/>
  <c r="DC94" i="30"/>
  <c r="DD94" i="30"/>
  <c r="DE94" i="30"/>
  <c r="DF94" i="30"/>
  <c r="DG94" i="30"/>
  <c r="DH94" i="30"/>
  <c r="DI94" i="30"/>
  <c r="DJ94" i="30"/>
  <c r="DK94" i="30"/>
  <c r="DL94" i="30"/>
  <c r="DM94" i="30"/>
  <c r="DN94" i="30"/>
  <c r="DO94" i="30"/>
  <c r="DP94" i="30"/>
  <c r="DQ94" i="30"/>
  <c r="DR94" i="30"/>
  <c r="DS94" i="30"/>
  <c r="DT94" i="30"/>
  <c r="DU94" i="30"/>
  <c r="DV94" i="30"/>
  <c r="DW94" i="30"/>
  <c r="DX94" i="30"/>
  <c r="DY94" i="30"/>
  <c r="DZ94" i="30"/>
  <c r="EA94" i="30"/>
  <c r="L94" i="30"/>
  <c r="M111" i="32"/>
  <c r="N111" i="32"/>
  <c r="O111" i="32"/>
  <c r="P111" i="32"/>
  <c r="Q111" i="32"/>
  <c r="R111" i="32"/>
  <c r="S111" i="32"/>
  <c r="T111" i="32"/>
  <c r="U111" i="32"/>
  <c r="M74" i="30"/>
  <c r="M94" i="30" s="1"/>
  <c r="N74" i="30"/>
  <c r="O74" i="30"/>
  <c r="O94" i="30" s="1"/>
  <c r="P74" i="30"/>
  <c r="P94" i="30" s="1"/>
  <c r="Q74" i="30"/>
  <c r="Q94" i="30" s="1"/>
  <c r="R74" i="30"/>
  <c r="R94" i="30" s="1"/>
  <c r="N94" i="30" l="1"/>
  <c r="H28" i="11" l="1"/>
  <c r="I28" i="11"/>
  <c r="L95" i="30"/>
  <c r="L74" i="32"/>
  <c r="M74" i="32"/>
  <c r="M94" i="32" s="1"/>
  <c r="N74" i="32"/>
  <c r="O74" i="32"/>
  <c r="O94" i="32" s="1"/>
  <c r="P74" i="32"/>
  <c r="P94" i="32" s="1"/>
  <c r="Q74" i="32"/>
  <c r="R74" i="32"/>
  <c r="R94" i="32" s="1"/>
  <c r="S74" i="32"/>
  <c r="S94" i="32" s="1"/>
  <c r="T74" i="32"/>
  <c r="T94" i="32" s="1"/>
  <c r="U74" i="32"/>
  <c r="U94" i="32" s="1"/>
  <c r="L94" i="32"/>
  <c r="N94" i="32"/>
  <c r="Q94" i="32"/>
  <c r="I75" i="30"/>
  <c r="M95" i="30"/>
  <c r="N95" i="30"/>
  <c r="O95" i="30"/>
  <c r="P95" i="30"/>
  <c r="Q95" i="30"/>
  <c r="R95" i="30"/>
  <c r="S95" i="30"/>
  <c r="T95" i="30"/>
  <c r="U95" i="30"/>
  <c r="V95" i="30"/>
  <c r="W95" i="30"/>
  <c r="X95" i="30"/>
  <c r="Y95" i="30"/>
  <c r="Z95" i="30"/>
  <c r="AA95" i="30"/>
  <c r="AB95" i="30"/>
  <c r="AC95" i="30"/>
  <c r="AD95" i="30"/>
  <c r="AE95" i="30"/>
  <c r="AF95" i="30"/>
  <c r="AG95" i="30"/>
  <c r="AH95" i="30"/>
  <c r="AI95" i="30"/>
  <c r="AJ95" i="30"/>
  <c r="AK95" i="30"/>
  <c r="AL95" i="30"/>
  <c r="AM95" i="30"/>
  <c r="AN95" i="30"/>
  <c r="AO95" i="30"/>
  <c r="AP95" i="30"/>
  <c r="AQ95" i="30"/>
  <c r="AR95" i="30"/>
  <c r="AS95" i="30"/>
  <c r="AT95" i="30"/>
  <c r="AU95" i="30"/>
  <c r="AV95" i="30"/>
  <c r="AW95" i="30"/>
  <c r="AX95" i="30"/>
  <c r="AY95" i="30"/>
  <c r="AZ95" i="30"/>
  <c r="BA95" i="30"/>
  <c r="BB95" i="30"/>
  <c r="BC95" i="30"/>
  <c r="BD95" i="30"/>
  <c r="BE95" i="30"/>
  <c r="BF95" i="30"/>
  <c r="BG95" i="30"/>
  <c r="BH95" i="30"/>
  <c r="BI95" i="30"/>
  <c r="BJ95" i="30"/>
  <c r="BK95" i="30"/>
  <c r="BL95" i="30"/>
  <c r="BM95" i="30"/>
  <c r="BN95" i="30"/>
  <c r="BO95" i="30"/>
  <c r="BP95" i="30"/>
  <c r="BQ95" i="30"/>
  <c r="BR95" i="30"/>
  <c r="BS95" i="30"/>
  <c r="BT95" i="30"/>
  <c r="BU95" i="30"/>
  <c r="BV95" i="30"/>
  <c r="BW95" i="30"/>
  <c r="BX95" i="30"/>
  <c r="BY95" i="30"/>
  <c r="BZ95" i="30"/>
  <c r="CA95" i="30"/>
  <c r="CB95" i="30"/>
  <c r="CC95" i="30"/>
  <c r="CD95" i="30"/>
  <c r="CE95" i="30"/>
  <c r="CF95" i="30"/>
  <c r="CG95" i="30"/>
  <c r="CH95" i="30"/>
  <c r="CI95" i="30"/>
  <c r="CJ95" i="30"/>
  <c r="CK95" i="30"/>
  <c r="CL95" i="30"/>
  <c r="CM95" i="30"/>
  <c r="CN95" i="30"/>
  <c r="CO95" i="30"/>
  <c r="CP95" i="30"/>
  <c r="CQ95" i="30"/>
  <c r="CR95" i="30"/>
  <c r="CS95" i="30"/>
  <c r="CT95" i="30"/>
  <c r="CU95" i="30"/>
  <c r="CV95" i="30"/>
  <c r="CW95" i="30"/>
  <c r="CX95" i="30"/>
  <c r="CY95" i="30"/>
  <c r="CZ95" i="30"/>
  <c r="DA95" i="30"/>
  <c r="DB95" i="30"/>
  <c r="DC95" i="30"/>
  <c r="DD95" i="30"/>
  <c r="DE95" i="30"/>
  <c r="DF95" i="30"/>
  <c r="DG95" i="30"/>
  <c r="DH95" i="30"/>
  <c r="DI95" i="30"/>
  <c r="DJ95" i="30"/>
  <c r="DK95" i="30"/>
  <c r="DL95" i="30"/>
  <c r="DM95" i="30"/>
  <c r="DN95" i="30"/>
  <c r="DO95" i="30"/>
  <c r="DP95" i="30"/>
  <c r="DQ95" i="30"/>
  <c r="DR95" i="30"/>
  <c r="DS95" i="30"/>
  <c r="DT95" i="30"/>
  <c r="DU95" i="30"/>
  <c r="DV95" i="30"/>
  <c r="DW95" i="30"/>
  <c r="DX95" i="30"/>
  <c r="DY95" i="30"/>
  <c r="DZ95" i="30"/>
  <c r="EA95" i="30"/>
  <c r="I95" i="30" l="1"/>
  <c r="M70" i="3"/>
  <c r="E20" i="3"/>
  <c r="I94" i="32"/>
  <c r="I74" i="32"/>
  <c r="C20" i="3" l="1"/>
  <c r="C34" i="4"/>
  <c r="E34" i="4" l="1"/>
  <c r="BS62" i="30" l="1"/>
  <c r="P61" i="32" l="1"/>
  <c r="BS66" i="30"/>
  <c r="P65" i="32" s="1"/>
  <c r="I13" i="32" l="1"/>
  <c r="L13" i="32"/>
  <c r="M13" i="32"/>
  <c r="N13" i="32"/>
  <c r="O13" i="32"/>
  <c r="P13" i="32"/>
  <c r="Q13" i="32"/>
  <c r="R13" i="32"/>
  <c r="S13" i="32"/>
  <c r="T13" i="32"/>
  <c r="U13" i="32"/>
  <c r="I15" i="32"/>
  <c r="L15" i="32"/>
  <c r="M15" i="32"/>
  <c r="N15" i="32"/>
  <c r="O15" i="32"/>
  <c r="P15" i="32"/>
  <c r="Q15" i="32"/>
  <c r="R15" i="32"/>
  <c r="S15" i="32"/>
  <c r="T15" i="32"/>
  <c r="U15" i="32"/>
  <c r="I18" i="32"/>
  <c r="L18" i="32"/>
  <c r="M18" i="32"/>
  <c r="N18" i="32"/>
  <c r="O18" i="32"/>
  <c r="P18" i="32"/>
  <c r="Q18" i="32"/>
  <c r="R18" i="32"/>
  <c r="S18" i="32"/>
  <c r="T18" i="32"/>
  <c r="U18" i="32"/>
  <c r="I20" i="32"/>
  <c r="L20" i="32"/>
  <c r="M20" i="32"/>
  <c r="N20" i="32"/>
  <c r="O20" i="32"/>
  <c r="P20" i="32"/>
  <c r="Q20" i="32"/>
  <c r="R20" i="32"/>
  <c r="S20" i="32"/>
  <c r="T20" i="32"/>
  <c r="U20" i="32"/>
  <c r="I23" i="32"/>
  <c r="L23" i="32"/>
  <c r="M23" i="32"/>
  <c r="N23" i="32"/>
  <c r="O23" i="32"/>
  <c r="P23" i="32"/>
  <c r="Q23" i="32"/>
  <c r="R23" i="32"/>
  <c r="S23" i="32"/>
  <c r="T23" i="32"/>
  <c r="U23" i="32"/>
  <c r="I25" i="32"/>
  <c r="L25" i="32"/>
  <c r="M25" i="32"/>
  <c r="N25" i="32"/>
  <c r="O25" i="32"/>
  <c r="P25" i="32"/>
  <c r="Q25" i="32"/>
  <c r="R25" i="32"/>
  <c r="S25" i="32"/>
  <c r="T25" i="32"/>
  <c r="U25" i="32"/>
  <c r="I27" i="32"/>
  <c r="L27" i="32"/>
  <c r="M27" i="32"/>
  <c r="N27" i="32"/>
  <c r="O27" i="32"/>
  <c r="P27" i="32"/>
  <c r="Q27" i="32"/>
  <c r="R27" i="32"/>
  <c r="S27" i="32"/>
  <c r="T27" i="32"/>
  <c r="U27" i="32"/>
  <c r="I28" i="32"/>
  <c r="L28" i="32"/>
  <c r="M28" i="32"/>
  <c r="N28" i="32"/>
  <c r="O28" i="32"/>
  <c r="P28" i="32"/>
  <c r="Q28" i="32"/>
  <c r="R28" i="32"/>
  <c r="S28" i="32"/>
  <c r="T28" i="32"/>
  <c r="U28" i="32"/>
  <c r="I31" i="32"/>
  <c r="L31" i="32"/>
  <c r="M31" i="32"/>
  <c r="N31" i="32"/>
  <c r="O31" i="32"/>
  <c r="P31" i="32"/>
  <c r="Q31" i="32"/>
  <c r="R31" i="32"/>
  <c r="S31" i="32"/>
  <c r="T31" i="32"/>
  <c r="U31" i="32"/>
  <c r="I33" i="32"/>
  <c r="L33" i="32"/>
  <c r="M33" i="32"/>
  <c r="N33" i="32"/>
  <c r="O33" i="32"/>
  <c r="P33" i="32"/>
  <c r="Q33" i="32"/>
  <c r="R33" i="32"/>
  <c r="S33" i="32"/>
  <c r="T33" i="32"/>
  <c r="U33" i="32"/>
  <c r="I34" i="32"/>
  <c r="L34" i="32"/>
  <c r="M34" i="32"/>
  <c r="N34" i="32"/>
  <c r="O34" i="32"/>
  <c r="P34" i="32"/>
  <c r="Q34" i="32"/>
  <c r="R34" i="32"/>
  <c r="S34" i="32"/>
  <c r="T34" i="32"/>
  <c r="U34" i="32"/>
  <c r="I36" i="32"/>
  <c r="L36" i="32"/>
  <c r="M36" i="32"/>
  <c r="N36" i="32"/>
  <c r="O36" i="32"/>
  <c r="P36" i="32"/>
  <c r="Q36" i="32"/>
  <c r="R36" i="32"/>
  <c r="S36" i="32"/>
  <c r="T36" i="32"/>
  <c r="U36" i="32"/>
  <c r="I37" i="32"/>
  <c r="L37" i="32"/>
  <c r="M37" i="32"/>
  <c r="N37" i="32"/>
  <c r="O37" i="32"/>
  <c r="P37" i="32"/>
  <c r="Q37" i="32"/>
  <c r="R37" i="32"/>
  <c r="S37" i="32"/>
  <c r="T37" i="32"/>
  <c r="U37" i="32"/>
  <c r="I43" i="32"/>
  <c r="L43" i="32"/>
  <c r="M43" i="32"/>
  <c r="N43" i="32"/>
  <c r="O43" i="32"/>
  <c r="P43" i="32"/>
  <c r="Q43" i="32"/>
  <c r="R43" i="32"/>
  <c r="S43" i="32"/>
  <c r="T43" i="32"/>
  <c r="U43" i="32"/>
  <c r="I44" i="32"/>
  <c r="L44" i="32"/>
  <c r="M44" i="32"/>
  <c r="N44" i="32"/>
  <c r="O44" i="32"/>
  <c r="P44" i="32"/>
  <c r="Q44" i="32"/>
  <c r="R44" i="32"/>
  <c r="S44" i="32"/>
  <c r="T44" i="32"/>
  <c r="U44" i="32"/>
  <c r="I47" i="32"/>
  <c r="L47" i="32"/>
  <c r="M47" i="32"/>
  <c r="N47" i="32"/>
  <c r="O47" i="32"/>
  <c r="P47" i="32"/>
  <c r="Q47" i="32"/>
  <c r="R47" i="32"/>
  <c r="S47" i="32"/>
  <c r="T47" i="32"/>
  <c r="U47" i="32"/>
  <c r="I48" i="32"/>
  <c r="L48" i="32"/>
  <c r="M48" i="32"/>
  <c r="N48" i="32"/>
  <c r="O48" i="32"/>
  <c r="P48" i="32"/>
  <c r="Q48" i="32"/>
  <c r="R48" i="32"/>
  <c r="S48" i="32"/>
  <c r="T48" i="32"/>
  <c r="U48" i="32"/>
  <c r="I50" i="32"/>
  <c r="L50" i="32"/>
  <c r="M50" i="32"/>
  <c r="N50" i="32"/>
  <c r="O50" i="32"/>
  <c r="P50" i="32"/>
  <c r="Q50" i="32"/>
  <c r="R50" i="32"/>
  <c r="S50" i="32"/>
  <c r="T50" i="32"/>
  <c r="U50" i="32"/>
  <c r="I51" i="32"/>
  <c r="L51" i="32"/>
  <c r="M51" i="32"/>
  <c r="N51" i="32"/>
  <c r="O51" i="32"/>
  <c r="P51" i="32"/>
  <c r="Q51" i="32"/>
  <c r="R51" i="32"/>
  <c r="S51" i="32"/>
  <c r="T51" i="32"/>
  <c r="U51" i="32"/>
  <c r="I52" i="32"/>
  <c r="L52" i="32"/>
  <c r="M52" i="32"/>
  <c r="N52" i="32"/>
  <c r="O52" i="32"/>
  <c r="P52" i="32"/>
  <c r="Q52" i="32"/>
  <c r="R52" i="32"/>
  <c r="S52" i="32"/>
  <c r="T52" i="32"/>
  <c r="U52" i="32"/>
  <c r="I53" i="32"/>
  <c r="L53" i="32"/>
  <c r="M53" i="32"/>
  <c r="N53" i="32"/>
  <c r="O53" i="32"/>
  <c r="P53" i="32"/>
  <c r="Q53" i="32"/>
  <c r="R53" i="32"/>
  <c r="S53" i="32"/>
  <c r="T53" i="32"/>
  <c r="U53" i="32"/>
  <c r="I54" i="32"/>
  <c r="L54" i="32"/>
  <c r="M54" i="32"/>
  <c r="N54" i="32"/>
  <c r="O54" i="32"/>
  <c r="P54" i="32"/>
  <c r="Q54" i="32"/>
  <c r="R54" i="32"/>
  <c r="S54" i="32"/>
  <c r="T54" i="32"/>
  <c r="U54" i="32"/>
  <c r="I55" i="32"/>
  <c r="L55" i="32"/>
  <c r="M55" i="32"/>
  <c r="N55" i="32"/>
  <c r="O55" i="32"/>
  <c r="P55" i="32"/>
  <c r="Q55" i="32"/>
  <c r="R55" i="32"/>
  <c r="S55" i="32"/>
  <c r="T55" i="32"/>
  <c r="U55" i="32"/>
  <c r="I56" i="32"/>
  <c r="L56" i="32"/>
  <c r="M56" i="32"/>
  <c r="N56" i="32"/>
  <c r="O56" i="32"/>
  <c r="P56" i="32"/>
  <c r="Q56" i="32"/>
  <c r="R56" i="32"/>
  <c r="S56" i="32"/>
  <c r="T56" i="32"/>
  <c r="U56" i="32"/>
  <c r="I57" i="32"/>
  <c r="L57" i="32"/>
  <c r="M57" i="32"/>
  <c r="N57" i="32"/>
  <c r="O57" i="32"/>
  <c r="P57" i="32"/>
  <c r="Q57" i="32"/>
  <c r="R57" i="32"/>
  <c r="S57" i="32"/>
  <c r="T57" i="32"/>
  <c r="U57" i="32"/>
  <c r="L60" i="32"/>
  <c r="M60" i="32"/>
  <c r="N60" i="32"/>
  <c r="O60" i="32"/>
  <c r="P60" i="32"/>
  <c r="Q60" i="32"/>
  <c r="R60" i="32"/>
  <c r="S60" i="32"/>
  <c r="T60" i="32"/>
  <c r="U60" i="32"/>
  <c r="I61" i="32"/>
  <c r="U61" i="32"/>
  <c r="L64" i="32"/>
  <c r="M64" i="32"/>
  <c r="N64" i="32"/>
  <c r="O64" i="32"/>
  <c r="P64" i="32"/>
  <c r="Q64" i="32"/>
  <c r="R64" i="32"/>
  <c r="S64" i="32"/>
  <c r="T64" i="32"/>
  <c r="U64" i="32"/>
  <c r="I65" i="32"/>
  <c r="U65" i="32"/>
  <c r="I69" i="32"/>
  <c r="L69" i="32"/>
  <c r="M69" i="32"/>
  <c r="I70" i="32"/>
  <c r="L70" i="32"/>
  <c r="M70" i="32"/>
  <c r="I71" i="32"/>
  <c r="L71" i="32"/>
  <c r="M71" i="32"/>
  <c r="I72" i="32"/>
  <c r="L72" i="32"/>
  <c r="M72" i="32"/>
  <c r="N72" i="32"/>
  <c r="O72" i="32"/>
  <c r="P72" i="32"/>
  <c r="Q72" i="32"/>
  <c r="R72" i="32"/>
  <c r="S72" i="32"/>
  <c r="T72" i="32"/>
  <c r="U72" i="32"/>
  <c r="I73" i="32"/>
  <c r="L73" i="32"/>
  <c r="M73" i="32"/>
  <c r="N73" i="32"/>
  <c r="I75" i="32"/>
  <c r="L75" i="32"/>
  <c r="M75" i="32"/>
  <c r="N75" i="32"/>
  <c r="O75" i="32"/>
  <c r="P75" i="32"/>
  <c r="Q75" i="32"/>
  <c r="R75" i="32"/>
  <c r="S75" i="32"/>
  <c r="T75" i="32"/>
  <c r="U75" i="32"/>
  <c r="I82" i="32"/>
  <c r="L82" i="32"/>
  <c r="I85" i="32"/>
  <c r="L85" i="32"/>
  <c r="I89" i="32"/>
  <c r="L89" i="32"/>
  <c r="M89" i="32"/>
  <c r="I90" i="32"/>
  <c r="L90" i="32"/>
  <c r="M90" i="32"/>
  <c r="I91" i="32"/>
  <c r="L91" i="32"/>
  <c r="M91" i="32"/>
  <c r="I92" i="32"/>
  <c r="L92" i="32"/>
  <c r="M92" i="32"/>
  <c r="N92" i="32"/>
  <c r="O92" i="32"/>
  <c r="P92" i="32"/>
  <c r="Q92" i="32"/>
  <c r="R92" i="32"/>
  <c r="S92" i="32"/>
  <c r="T92" i="32"/>
  <c r="U92" i="32"/>
  <c r="I93" i="32"/>
  <c r="L93" i="32"/>
  <c r="M93" i="32"/>
  <c r="N93" i="32"/>
  <c r="I95" i="32"/>
  <c r="L95" i="32"/>
  <c r="M95" i="32"/>
  <c r="N95" i="32"/>
  <c r="O95" i="32"/>
  <c r="P95" i="32"/>
  <c r="Q95" i="32"/>
  <c r="R95" i="32"/>
  <c r="S95" i="32"/>
  <c r="T95" i="32"/>
  <c r="U95" i="32"/>
  <c r="H97" i="32"/>
  <c r="I97" i="32"/>
  <c r="L97" i="32"/>
  <c r="M97" i="32"/>
  <c r="N97" i="32"/>
  <c r="O97" i="32"/>
  <c r="P97" i="32"/>
  <c r="Q97" i="32"/>
  <c r="R97" i="32"/>
  <c r="S97" i="32"/>
  <c r="T97" i="32"/>
  <c r="U97" i="32"/>
  <c r="H102" i="32"/>
  <c r="I102" i="32"/>
  <c r="L102" i="32"/>
  <c r="M102" i="32"/>
  <c r="N102" i="32"/>
  <c r="O102" i="32"/>
  <c r="P102" i="32"/>
  <c r="Q102" i="32"/>
  <c r="R102" i="32"/>
  <c r="S102" i="32"/>
  <c r="T102" i="32"/>
  <c r="U102" i="32"/>
  <c r="H103" i="32"/>
  <c r="I103" i="32"/>
  <c r="L103" i="32"/>
  <c r="M107" i="32"/>
  <c r="N107" i="32"/>
  <c r="O107" i="32"/>
  <c r="P107" i="32"/>
  <c r="Q107" i="32"/>
  <c r="R107" i="32"/>
  <c r="S107" i="32"/>
  <c r="T107" i="32"/>
  <c r="U107" i="32"/>
  <c r="I108" i="32"/>
  <c r="L108" i="32"/>
  <c r="M108" i="32"/>
  <c r="N108" i="32"/>
  <c r="O108" i="32"/>
  <c r="P108" i="32"/>
  <c r="Q108" i="32"/>
  <c r="R108" i="32"/>
  <c r="S108" i="32"/>
  <c r="T108" i="32"/>
  <c r="U108" i="32"/>
  <c r="I109" i="32"/>
  <c r="N109" i="32"/>
  <c r="I110" i="32"/>
  <c r="L110" i="32"/>
  <c r="M110" i="32"/>
  <c r="N110" i="32"/>
  <c r="O110" i="32"/>
  <c r="P110" i="32"/>
  <c r="Q110" i="32"/>
  <c r="R110" i="32"/>
  <c r="S110" i="32"/>
  <c r="T110" i="32"/>
  <c r="U110" i="32"/>
  <c r="I111" i="32"/>
  <c r="L111" i="32"/>
  <c r="M114" i="32"/>
  <c r="N114" i="32"/>
  <c r="O114" i="32"/>
  <c r="P114" i="32"/>
  <c r="Q114" i="32"/>
  <c r="R114" i="32"/>
  <c r="S114" i="32"/>
  <c r="T114" i="32"/>
  <c r="U114" i="32"/>
  <c r="I115" i="32"/>
  <c r="L115" i="32"/>
  <c r="I116" i="32"/>
  <c r="N116" i="32"/>
  <c r="I117" i="32"/>
  <c r="L117" i="32"/>
  <c r="M117" i="32"/>
  <c r="N117" i="32"/>
  <c r="O117" i="32"/>
  <c r="P117" i="32"/>
  <c r="Q117" i="32"/>
  <c r="R117" i="32"/>
  <c r="S117" i="32"/>
  <c r="T117" i="32"/>
  <c r="U117" i="32"/>
  <c r="O120" i="32"/>
  <c r="P120" i="32"/>
  <c r="Q120" i="32"/>
  <c r="R120" i="32"/>
  <c r="S120" i="32"/>
  <c r="T120" i="32"/>
  <c r="U120" i="32"/>
  <c r="I121" i="32"/>
  <c r="N121" i="32"/>
  <c r="I122" i="32"/>
  <c r="N122" i="32"/>
  <c r="O122" i="32"/>
  <c r="P122" i="32"/>
  <c r="Q122" i="32"/>
  <c r="R122" i="32"/>
  <c r="S122" i="32"/>
  <c r="T122" i="32"/>
  <c r="U122" i="32"/>
  <c r="I123" i="32"/>
  <c r="N123" i="32"/>
  <c r="O123" i="32"/>
  <c r="P123" i="32"/>
  <c r="Q123" i="32"/>
  <c r="R123" i="32"/>
  <c r="S123" i="32"/>
  <c r="T123" i="32"/>
  <c r="U123" i="32"/>
  <c r="I124" i="32"/>
  <c r="N124" i="32"/>
  <c r="O124" i="32"/>
  <c r="P124" i="32"/>
  <c r="Q124" i="32"/>
  <c r="R124" i="32"/>
  <c r="S124" i="32"/>
  <c r="T124" i="32"/>
  <c r="U124" i="32"/>
  <c r="I126" i="32"/>
  <c r="N126" i="32"/>
  <c r="O126" i="32"/>
  <c r="P126" i="32"/>
  <c r="Q126" i="32"/>
  <c r="R126" i="32"/>
  <c r="S126" i="32"/>
  <c r="T126" i="32"/>
  <c r="U126" i="32"/>
  <c r="L127" i="32"/>
  <c r="M127" i="32"/>
  <c r="N127" i="32"/>
  <c r="O127" i="32"/>
  <c r="P127" i="32"/>
  <c r="Q127" i="32"/>
  <c r="R127" i="32"/>
  <c r="S127" i="32"/>
  <c r="T127" i="32"/>
  <c r="U127" i="32"/>
  <c r="H128" i="32"/>
  <c r="I128" i="32"/>
  <c r="L128" i="32"/>
  <c r="M128" i="32"/>
  <c r="N128" i="32"/>
  <c r="O128" i="32"/>
  <c r="P128" i="32"/>
  <c r="Q128" i="32"/>
  <c r="R128" i="32"/>
  <c r="S128" i="32"/>
  <c r="T128" i="32"/>
  <c r="U128" i="32"/>
  <c r="I132" i="32"/>
  <c r="L132" i="32"/>
  <c r="M132" i="32"/>
  <c r="N132" i="32"/>
  <c r="O132" i="32"/>
  <c r="P132" i="32"/>
  <c r="Q132" i="32"/>
  <c r="R132" i="32"/>
  <c r="S132" i="32"/>
  <c r="T132" i="32"/>
  <c r="U132" i="32"/>
  <c r="I133" i="32"/>
  <c r="L133" i="32"/>
  <c r="M133" i="32"/>
  <c r="N133" i="32"/>
  <c r="O133" i="32"/>
  <c r="P133" i="32"/>
  <c r="Q133" i="32"/>
  <c r="R133" i="32"/>
  <c r="S133" i="32"/>
  <c r="T133" i="32"/>
  <c r="U133" i="32"/>
  <c r="N135" i="32"/>
  <c r="O135" i="32"/>
  <c r="P135" i="32"/>
  <c r="Q135" i="32"/>
  <c r="R135" i="32"/>
  <c r="S135" i="32"/>
  <c r="T135" i="32"/>
  <c r="B12" i="3"/>
  <c r="B13" i="3"/>
  <c r="C13" i="3"/>
  <c r="E13" i="3"/>
  <c r="B14" i="3"/>
  <c r="C14" i="3"/>
  <c r="E14" i="3"/>
  <c r="B15" i="3"/>
  <c r="L15" i="3"/>
  <c r="N15" i="3"/>
  <c r="B16" i="3"/>
  <c r="F16" i="3"/>
  <c r="G16" i="3"/>
  <c r="B17" i="3"/>
  <c r="C17" i="3"/>
  <c r="E17" i="3"/>
  <c r="F17" i="3"/>
  <c r="G17" i="3"/>
  <c r="B18" i="3"/>
  <c r="C18" i="3"/>
  <c r="E18" i="3"/>
  <c r="F18" i="3"/>
  <c r="G18" i="3"/>
  <c r="B19" i="3"/>
  <c r="C19" i="3"/>
  <c r="E19" i="3"/>
  <c r="B20" i="3"/>
  <c r="B21" i="3"/>
  <c r="C21" i="3"/>
  <c r="E21" i="3"/>
  <c r="B22" i="3"/>
  <c r="C22" i="3"/>
  <c r="E22" i="3"/>
  <c r="B23" i="3"/>
  <c r="C23" i="3"/>
  <c r="E23" i="3"/>
  <c r="N26" i="3"/>
  <c r="L27" i="3"/>
  <c r="M27" i="3"/>
  <c r="N27" i="3"/>
  <c r="P27" i="3"/>
  <c r="L30" i="3"/>
  <c r="N30" i="3"/>
  <c r="P30" i="3"/>
  <c r="L32" i="3"/>
  <c r="N32" i="3"/>
  <c r="N33" i="3"/>
  <c r="L34" i="3"/>
  <c r="N34" i="3"/>
  <c r="L35" i="3"/>
  <c r="C56" i="3"/>
  <c r="E56" i="3"/>
  <c r="M67" i="3"/>
  <c r="M68" i="3"/>
  <c r="M71" i="3"/>
  <c r="M78" i="3"/>
  <c r="I79" i="3"/>
  <c r="M79" i="3"/>
  <c r="I80" i="3"/>
  <c r="M80" i="3"/>
  <c r="H13" i="11"/>
  <c r="I13" i="11"/>
  <c r="K13" i="11"/>
  <c r="H19" i="11"/>
  <c r="I19" i="11"/>
  <c r="K19" i="11"/>
  <c r="Q20" i="11"/>
  <c r="R20" i="11"/>
  <c r="S20" i="11"/>
  <c r="Q21" i="11"/>
  <c r="R21" i="11"/>
  <c r="S21" i="11"/>
  <c r="H22" i="11"/>
  <c r="I22" i="11"/>
  <c r="K22" i="11"/>
  <c r="H23" i="11"/>
  <c r="I23" i="11"/>
  <c r="K23" i="11"/>
  <c r="H24" i="11"/>
  <c r="I24" i="11"/>
  <c r="K24" i="11"/>
  <c r="Q26" i="11"/>
  <c r="R26" i="11"/>
  <c r="S26" i="11"/>
  <c r="Q28" i="11"/>
  <c r="R28" i="11"/>
  <c r="S28" i="11"/>
  <c r="H29" i="11"/>
  <c r="I29" i="11"/>
  <c r="K29" i="11"/>
  <c r="H30" i="11"/>
  <c r="I30" i="11"/>
  <c r="K30" i="11"/>
  <c r="Q31" i="11"/>
  <c r="R31" i="11"/>
  <c r="S31" i="11"/>
  <c r="H33" i="11"/>
  <c r="I33" i="11"/>
  <c r="K33" i="11"/>
  <c r="F46" i="11"/>
  <c r="H66" i="11"/>
  <c r="I66" i="11"/>
  <c r="K66" i="11"/>
  <c r="H67" i="11"/>
  <c r="I67" i="11"/>
  <c r="K67" i="11"/>
  <c r="H68" i="11"/>
  <c r="I68" i="11"/>
  <c r="K68" i="11"/>
  <c r="H74" i="11"/>
  <c r="I74" i="11"/>
  <c r="K74" i="11"/>
  <c r="H77" i="11"/>
  <c r="I77" i="11"/>
  <c r="K77" i="11"/>
  <c r="H79" i="11"/>
  <c r="I79" i="11"/>
  <c r="K79" i="11"/>
  <c r="H80" i="11"/>
  <c r="I80" i="11"/>
  <c r="J80" i="11"/>
  <c r="K80" i="11"/>
  <c r="K82" i="11"/>
  <c r="D30" i="4"/>
  <c r="C31" i="4"/>
  <c r="D31" i="4"/>
  <c r="E31" i="4"/>
  <c r="C32" i="4"/>
  <c r="D32" i="4"/>
  <c r="E32" i="4"/>
  <c r="D33" i="4"/>
  <c r="D34" i="4"/>
  <c r="C35" i="4"/>
  <c r="D35" i="4"/>
  <c r="E35" i="4"/>
  <c r="C36" i="4"/>
  <c r="D36" i="4"/>
  <c r="E36" i="4"/>
  <c r="J36" i="4"/>
  <c r="K36" i="4"/>
  <c r="C37" i="4"/>
  <c r="D37" i="4"/>
  <c r="E37" i="4"/>
  <c r="J37" i="4"/>
  <c r="K37" i="4"/>
  <c r="J38" i="4"/>
  <c r="K38" i="4"/>
  <c r="M38" i="4"/>
  <c r="J39" i="4"/>
  <c r="K39" i="4"/>
  <c r="D42" i="4"/>
  <c r="E42" i="4"/>
  <c r="D43" i="4"/>
  <c r="E43" i="4"/>
  <c r="D44" i="4"/>
  <c r="E44" i="4"/>
  <c r="P44" i="4"/>
  <c r="D45" i="4"/>
  <c r="E45" i="4"/>
  <c r="P45" i="4"/>
  <c r="D46" i="4"/>
  <c r="E46" i="4"/>
  <c r="P46" i="4"/>
  <c r="P47" i="4"/>
  <c r="I49" i="4"/>
  <c r="J49" i="4"/>
  <c r="K49" i="4"/>
  <c r="I50" i="4"/>
  <c r="J50" i="4"/>
  <c r="K50" i="4"/>
  <c r="I51" i="4"/>
  <c r="J51" i="4"/>
  <c r="K51" i="4"/>
  <c r="C58" i="4"/>
  <c r="D58" i="4"/>
  <c r="E58" i="4"/>
  <c r="C59" i="4"/>
  <c r="D59" i="4"/>
  <c r="E59" i="4"/>
  <c r="C60" i="4"/>
  <c r="D60" i="4"/>
  <c r="E60" i="4"/>
  <c r="C61" i="4"/>
  <c r="D61" i="4"/>
  <c r="E61" i="4"/>
  <c r="K64" i="4"/>
  <c r="K65" i="4"/>
  <c r="K66" i="4"/>
  <c r="K67" i="4"/>
  <c r="K68" i="4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Q13" i="33"/>
  <c r="AR13" i="33"/>
  <c r="AS13" i="33"/>
  <c r="AT13" i="33"/>
  <c r="AU13" i="33"/>
  <c r="AV13" i="33"/>
  <c r="AW13" i="33"/>
  <c r="AX13" i="33"/>
  <c r="AY13" i="33"/>
  <c r="AZ13" i="33"/>
  <c r="BA13" i="33"/>
  <c r="BB13" i="33"/>
  <c r="BC13" i="33"/>
  <c r="BD13" i="33"/>
  <c r="BE13" i="33"/>
  <c r="BF13" i="33"/>
  <c r="BG13" i="33"/>
  <c r="BH13" i="33"/>
  <c r="BI13" i="33"/>
  <c r="BJ13" i="33"/>
  <c r="BK13" i="33"/>
  <c r="BL13" i="33"/>
  <c r="BM13" i="33"/>
  <c r="BN13" i="33"/>
  <c r="BO13" i="33"/>
  <c r="BP13" i="33"/>
  <c r="BQ13" i="33"/>
  <c r="BR13" i="33"/>
  <c r="BS13" i="33"/>
  <c r="BT13" i="33"/>
  <c r="BU13" i="33"/>
  <c r="BV13" i="33"/>
  <c r="BW13" i="33"/>
  <c r="BX13" i="33"/>
  <c r="BY13" i="33"/>
  <c r="BZ13" i="33"/>
  <c r="CA13" i="33"/>
  <c r="CB13" i="33"/>
  <c r="CC13" i="33"/>
  <c r="CD13" i="33"/>
  <c r="CE13" i="33"/>
  <c r="CF13" i="33"/>
  <c r="CG13" i="33"/>
  <c r="CH13" i="33"/>
  <c r="CI13" i="33"/>
  <c r="CJ13" i="33"/>
  <c r="CK13" i="33"/>
  <c r="CL13" i="33"/>
  <c r="CM13" i="33"/>
  <c r="CN13" i="33"/>
  <c r="CO13" i="33"/>
  <c r="CP13" i="33"/>
  <c r="CQ13" i="33"/>
  <c r="CR13" i="33"/>
  <c r="CS13" i="33"/>
  <c r="CT13" i="33"/>
  <c r="CU13" i="33"/>
  <c r="CV13" i="33"/>
  <c r="CW13" i="33"/>
  <c r="CX13" i="33"/>
  <c r="CY13" i="33"/>
  <c r="CZ13" i="33"/>
  <c r="DA13" i="33"/>
  <c r="DB13" i="33"/>
  <c r="DC13" i="33"/>
  <c r="DD13" i="33"/>
  <c r="DE13" i="33"/>
  <c r="DF13" i="33"/>
  <c r="DG13" i="33"/>
  <c r="DH13" i="33"/>
  <c r="DI13" i="33"/>
  <c r="DJ13" i="33"/>
  <c r="DK13" i="33"/>
  <c r="DL13" i="33"/>
  <c r="DM13" i="33"/>
  <c r="DN13" i="33"/>
  <c r="DO13" i="33"/>
  <c r="DP13" i="33"/>
  <c r="DQ13" i="33"/>
  <c r="DR13" i="33"/>
  <c r="DS13" i="33"/>
  <c r="DT13" i="33"/>
  <c r="DU13" i="33"/>
  <c r="DV13" i="33"/>
  <c r="DW13" i="33"/>
  <c r="DX13" i="33"/>
  <c r="DY13" i="33"/>
  <c r="DZ13" i="33"/>
  <c r="EA13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Q14" i="33"/>
  <c r="AR14" i="33"/>
  <c r="AS14" i="33"/>
  <c r="AT14" i="33"/>
  <c r="AU14" i="33"/>
  <c r="AV14" i="33"/>
  <c r="AW14" i="33"/>
  <c r="AX14" i="33"/>
  <c r="AY14" i="33"/>
  <c r="AZ14" i="33"/>
  <c r="BA14" i="33"/>
  <c r="BB14" i="33"/>
  <c r="BC14" i="33"/>
  <c r="BD14" i="33"/>
  <c r="BE14" i="33"/>
  <c r="BF14" i="33"/>
  <c r="BG14" i="33"/>
  <c r="BH14" i="33"/>
  <c r="BI14" i="33"/>
  <c r="BJ14" i="33"/>
  <c r="BK14" i="33"/>
  <c r="BL14" i="33"/>
  <c r="BM14" i="33"/>
  <c r="BN14" i="33"/>
  <c r="BO14" i="33"/>
  <c r="BP14" i="33"/>
  <c r="BQ14" i="33"/>
  <c r="BR14" i="33"/>
  <c r="BS14" i="33"/>
  <c r="BT14" i="33"/>
  <c r="BU14" i="33"/>
  <c r="BV14" i="33"/>
  <c r="BW14" i="33"/>
  <c r="BX14" i="33"/>
  <c r="BY14" i="33"/>
  <c r="BZ14" i="33"/>
  <c r="CA14" i="33"/>
  <c r="CB14" i="33"/>
  <c r="CC14" i="33"/>
  <c r="CD14" i="33"/>
  <c r="CE14" i="33"/>
  <c r="CF14" i="33"/>
  <c r="CG14" i="33"/>
  <c r="CH14" i="33"/>
  <c r="CI14" i="33"/>
  <c r="CJ14" i="33"/>
  <c r="CK14" i="33"/>
  <c r="CL14" i="33"/>
  <c r="CM14" i="33"/>
  <c r="CN14" i="33"/>
  <c r="CO14" i="33"/>
  <c r="CP14" i="33"/>
  <c r="CQ14" i="33"/>
  <c r="CR14" i="33"/>
  <c r="CS14" i="33"/>
  <c r="CT14" i="33"/>
  <c r="CU14" i="33"/>
  <c r="CV14" i="33"/>
  <c r="CW14" i="33"/>
  <c r="CX14" i="33"/>
  <c r="CY14" i="33"/>
  <c r="CZ14" i="33"/>
  <c r="DA14" i="33"/>
  <c r="DB14" i="33"/>
  <c r="DC14" i="33"/>
  <c r="DD14" i="33"/>
  <c r="DE14" i="33"/>
  <c r="DF14" i="33"/>
  <c r="DG14" i="33"/>
  <c r="DH14" i="33"/>
  <c r="DI14" i="33"/>
  <c r="DJ14" i="33"/>
  <c r="DK14" i="33"/>
  <c r="DL14" i="33"/>
  <c r="DM14" i="33"/>
  <c r="DN14" i="33"/>
  <c r="DO14" i="33"/>
  <c r="DP14" i="33"/>
  <c r="DQ14" i="33"/>
  <c r="DR14" i="33"/>
  <c r="DS14" i="33"/>
  <c r="DT14" i="33"/>
  <c r="DU14" i="33"/>
  <c r="DV14" i="33"/>
  <c r="DW14" i="33"/>
  <c r="DX14" i="33"/>
  <c r="DY14" i="33"/>
  <c r="DZ14" i="33"/>
  <c r="EA14" i="33"/>
  <c r="I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AS15" i="33"/>
  <c r="AT15" i="33"/>
  <c r="AU15" i="33"/>
  <c r="AV15" i="33"/>
  <c r="AW15" i="33"/>
  <c r="AX15" i="33"/>
  <c r="AY15" i="33"/>
  <c r="AZ15" i="33"/>
  <c r="BA15" i="33"/>
  <c r="BB15" i="33"/>
  <c r="BC15" i="33"/>
  <c r="BD15" i="33"/>
  <c r="BE15" i="33"/>
  <c r="BF15" i="33"/>
  <c r="BG15" i="33"/>
  <c r="BH15" i="33"/>
  <c r="BI15" i="33"/>
  <c r="BJ15" i="33"/>
  <c r="BK15" i="33"/>
  <c r="BL15" i="33"/>
  <c r="BM15" i="33"/>
  <c r="BN15" i="33"/>
  <c r="BO15" i="33"/>
  <c r="BP15" i="33"/>
  <c r="BQ15" i="33"/>
  <c r="BR15" i="33"/>
  <c r="BS15" i="33"/>
  <c r="BT15" i="33"/>
  <c r="BU15" i="33"/>
  <c r="BV15" i="33"/>
  <c r="BW15" i="33"/>
  <c r="BX15" i="33"/>
  <c r="BY15" i="33"/>
  <c r="BZ15" i="33"/>
  <c r="CA15" i="33"/>
  <c r="CB15" i="33"/>
  <c r="CC15" i="33"/>
  <c r="CD15" i="33"/>
  <c r="CE15" i="33"/>
  <c r="CF15" i="33"/>
  <c r="CG15" i="33"/>
  <c r="CH15" i="33"/>
  <c r="CI15" i="33"/>
  <c r="CJ15" i="33"/>
  <c r="CK15" i="33"/>
  <c r="CL15" i="33"/>
  <c r="CM15" i="33"/>
  <c r="CN15" i="33"/>
  <c r="CO15" i="33"/>
  <c r="CP15" i="33"/>
  <c r="CQ15" i="33"/>
  <c r="CR15" i="33"/>
  <c r="CS15" i="33"/>
  <c r="CT15" i="33"/>
  <c r="CU15" i="33"/>
  <c r="CV15" i="33"/>
  <c r="CW15" i="33"/>
  <c r="CX15" i="33"/>
  <c r="CY15" i="33"/>
  <c r="CZ15" i="33"/>
  <c r="DA15" i="33"/>
  <c r="DB15" i="33"/>
  <c r="DC15" i="33"/>
  <c r="DD15" i="33"/>
  <c r="DE15" i="33"/>
  <c r="DF15" i="33"/>
  <c r="DG15" i="33"/>
  <c r="DH15" i="33"/>
  <c r="DI15" i="33"/>
  <c r="DJ15" i="33"/>
  <c r="DK15" i="33"/>
  <c r="DL15" i="33"/>
  <c r="DM15" i="33"/>
  <c r="DN15" i="33"/>
  <c r="DO15" i="33"/>
  <c r="DP15" i="33"/>
  <c r="DQ15" i="33"/>
  <c r="DR15" i="33"/>
  <c r="DS15" i="33"/>
  <c r="DT15" i="33"/>
  <c r="DU15" i="33"/>
  <c r="DV15" i="33"/>
  <c r="DW15" i="33"/>
  <c r="DX15" i="33"/>
  <c r="DY15" i="33"/>
  <c r="DZ15" i="33"/>
  <c r="EA15" i="33"/>
  <c r="I16" i="33"/>
  <c r="AK16" i="33"/>
  <c r="I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AM17" i="33"/>
  <c r="AN17" i="33"/>
  <c r="AO17" i="33"/>
  <c r="AP17" i="33"/>
  <c r="AQ17" i="33"/>
  <c r="AR17" i="33"/>
  <c r="AS17" i="33"/>
  <c r="AT17" i="33"/>
  <c r="AU17" i="33"/>
  <c r="AV17" i="33"/>
  <c r="AW17" i="33"/>
  <c r="AX17" i="33"/>
  <c r="AY17" i="33"/>
  <c r="AZ17" i="33"/>
  <c r="BA17" i="33"/>
  <c r="BB17" i="33"/>
  <c r="BC17" i="33"/>
  <c r="BD17" i="33"/>
  <c r="BE17" i="33"/>
  <c r="BF17" i="33"/>
  <c r="BG17" i="33"/>
  <c r="BH17" i="33"/>
  <c r="BI17" i="33"/>
  <c r="BJ17" i="33"/>
  <c r="BK17" i="33"/>
  <c r="BL17" i="33"/>
  <c r="BM17" i="33"/>
  <c r="BN17" i="33"/>
  <c r="BO17" i="33"/>
  <c r="BP17" i="33"/>
  <c r="BQ17" i="33"/>
  <c r="BR17" i="33"/>
  <c r="BS17" i="33"/>
  <c r="BT17" i="33"/>
  <c r="BU17" i="33"/>
  <c r="BV17" i="33"/>
  <c r="BW17" i="33"/>
  <c r="BX17" i="33"/>
  <c r="BY17" i="33"/>
  <c r="BZ17" i="33"/>
  <c r="CA17" i="33"/>
  <c r="CB17" i="33"/>
  <c r="CC17" i="33"/>
  <c r="CD17" i="33"/>
  <c r="CE17" i="33"/>
  <c r="CF17" i="33"/>
  <c r="CG17" i="33"/>
  <c r="CH17" i="33"/>
  <c r="CI17" i="33"/>
  <c r="CJ17" i="33"/>
  <c r="CK17" i="33"/>
  <c r="CL17" i="33"/>
  <c r="CM17" i="33"/>
  <c r="CN17" i="33"/>
  <c r="CO17" i="33"/>
  <c r="CP17" i="33"/>
  <c r="CQ17" i="33"/>
  <c r="CR17" i="33"/>
  <c r="CS17" i="33"/>
  <c r="CT17" i="33"/>
  <c r="CU17" i="33"/>
  <c r="CV17" i="33"/>
  <c r="CW17" i="33"/>
  <c r="CX17" i="33"/>
  <c r="CY17" i="33"/>
  <c r="CZ17" i="33"/>
  <c r="DA17" i="33"/>
  <c r="DB17" i="33"/>
  <c r="DC17" i="33"/>
  <c r="DD17" i="33"/>
  <c r="DE17" i="33"/>
  <c r="DF17" i="33"/>
  <c r="DG17" i="33"/>
  <c r="DH17" i="33"/>
  <c r="DI17" i="33"/>
  <c r="DJ17" i="33"/>
  <c r="DK17" i="33"/>
  <c r="DL17" i="33"/>
  <c r="DM17" i="33"/>
  <c r="DN17" i="33"/>
  <c r="DO17" i="33"/>
  <c r="DP17" i="33"/>
  <c r="DQ17" i="33"/>
  <c r="DR17" i="33"/>
  <c r="DS17" i="33"/>
  <c r="DT17" i="33"/>
  <c r="DU17" i="33"/>
  <c r="DV17" i="33"/>
  <c r="DW17" i="33"/>
  <c r="DX17" i="33"/>
  <c r="DY17" i="33"/>
  <c r="DZ17" i="33"/>
  <c r="EA17" i="33"/>
  <c r="I19" i="33"/>
  <c r="I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AQ20" i="33"/>
  <c r="AR20" i="33"/>
  <c r="AS20" i="33"/>
  <c r="AT20" i="33"/>
  <c r="AU20" i="33"/>
  <c r="AV20" i="33"/>
  <c r="AW20" i="33"/>
  <c r="AX20" i="33"/>
  <c r="AY20" i="33"/>
  <c r="AZ20" i="33"/>
  <c r="BA20" i="33"/>
  <c r="BB20" i="33"/>
  <c r="BC20" i="33"/>
  <c r="BD20" i="33"/>
  <c r="BE20" i="33"/>
  <c r="BF20" i="33"/>
  <c r="BG20" i="33"/>
  <c r="BH20" i="33"/>
  <c r="BI20" i="33"/>
  <c r="BJ20" i="33"/>
  <c r="BK20" i="33"/>
  <c r="BL20" i="33"/>
  <c r="BM20" i="33"/>
  <c r="BN20" i="33"/>
  <c r="BO20" i="33"/>
  <c r="BP20" i="33"/>
  <c r="BQ20" i="33"/>
  <c r="BR20" i="33"/>
  <c r="BS20" i="33"/>
  <c r="BT20" i="33"/>
  <c r="BU20" i="33"/>
  <c r="BV20" i="33"/>
  <c r="BW20" i="33"/>
  <c r="BX20" i="33"/>
  <c r="BY20" i="33"/>
  <c r="BZ20" i="33"/>
  <c r="CA20" i="33"/>
  <c r="CB20" i="33"/>
  <c r="CC20" i="33"/>
  <c r="CD20" i="33"/>
  <c r="CE20" i="33"/>
  <c r="CF20" i="33"/>
  <c r="CG20" i="33"/>
  <c r="CH20" i="33"/>
  <c r="CI20" i="33"/>
  <c r="CJ20" i="33"/>
  <c r="CK20" i="33"/>
  <c r="CL20" i="33"/>
  <c r="CM20" i="33"/>
  <c r="CN20" i="33"/>
  <c r="CO20" i="33"/>
  <c r="CP20" i="33"/>
  <c r="CQ20" i="33"/>
  <c r="CR20" i="33"/>
  <c r="CS20" i="33"/>
  <c r="CT20" i="33"/>
  <c r="CU20" i="33"/>
  <c r="CV20" i="33"/>
  <c r="CW20" i="33"/>
  <c r="CX20" i="33"/>
  <c r="CY20" i="33"/>
  <c r="CZ20" i="33"/>
  <c r="DA20" i="33"/>
  <c r="DB20" i="33"/>
  <c r="DC20" i="33"/>
  <c r="DD20" i="33"/>
  <c r="DE20" i="33"/>
  <c r="DF20" i="33"/>
  <c r="DG20" i="33"/>
  <c r="DH20" i="33"/>
  <c r="DI20" i="33"/>
  <c r="DJ20" i="33"/>
  <c r="DK20" i="33"/>
  <c r="DL20" i="33"/>
  <c r="DM20" i="33"/>
  <c r="DN20" i="33"/>
  <c r="DO20" i="33"/>
  <c r="DP20" i="33"/>
  <c r="DQ20" i="33"/>
  <c r="DR20" i="33"/>
  <c r="DS20" i="33"/>
  <c r="DT20" i="33"/>
  <c r="DU20" i="33"/>
  <c r="DV20" i="33"/>
  <c r="DW20" i="33"/>
  <c r="DX20" i="33"/>
  <c r="DY20" i="33"/>
  <c r="DZ20" i="33"/>
  <c r="EA20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Q22" i="33"/>
  <c r="AR22" i="33"/>
  <c r="AS22" i="33"/>
  <c r="AT22" i="33"/>
  <c r="AU22" i="33"/>
  <c r="AV22" i="33"/>
  <c r="AW22" i="33"/>
  <c r="AX22" i="33"/>
  <c r="AY22" i="33"/>
  <c r="AZ22" i="33"/>
  <c r="BA22" i="33"/>
  <c r="BB22" i="33"/>
  <c r="BC22" i="33"/>
  <c r="BD22" i="33"/>
  <c r="BE22" i="33"/>
  <c r="BF22" i="33"/>
  <c r="BG22" i="33"/>
  <c r="BH22" i="33"/>
  <c r="BI22" i="33"/>
  <c r="BJ22" i="33"/>
  <c r="BK22" i="33"/>
  <c r="BL22" i="33"/>
  <c r="BM22" i="33"/>
  <c r="BN22" i="33"/>
  <c r="BO22" i="33"/>
  <c r="BP22" i="33"/>
  <c r="BQ22" i="33"/>
  <c r="BR22" i="33"/>
  <c r="BS22" i="33"/>
  <c r="BT22" i="33"/>
  <c r="BU22" i="33"/>
  <c r="BV22" i="33"/>
  <c r="BW22" i="33"/>
  <c r="BX22" i="33"/>
  <c r="BY22" i="33"/>
  <c r="BZ22" i="33"/>
  <c r="CA22" i="33"/>
  <c r="CB22" i="33"/>
  <c r="CC22" i="33"/>
  <c r="CD22" i="33"/>
  <c r="CE22" i="33"/>
  <c r="CF22" i="33"/>
  <c r="CG22" i="33"/>
  <c r="CH22" i="33"/>
  <c r="CI22" i="33"/>
  <c r="CJ22" i="33"/>
  <c r="CK22" i="33"/>
  <c r="CL22" i="33"/>
  <c r="CM22" i="33"/>
  <c r="CN22" i="33"/>
  <c r="CO22" i="33"/>
  <c r="CP22" i="33"/>
  <c r="CQ22" i="33"/>
  <c r="CR22" i="33"/>
  <c r="CS22" i="33"/>
  <c r="CT22" i="33"/>
  <c r="CU22" i="33"/>
  <c r="CV22" i="33"/>
  <c r="CW22" i="33"/>
  <c r="CX22" i="33"/>
  <c r="CY22" i="33"/>
  <c r="CZ22" i="33"/>
  <c r="DA22" i="33"/>
  <c r="DB22" i="33"/>
  <c r="DC22" i="33"/>
  <c r="DD22" i="33"/>
  <c r="DE22" i="33"/>
  <c r="DF22" i="33"/>
  <c r="DG22" i="33"/>
  <c r="DH22" i="33"/>
  <c r="DI22" i="33"/>
  <c r="DJ22" i="33"/>
  <c r="DK22" i="33"/>
  <c r="DL22" i="33"/>
  <c r="DM22" i="33"/>
  <c r="DN22" i="33"/>
  <c r="DO22" i="33"/>
  <c r="DP22" i="33"/>
  <c r="DQ22" i="33"/>
  <c r="DR22" i="33"/>
  <c r="DS22" i="33"/>
  <c r="DT22" i="33"/>
  <c r="DU22" i="33"/>
  <c r="DV22" i="33"/>
  <c r="DW22" i="33"/>
  <c r="DX22" i="33"/>
  <c r="DY22" i="33"/>
  <c r="DZ22" i="33"/>
  <c r="EA22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AQ23" i="33"/>
  <c r="AR23" i="33"/>
  <c r="AS23" i="33"/>
  <c r="AT23" i="33"/>
  <c r="AU23" i="33"/>
  <c r="AV23" i="33"/>
  <c r="AW23" i="33"/>
  <c r="AX23" i="33"/>
  <c r="AY23" i="33"/>
  <c r="AZ23" i="33"/>
  <c r="BA23" i="33"/>
  <c r="BB23" i="33"/>
  <c r="BC23" i="33"/>
  <c r="BD23" i="33"/>
  <c r="BE23" i="33"/>
  <c r="BF23" i="33"/>
  <c r="BG23" i="33"/>
  <c r="BH23" i="33"/>
  <c r="BI23" i="33"/>
  <c r="BJ23" i="33"/>
  <c r="BK23" i="33"/>
  <c r="BL23" i="33"/>
  <c r="BM23" i="33"/>
  <c r="BN23" i="33"/>
  <c r="BO23" i="33"/>
  <c r="BP23" i="33"/>
  <c r="BQ23" i="33"/>
  <c r="BR23" i="33"/>
  <c r="BS23" i="33"/>
  <c r="BT23" i="33"/>
  <c r="BU23" i="33"/>
  <c r="BV23" i="33"/>
  <c r="BW23" i="33"/>
  <c r="BX23" i="33"/>
  <c r="BY23" i="33"/>
  <c r="BZ23" i="33"/>
  <c r="CA23" i="33"/>
  <c r="CB23" i="33"/>
  <c r="CC23" i="33"/>
  <c r="CD23" i="33"/>
  <c r="CE23" i="33"/>
  <c r="CF23" i="33"/>
  <c r="CG23" i="33"/>
  <c r="CH23" i="33"/>
  <c r="CI23" i="33"/>
  <c r="CJ23" i="33"/>
  <c r="CK23" i="33"/>
  <c r="CL23" i="33"/>
  <c r="CM23" i="33"/>
  <c r="CN23" i="33"/>
  <c r="CO23" i="33"/>
  <c r="CP23" i="33"/>
  <c r="CQ23" i="33"/>
  <c r="CR23" i="33"/>
  <c r="CS23" i="33"/>
  <c r="CT23" i="33"/>
  <c r="CU23" i="33"/>
  <c r="CV23" i="33"/>
  <c r="CW23" i="33"/>
  <c r="CX23" i="33"/>
  <c r="CY23" i="33"/>
  <c r="CZ23" i="33"/>
  <c r="DA23" i="33"/>
  <c r="DB23" i="33"/>
  <c r="DC23" i="33"/>
  <c r="DD23" i="33"/>
  <c r="DE23" i="33"/>
  <c r="DF23" i="33"/>
  <c r="DG23" i="33"/>
  <c r="DH23" i="33"/>
  <c r="DI23" i="33"/>
  <c r="DJ23" i="33"/>
  <c r="DK23" i="33"/>
  <c r="DL23" i="33"/>
  <c r="DM23" i="33"/>
  <c r="DN23" i="33"/>
  <c r="DO23" i="33"/>
  <c r="DP23" i="33"/>
  <c r="DQ23" i="33"/>
  <c r="DR23" i="33"/>
  <c r="DS23" i="33"/>
  <c r="DT23" i="33"/>
  <c r="DU23" i="33"/>
  <c r="DV23" i="33"/>
  <c r="DW23" i="33"/>
  <c r="DX23" i="33"/>
  <c r="DY23" i="33"/>
  <c r="DZ23" i="33"/>
  <c r="EA23" i="33"/>
  <c r="I24" i="33"/>
  <c r="M24" i="33"/>
  <c r="I25" i="33"/>
  <c r="AL25" i="33"/>
  <c r="I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AQ26" i="33"/>
  <c r="AR26" i="33"/>
  <c r="AS26" i="33"/>
  <c r="AT26" i="33"/>
  <c r="AU26" i="33"/>
  <c r="AV26" i="33"/>
  <c r="AW26" i="33"/>
  <c r="AX26" i="33"/>
  <c r="AY26" i="33"/>
  <c r="AZ26" i="33"/>
  <c r="BA26" i="33"/>
  <c r="BB26" i="33"/>
  <c r="BC26" i="33"/>
  <c r="BD26" i="33"/>
  <c r="BE26" i="33"/>
  <c r="BF26" i="33"/>
  <c r="BG26" i="33"/>
  <c r="BH26" i="33"/>
  <c r="BI26" i="33"/>
  <c r="BJ26" i="33"/>
  <c r="BK26" i="33"/>
  <c r="BL26" i="33"/>
  <c r="BM26" i="33"/>
  <c r="BN26" i="33"/>
  <c r="BO26" i="33"/>
  <c r="BP26" i="33"/>
  <c r="BQ26" i="33"/>
  <c r="BR26" i="33"/>
  <c r="BS26" i="33"/>
  <c r="BT26" i="33"/>
  <c r="BU26" i="33"/>
  <c r="BV26" i="33"/>
  <c r="BW26" i="33"/>
  <c r="BX26" i="33"/>
  <c r="BY26" i="33"/>
  <c r="BZ26" i="33"/>
  <c r="CA26" i="33"/>
  <c r="CB26" i="33"/>
  <c r="CC26" i="33"/>
  <c r="CD26" i="33"/>
  <c r="CE26" i="33"/>
  <c r="CF26" i="33"/>
  <c r="CG26" i="33"/>
  <c r="CH26" i="33"/>
  <c r="CI26" i="33"/>
  <c r="CJ26" i="33"/>
  <c r="CK26" i="33"/>
  <c r="CL26" i="33"/>
  <c r="CM26" i="33"/>
  <c r="CN26" i="33"/>
  <c r="CO26" i="33"/>
  <c r="CP26" i="33"/>
  <c r="CQ26" i="33"/>
  <c r="CR26" i="33"/>
  <c r="CS26" i="33"/>
  <c r="CT26" i="33"/>
  <c r="CU26" i="33"/>
  <c r="CV26" i="33"/>
  <c r="CW26" i="33"/>
  <c r="CX26" i="33"/>
  <c r="CY26" i="33"/>
  <c r="CZ26" i="33"/>
  <c r="DA26" i="33"/>
  <c r="DB26" i="33"/>
  <c r="DC26" i="33"/>
  <c r="DD26" i="33"/>
  <c r="DE26" i="33"/>
  <c r="DF26" i="33"/>
  <c r="DG26" i="33"/>
  <c r="DH26" i="33"/>
  <c r="DI26" i="33"/>
  <c r="DJ26" i="33"/>
  <c r="DK26" i="33"/>
  <c r="DL26" i="33"/>
  <c r="DM26" i="33"/>
  <c r="DN26" i="33"/>
  <c r="DO26" i="33"/>
  <c r="DP26" i="33"/>
  <c r="DQ26" i="33"/>
  <c r="DR26" i="33"/>
  <c r="DS26" i="33"/>
  <c r="DT26" i="33"/>
  <c r="DU26" i="33"/>
  <c r="DV26" i="33"/>
  <c r="DW26" i="33"/>
  <c r="DX26" i="33"/>
  <c r="DY26" i="33"/>
  <c r="DZ26" i="33"/>
  <c r="EA26" i="33"/>
  <c r="I28" i="33"/>
  <c r="I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AQ29" i="33"/>
  <c r="AR29" i="33"/>
  <c r="AS29" i="33"/>
  <c r="AT29" i="33"/>
  <c r="AU29" i="33"/>
  <c r="AV29" i="33"/>
  <c r="AW29" i="33"/>
  <c r="AX29" i="33"/>
  <c r="AY29" i="33"/>
  <c r="AZ29" i="33"/>
  <c r="BA29" i="33"/>
  <c r="BB29" i="33"/>
  <c r="BC29" i="33"/>
  <c r="BD29" i="33"/>
  <c r="BE29" i="33"/>
  <c r="BF29" i="33"/>
  <c r="BG29" i="33"/>
  <c r="BH29" i="33"/>
  <c r="BI29" i="33"/>
  <c r="BJ29" i="33"/>
  <c r="BK29" i="33"/>
  <c r="BL29" i="33"/>
  <c r="BM29" i="33"/>
  <c r="BN29" i="33"/>
  <c r="BO29" i="33"/>
  <c r="BP29" i="33"/>
  <c r="BQ29" i="33"/>
  <c r="BR29" i="33"/>
  <c r="BS29" i="33"/>
  <c r="BT29" i="33"/>
  <c r="BU29" i="33"/>
  <c r="BV29" i="33"/>
  <c r="BW29" i="33"/>
  <c r="BX29" i="33"/>
  <c r="BY29" i="33"/>
  <c r="BZ29" i="33"/>
  <c r="CA29" i="33"/>
  <c r="CB29" i="33"/>
  <c r="CC29" i="33"/>
  <c r="CD29" i="33"/>
  <c r="CE29" i="33"/>
  <c r="CF29" i="33"/>
  <c r="CG29" i="33"/>
  <c r="CH29" i="33"/>
  <c r="CI29" i="33"/>
  <c r="CJ29" i="33"/>
  <c r="CK29" i="33"/>
  <c r="CL29" i="33"/>
  <c r="CM29" i="33"/>
  <c r="CN29" i="33"/>
  <c r="CO29" i="33"/>
  <c r="CP29" i="33"/>
  <c r="CQ29" i="33"/>
  <c r="CR29" i="33"/>
  <c r="CS29" i="33"/>
  <c r="CT29" i="33"/>
  <c r="CU29" i="33"/>
  <c r="CV29" i="33"/>
  <c r="CW29" i="33"/>
  <c r="CX29" i="33"/>
  <c r="CY29" i="33"/>
  <c r="CZ29" i="33"/>
  <c r="DA29" i="33"/>
  <c r="DB29" i="33"/>
  <c r="DC29" i="33"/>
  <c r="DD29" i="33"/>
  <c r="DE29" i="33"/>
  <c r="DF29" i="33"/>
  <c r="DG29" i="33"/>
  <c r="DH29" i="33"/>
  <c r="DI29" i="33"/>
  <c r="DJ29" i="33"/>
  <c r="DK29" i="33"/>
  <c r="DL29" i="33"/>
  <c r="DM29" i="33"/>
  <c r="DN29" i="33"/>
  <c r="DO29" i="33"/>
  <c r="DP29" i="33"/>
  <c r="DQ29" i="33"/>
  <c r="DR29" i="33"/>
  <c r="DS29" i="33"/>
  <c r="DT29" i="33"/>
  <c r="DU29" i="33"/>
  <c r="DV29" i="33"/>
  <c r="DW29" i="33"/>
  <c r="DX29" i="33"/>
  <c r="DY29" i="33"/>
  <c r="DZ29" i="33"/>
  <c r="EA29" i="33"/>
  <c r="I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AQ13" i="30"/>
  <c r="AR13" i="30"/>
  <c r="AS13" i="30"/>
  <c r="AT13" i="30"/>
  <c r="AU13" i="30"/>
  <c r="AV13" i="30"/>
  <c r="AW13" i="30"/>
  <c r="AX13" i="30"/>
  <c r="AY13" i="30"/>
  <c r="AZ13" i="30"/>
  <c r="BA13" i="30"/>
  <c r="BB13" i="30"/>
  <c r="BC13" i="30"/>
  <c r="BD13" i="30"/>
  <c r="BE13" i="30"/>
  <c r="BF13" i="30"/>
  <c r="BG13" i="30"/>
  <c r="BH13" i="30"/>
  <c r="BI13" i="30"/>
  <c r="BJ13" i="30"/>
  <c r="BK13" i="30"/>
  <c r="BL13" i="30"/>
  <c r="BM13" i="30"/>
  <c r="BN13" i="30"/>
  <c r="BO13" i="30"/>
  <c r="BP13" i="30"/>
  <c r="BQ13" i="30"/>
  <c r="BR13" i="30"/>
  <c r="BS13" i="30"/>
  <c r="BT13" i="30"/>
  <c r="BU13" i="30"/>
  <c r="BV13" i="30"/>
  <c r="BW13" i="30"/>
  <c r="BX13" i="30"/>
  <c r="BY13" i="30"/>
  <c r="BZ13" i="30"/>
  <c r="CA13" i="30"/>
  <c r="CB13" i="30"/>
  <c r="CC13" i="30"/>
  <c r="CD13" i="30"/>
  <c r="CE13" i="30"/>
  <c r="CF13" i="30"/>
  <c r="CG13" i="30"/>
  <c r="CH13" i="30"/>
  <c r="CI13" i="30"/>
  <c r="CJ13" i="30"/>
  <c r="CK13" i="30"/>
  <c r="CL13" i="30"/>
  <c r="CM13" i="30"/>
  <c r="CN13" i="30"/>
  <c r="CO13" i="30"/>
  <c r="CP13" i="30"/>
  <c r="CQ13" i="30"/>
  <c r="CR13" i="30"/>
  <c r="CS13" i="30"/>
  <c r="CT13" i="30"/>
  <c r="CU13" i="30"/>
  <c r="CV13" i="30"/>
  <c r="CW13" i="30"/>
  <c r="CX13" i="30"/>
  <c r="CY13" i="30"/>
  <c r="CZ13" i="30"/>
  <c r="DA13" i="30"/>
  <c r="DB13" i="30"/>
  <c r="DC13" i="30"/>
  <c r="DD13" i="30"/>
  <c r="DE13" i="30"/>
  <c r="DF13" i="30"/>
  <c r="DG13" i="30"/>
  <c r="DH13" i="30"/>
  <c r="DI13" i="30"/>
  <c r="DJ13" i="30"/>
  <c r="DK13" i="30"/>
  <c r="DL13" i="30"/>
  <c r="DM13" i="30"/>
  <c r="DN13" i="30"/>
  <c r="DO13" i="30"/>
  <c r="DP13" i="30"/>
  <c r="DQ13" i="30"/>
  <c r="DR13" i="30"/>
  <c r="DS13" i="30"/>
  <c r="DT13" i="30"/>
  <c r="DU13" i="30"/>
  <c r="DV13" i="30"/>
  <c r="DW13" i="30"/>
  <c r="DX13" i="30"/>
  <c r="DY13" i="30"/>
  <c r="DZ13" i="30"/>
  <c r="EA13" i="30"/>
  <c r="I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AE15" i="30"/>
  <c r="AF15" i="30"/>
  <c r="AG15" i="30"/>
  <c r="AH15" i="30"/>
  <c r="AI15" i="30"/>
  <c r="AJ15" i="30"/>
  <c r="AK15" i="30"/>
  <c r="AL15" i="30"/>
  <c r="AM15" i="30"/>
  <c r="AN15" i="30"/>
  <c r="AO15" i="30"/>
  <c r="AP15" i="30"/>
  <c r="AQ15" i="30"/>
  <c r="AR15" i="30"/>
  <c r="AS15" i="30"/>
  <c r="AT15" i="30"/>
  <c r="AU15" i="30"/>
  <c r="AV15" i="30"/>
  <c r="AW15" i="30"/>
  <c r="AX15" i="30"/>
  <c r="AY15" i="30"/>
  <c r="AZ15" i="30"/>
  <c r="BA15" i="30"/>
  <c r="BB15" i="30"/>
  <c r="BC15" i="30"/>
  <c r="BD15" i="30"/>
  <c r="BE15" i="30"/>
  <c r="BF15" i="30"/>
  <c r="BG15" i="30"/>
  <c r="BH15" i="30"/>
  <c r="BI15" i="30"/>
  <c r="BJ15" i="30"/>
  <c r="BK15" i="30"/>
  <c r="BL15" i="30"/>
  <c r="BM15" i="30"/>
  <c r="BN15" i="30"/>
  <c r="BO15" i="30"/>
  <c r="BP15" i="30"/>
  <c r="BQ15" i="30"/>
  <c r="BR15" i="30"/>
  <c r="BS15" i="30"/>
  <c r="BT15" i="30"/>
  <c r="BU15" i="30"/>
  <c r="BV15" i="30"/>
  <c r="BW15" i="30"/>
  <c r="BX15" i="30"/>
  <c r="BY15" i="30"/>
  <c r="BZ15" i="30"/>
  <c r="CA15" i="30"/>
  <c r="CB15" i="30"/>
  <c r="CC15" i="30"/>
  <c r="CD15" i="30"/>
  <c r="CE15" i="30"/>
  <c r="CF15" i="30"/>
  <c r="CG15" i="30"/>
  <c r="CH15" i="30"/>
  <c r="CI15" i="30"/>
  <c r="CJ15" i="30"/>
  <c r="CK15" i="30"/>
  <c r="CL15" i="30"/>
  <c r="CM15" i="30"/>
  <c r="CN15" i="30"/>
  <c r="CO15" i="30"/>
  <c r="CP15" i="30"/>
  <c r="CQ15" i="30"/>
  <c r="CR15" i="30"/>
  <c r="CS15" i="30"/>
  <c r="CT15" i="30"/>
  <c r="CU15" i="30"/>
  <c r="CV15" i="30"/>
  <c r="CW15" i="30"/>
  <c r="CX15" i="30"/>
  <c r="CY15" i="30"/>
  <c r="CZ15" i="30"/>
  <c r="DA15" i="30"/>
  <c r="DB15" i="30"/>
  <c r="DC15" i="30"/>
  <c r="DD15" i="30"/>
  <c r="DE15" i="30"/>
  <c r="DF15" i="30"/>
  <c r="DG15" i="30"/>
  <c r="DH15" i="30"/>
  <c r="DI15" i="30"/>
  <c r="DJ15" i="30"/>
  <c r="DK15" i="30"/>
  <c r="DL15" i="30"/>
  <c r="DM15" i="30"/>
  <c r="DN15" i="30"/>
  <c r="DO15" i="30"/>
  <c r="DP15" i="30"/>
  <c r="DQ15" i="30"/>
  <c r="DR15" i="30"/>
  <c r="DS15" i="30"/>
  <c r="DT15" i="30"/>
  <c r="DU15" i="30"/>
  <c r="DV15" i="30"/>
  <c r="DW15" i="30"/>
  <c r="DX15" i="30"/>
  <c r="DY15" i="30"/>
  <c r="DZ15" i="30"/>
  <c r="EA15" i="30"/>
  <c r="I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AD18" i="30"/>
  <c r="AE18" i="30"/>
  <c r="AF18" i="30"/>
  <c r="AG18" i="30"/>
  <c r="AH18" i="30"/>
  <c r="AI18" i="30"/>
  <c r="AJ18" i="30"/>
  <c r="AK18" i="30"/>
  <c r="AL18" i="30"/>
  <c r="AM18" i="30"/>
  <c r="AN18" i="30"/>
  <c r="AO18" i="30"/>
  <c r="AP18" i="30"/>
  <c r="AQ18" i="30"/>
  <c r="AR18" i="30"/>
  <c r="AS18" i="30"/>
  <c r="AT18" i="30"/>
  <c r="AU18" i="30"/>
  <c r="AV18" i="30"/>
  <c r="AW18" i="30"/>
  <c r="AX18" i="30"/>
  <c r="AY18" i="30"/>
  <c r="AZ18" i="30"/>
  <c r="BA18" i="30"/>
  <c r="BB18" i="30"/>
  <c r="BC18" i="30"/>
  <c r="BD18" i="30"/>
  <c r="BE18" i="30"/>
  <c r="BF18" i="30"/>
  <c r="BG18" i="30"/>
  <c r="BH18" i="30"/>
  <c r="BI18" i="30"/>
  <c r="BJ18" i="30"/>
  <c r="BK18" i="30"/>
  <c r="BL18" i="30"/>
  <c r="BM18" i="30"/>
  <c r="BN18" i="30"/>
  <c r="BO18" i="30"/>
  <c r="BP18" i="30"/>
  <c r="BQ18" i="30"/>
  <c r="BR18" i="30"/>
  <c r="BS18" i="30"/>
  <c r="BT18" i="30"/>
  <c r="BU18" i="30"/>
  <c r="BV18" i="30"/>
  <c r="BW18" i="30"/>
  <c r="BX18" i="30"/>
  <c r="BY18" i="30"/>
  <c r="BZ18" i="30"/>
  <c r="CA18" i="30"/>
  <c r="CB18" i="30"/>
  <c r="CC18" i="30"/>
  <c r="CD18" i="30"/>
  <c r="CE18" i="30"/>
  <c r="CF18" i="30"/>
  <c r="CG18" i="30"/>
  <c r="CH18" i="30"/>
  <c r="CI18" i="30"/>
  <c r="CJ18" i="30"/>
  <c r="CK18" i="30"/>
  <c r="CL18" i="30"/>
  <c r="CM18" i="30"/>
  <c r="CN18" i="30"/>
  <c r="CO18" i="30"/>
  <c r="CP18" i="30"/>
  <c r="CQ18" i="30"/>
  <c r="CR18" i="30"/>
  <c r="CS18" i="30"/>
  <c r="CT18" i="30"/>
  <c r="CU18" i="30"/>
  <c r="CV18" i="30"/>
  <c r="CW18" i="30"/>
  <c r="CX18" i="30"/>
  <c r="CY18" i="30"/>
  <c r="CZ18" i="30"/>
  <c r="DA18" i="30"/>
  <c r="DB18" i="30"/>
  <c r="DC18" i="30"/>
  <c r="DD18" i="30"/>
  <c r="DE18" i="30"/>
  <c r="DF18" i="30"/>
  <c r="DG18" i="30"/>
  <c r="DH18" i="30"/>
  <c r="DI18" i="30"/>
  <c r="DJ18" i="30"/>
  <c r="DK18" i="30"/>
  <c r="DL18" i="30"/>
  <c r="DM18" i="30"/>
  <c r="DN18" i="30"/>
  <c r="DO18" i="30"/>
  <c r="DP18" i="30"/>
  <c r="DQ18" i="30"/>
  <c r="DR18" i="30"/>
  <c r="DS18" i="30"/>
  <c r="DT18" i="30"/>
  <c r="DU18" i="30"/>
  <c r="DV18" i="30"/>
  <c r="DW18" i="30"/>
  <c r="DX18" i="30"/>
  <c r="DY18" i="30"/>
  <c r="DZ18" i="30"/>
  <c r="EA18" i="30"/>
  <c r="I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AE20" i="30"/>
  <c r="AF20" i="30"/>
  <c r="AG20" i="30"/>
  <c r="AH20" i="30"/>
  <c r="AI20" i="30"/>
  <c r="AJ20" i="30"/>
  <c r="AK20" i="30"/>
  <c r="AL20" i="30"/>
  <c r="AM20" i="30"/>
  <c r="AN20" i="30"/>
  <c r="AO20" i="30"/>
  <c r="AP20" i="30"/>
  <c r="AQ20" i="30"/>
  <c r="AR20" i="30"/>
  <c r="AS20" i="30"/>
  <c r="AT20" i="30"/>
  <c r="AU20" i="30"/>
  <c r="AV20" i="30"/>
  <c r="AW20" i="30"/>
  <c r="AX20" i="30"/>
  <c r="AY20" i="30"/>
  <c r="AZ20" i="30"/>
  <c r="BA20" i="30"/>
  <c r="BB20" i="30"/>
  <c r="BC20" i="30"/>
  <c r="BD20" i="30"/>
  <c r="BE20" i="30"/>
  <c r="BF20" i="30"/>
  <c r="BG20" i="30"/>
  <c r="BH20" i="30"/>
  <c r="BI20" i="30"/>
  <c r="BJ20" i="30"/>
  <c r="BK20" i="30"/>
  <c r="BL20" i="30"/>
  <c r="BM20" i="30"/>
  <c r="BN20" i="30"/>
  <c r="BO20" i="30"/>
  <c r="BP20" i="30"/>
  <c r="BQ20" i="30"/>
  <c r="BR20" i="30"/>
  <c r="BS20" i="30"/>
  <c r="BT20" i="30"/>
  <c r="BU20" i="30"/>
  <c r="BV20" i="30"/>
  <c r="BW20" i="30"/>
  <c r="BX20" i="30"/>
  <c r="BY20" i="30"/>
  <c r="BZ20" i="30"/>
  <c r="CA20" i="30"/>
  <c r="CB20" i="30"/>
  <c r="CC20" i="30"/>
  <c r="CD20" i="30"/>
  <c r="CE20" i="30"/>
  <c r="CF20" i="30"/>
  <c r="CG20" i="30"/>
  <c r="CH20" i="30"/>
  <c r="CI20" i="30"/>
  <c r="CJ20" i="30"/>
  <c r="CK20" i="30"/>
  <c r="CL20" i="30"/>
  <c r="CM20" i="30"/>
  <c r="CN20" i="30"/>
  <c r="CO20" i="30"/>
  <c r="CP20" i="30"/>
  <c r="CQ20" i="30"/>
  <c r="CR20" i="30"/>
  <c r="CS20" i="30"/>
  <c r="CT20" i="30"/>
  <c r="CU20" i="30"/>
  <c r="CV20" i="30"/>
  <c r="CW20" i="30"/>
  <c r="CX20" i="30"/>
  <c r="CY20" i="30"/>
  <c r="CZ20" i="30"/>
  <c r="DA20" i="30"/>
  <c r="DB20" i="30"/>
  <c r="DC20" i="30"/>
  <c r="DD20" i="30"/>
  <c r="DE20" i="30"/>
  <c r="DF20" i="30"/>
  <c r="DG20" i="30"/>
  <c r="DH20" i="30"/>
  <c r="DI20" i="30"/>
  <c r="DJ20" i="30"/>
  <c r="DK20" i="30"/>
  <c r="DL20" i="30"/>
  <c r="DM20" i="30"/>
  <c r="DN20" i="30"/>
  <c r="DO20" i="30"/>
  <c r="DP20" i="30"/>
  <c r="DQ20" i="30"/>
  <c r="DR20" i="30"/>
  <c r="DS20" i="30"/>
  <c r="DT20" i="30"/>
  <c r="DU20" i="30"/>
  <c r="DV20" i="30"/>
  <c r="DW20" i="30"/>
  <c r="DX20" i="30"/>
  <c r="DY20" i="30"/>
  <c r="DZ20" i="30"/>
  <c r="EA20" i="30"/>
  <c r="I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AE23" i="30"/>
  <c r="AF23" i="30"/>
  <c r="AG23" i="30"/>
  <c r="AH23" i="30"/>
  <c r="AI23" i="30"/>
  <c r="AJ23" i="30"/>
  <c r="AK23" i="30"/>
  <c r="AL23" i="30"/>
  <c r="AM23" i="30"/>
  <c r="AN23" i="30"/>
  <c r="AO23" i="30"/>
  <c r="AP23" i="30"/>
  <c r="AQ23" i="30"/>
  <c r="AR23" i="30"/>
  <c r="AS23" i="30"/>
  <c r="AT23" i="30"/>
  <c r="AU23" i="30"/>
  <c r="AV23" i="30"/>
  <c r="AW23" i="30"/>
  <c r="AX23" i="30"/>
  <c r="AY23" i="30"/>
  <c r="AZ23" i="30"/>
  <c r="BA23" i="30"/>
  <c r="BB23" i="30"/>
  <c r="BC23" i="30"/>
  <c r="BD23" i="30"/>
  <c r="BE23" i="30"/>
  <c r="BF23" i="30"/>
  <c r="BG23" i="30"/>
  <c r="BH23" i="30"/>
  <c r="BI23" i="30"/>
  <c r="BJ23" i="30"/>
  <c r="BK23" i="30"/>
  <c r="BL23" i="30"/>
  <c r="BM23" i="30"/>
  <c r="BN23" i="30"/>
  <c r="BO23" i="30"/>
  <c r="BP23" i="30"/>
  <c r="BQ23" i="30"/>
  <c r="BR23" i="30"/>
  <c r="BS23" i="30"/>
  <c r="BT23" i="30"/>
  <c r="BU23" i="30"/>
  <c r="BV23" i="30"/>
  <c r="BW23" i="30"/>
  <c r="BX23" i="30"/>
  <c r="BY23" i="30"/>
  <c r="BZ23" i="30"/>
  <c r="CA23" i="30"/>
  <c r="CB23" i="30"/>
  <c r="CC23" i="30"/>
  <c r="CD23" i="30"/>
  <c r="CE23" i="30"/>
  <c r="CF23" i="30"/>
  <c r="CG23" i="30"/>
  <c r="CH23" i="30"/>
  <c r="CI23" i="30"/>
  <c r="CJ23" i="30"/>
  <c r="CK23" i="30"/>
  <c r="CL23" i="30"/>
  <c r="CM23" i="30"/>
  <c r="CN23" i="30"/>
  <c r="CO23" i="30"/>
  <c r="CP23" i="30"/>
  <c r="CQ23" i="30"/>
  <c r="CR23" i="30"/>
  <c r="CS23" i="30"/>
  <c r="CT23" i="30"/>
  <c r="CU23" i="30"/>
  <c r="CV23" i="30"/>
  <c r="CW23" i="30"/>
  <c r="CX23" i="30"/>
  <c r="CY23" i="30"/>
  <c r="CZ23" i="30"/>
  <c r="DA23" i="30"/>
  <c r="DB23" i="30"/>
  <c r="DC23" i="30"/>
  <c r="DD23" i="30"/>
  <c r="DE23" i="30"/>
  <c r="DF23" i="30"/>
  <c r="DG23" i="30"/>
  <c r="DH23" i="30"/>
  <c r="DI23" i="30"/>
  <c r="DJ23" i="30"/>
  <c r="DK23" i="30"/>
  <c r="DL23" i="30"/>
  <c r="DM23" i="30"/>
  <c r="DN23" i="30"/>
  <c r="DO23" i="30"/>
  <c r="DP23" i="30"/>
  <c r="DQ23" i="30"/>
  <c r="DR23" i="30"/>
  <c r="DS23" i="30"/>
  <c r="DT23" i="30"/>
  <c r="DU23" i="30"/>
  <c r="DV23" i="30"/>
  <c r="DW23" i="30"/>
  <c r="DX23" i="30"/>
  <c r="DY23" i="30"/>
  <c r="DZ23" i="30"/>
  <c r="EA23" i="30"/>
  <c r="I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AE25" i="30"/>
  <c r="AF25" i="30"/>
  <c r="AG25" i="30"/>
  <c r="AH25" i="30"/>
  <c r="AI25" i="30"/>
  <c r="AJ25" i="30"/>
  <c r="AK25" i="30"/>
  <c r="AL25" i="30"/>
  <c r="AM25" i="30"/>
  <c r="AN25" i="30"/>
  <c r="AO25" i="30"/>
  <c r="AP25" i="30"/>
  <c r="AQ25" i="30"/>
  <c r="AR25" i="30"/>
  <c r="AS25" i="30"/>
  <c r="AT25" i="30"/>
  <c r="AU25" i="30"/>
  <c r="AV25" i="30"/>
  <c r="AW25" i="30"/>
  <c r="AX25" i="30"/>
  <c r="AY25" i="30"/>
  <c r="AZ25" i="30"/>
  <c r="BA25" i="30"/>
  <c r="BB25" i="30"/>
  <c r="BC25" i="30"/>
  <c r="BD25" i="30"/>
  <c r="BE25" i="30"/>
  <c r="BF25" i="30"/>
  <c r="BG25" i="30"/>
  <c r="BH25" i="30"/>
  <c r="BI25" i="30"/>
  <c r="BJ25" i="30"/>
  <c r="BK25" i="30"/>
  <c r="BL25" i="30"/>
  <c r="BM25" i="30"/>
  <c r="BN25" i="30"/>
  <c r="BO25" i="30"/>
  <c r="BP25" i="30"/>
  <c r="BQ25" i="30"/>
  <c r="BR25" i="30"/>
  <c r="BS25" i="30"/>
  <c r="BT25" i="30"/>
  <c r="BU25" i="30"/>
  <c r="BV25" i="30"/>
  <c r="BW25" i="30"/>
  <c r="BX25" i="30"/>
  <c r="BY25" i="30"/>
  <c r="BZ25" i="30"/>
  <c r="CA25" i="30"/>
  <c r="CB25" i="30"/>
  <c r="CC25" i="30"/>
  <c r="CD25" i="30"/>
  <c r="CE25" i="30"/>
  <c r="CF25" i="30"/>
  <c r="CG25" i="30"/>
  <c r="CH25" i="30"/>
  <c r="CI25" i="30"/>
  <c r="CJ25" i="30"/>
  <c r="CK25" i="30"/>
  <c r="CL25" i="30"/>
  <c r="CM25" i="30"/>
  <c r="CN25" i="30"/>
  <c r="CO25" i="30"/>
  <c r="CP25" i="30"/>
  <c r="CQ25" i="30"/>
  <c r="CR25" i="30"/>
  <c r="CS25" i="30"/>
  <c r="CT25" i="30"/>
  <c r="CU25" i="30"/>
  <c r="CV25" i="30"/>
  <c r="CW25" i="30"/>
  <c r="CX25" i="30"/>
  <c r="CY25" i="30"/>
  <c r="CZ25" i="30"/>
  <c r="DA25" i="30"/>
  <c r="DB25" i="30"/>
  <c r="DC25" i="30"/>
  <c r="DD25" i="30"/>
  <c r="DE25" i="30"/>
  <c r="DF25" i="30"/>
  <c r="DG25" i="30"/>
  <c r="DH25" i="30"/>
  <c r="DI25" i="30"/>
  <c r="DJ25" i="30"/>
  <c r="DK25" i="30"/>
  <c r="DL25" i="30"/>
  <c r="DM25" i="30"/>
  <c r="DN25" i="30"/>
  <c r="DO25" i="30"/>
  <c r="DP25" i="30"/>
  <c r="DQ25" i="30"/>
  <c r="DR25" i="30"/>
  <c r="DS25" i="30"/>
  <c r="DT25" i="30"/>
  <c r="DU25" i="30"/>
  <c r="DV25" i="30"/>
  <c r="DW25" i="30"/>
  <c r="DX25" i="30"/>
  <c r="DY25" i="30"/>
  <c r="DZ25" i="30"/>
  <c r="EA25" i="30"/>
  <c r="I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AE27" i="30"/>
  <c r="AF27" i="30"/>
  <c r="AG27" i="30"/>
  <c r="AH27" i="30"/>
  <c r="AI27" i="30"/>
  <c r="AJ27" i="30"/>
  <c r="AK27" i="30"/>
  <c r="AL27" i="30"/>
  <c r="AM27" i="30"/>
  <c r="AN27" i="30"/>
  <c r="AO27" i="30"/>
  <c r="AP27" i="30"/>
  <c r="AQ27" i="30"/>
  <c r="AR27" i="30"/>
  <c r="AS27" i="30"/>
  <c r="AT27" i="30"/>
  <c r="AU27" i="30"/>
  <c r="AV27" i="30"/>
  <c r="AW27" i="30"/>
  <c r="AX27" i="30"/>
  <c r="AY27" i="30"/>
  <c r="AZ27" i="30"/>
  <c r="BA27" i="30"/>
  <c r="BB27" i="30"/>
  <c r="BC27" i="30"/>
  <c r="BD27" i="30"/>
  <c r="BE27" i="30"/>
  <c r="BF27" i="30"/>
  <c r="BG27" i="30"/>
  <c r="BH27" i="30"/>
  <c r="BI27" i="30"/>
  <c r="BJ27" i="30"/>
  <c r="BK27" i="30"/>
  <c r="BL27" i="30"/>
  <c r="BM27" i="30"/>
  <c r="BN27" i="30"/>
  <c r="BO27" i="30"/>
  <c r="BP27" i="30"/>
  <c r="BQ27" i="30"/>
  <c r="BR27" i="30"/>
  <c r="BS27" i="30"/>
  <c r="BT27" i="30"/>
  <c r="BU27" i="30"/>
  <c r="BV27" i="30"/>
  <c r="BW27" i="30"/>
  <c r="BX27" i="30"/>
  <c r="BY27" i="30"/>
  <c r="BZ27" i="30"/>
  <c r="CA27" i="30"/>
  <c r="CB27" i="30"/>
  <c r="CC27" i="30"/>
  <c r="CD27" i="30"/>
  <c r="CE27" i="30"/>
  <c r="CF27" i="30"/>
  <c r="CG27" i="30"/>
  <c r="CH27" i="30"/>
  <c r="CI27" i="30"/>
  <c r="CJ27" i="30"/>
  <c r="CK27" i="30"/>
  <c r="CL27" i="30"/>
  <c r="CM27" i="30"/>
  <c r="CN27" i="30"/>
  <c r="CO27" i="30"/>
  <c r="CP27" i="30"/>
  <c r="CQ27" i="30"/>
  <c r="CR27" i="30"/>
  <c r="CS27" i="30"/>
  <c r="CT27" i="30"/>
  <c r="CU27" i="30"/>
  <c r="CV27" i="30"/>
  <c r="CW27" i="30"/>
  <c r="CX27" i="30"/>
  <c r="CY27" i="30"/>
  <c r="CZ27" i="30"/>
  <c r="DA27" i="30"/>
  <c r="DB27" i="30"/>
  <c r="DC27" i="30"/>
  <c r="DD27" i="30"/>
  <c r="DE27" i="30"/>
  <c r="DF27" i="30"/>
  <c r="DG27" i="30"/>
  <c r="DH27" i="30"/>
  <c r="DI27" i="30"/>
  <c r="DJ27" i="30"/>
  <c r="DK27" i="30"/>
  <c r="DL27" i="30"/>
  <c r="DM27" i="30"/>
  <c r="DN27" i="30"/>
  <c r="DO27" i="30"/>
  <c r="DP27" i="30"/>
  <c r="DQ27" i="30"/>
  <c r="DR27" i="30"/>
  <c r="DS27" i="30"/>
  <c r="DT27" i="30"/>
  <c r="DU27" i="30"/>
  <c r="DV27" i="30"/>
  <c r="DW27" i="30"/>
  <c r="DX27" i="30"/>
  <c r="DY27" i="30"/>
  <c r="DZ27" i="30"/>
  <c r="EA27" i="30"/>
  <c r="I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AD28" i="30"/>
  <c r="AE28" i="30"/>
  <c r="AF28" i="30"/>
  <c r="AG28" i="30"/>
  <c r="AH28" i="30"/>
  <c r="AI28" i="30"/>
  <c r="AJ28" i="30"/>
  <c r="AK28" i="30"/>
  <c r="AL28" i="30"/>
  <c r="AM28" i="30"/>
  <c r="AN28" i="30"/>
  <c r="AO28" i="30"/>
  <c r="AP28" i="30"/>
  <c r="AQ28" i="30"/>
  <c r="AR28" i="30"/>
  <c r="AS28" i="30"/>
  <c r="AT28" i="30"/>
  <c r="AU28" i="30"/>
  <c r="AV28" i="30"/>
  <c r="AW28" i="30"/>
  <c r="AX28" i="30"/>
  <c r="AY28" i="30"/>
  <c r="AZ28" i="30"/>
  <c r="BA28" i="30"/>
  <c r="BB28" i="30"/>
  <c r="BC28" i="30"/>
  <c r="BD28" i="30"/>
  <c r="BE28" i="30"/>
  <c r="BF28" i="30"/>
  <c r="BG28" i="30"/>
  <c r="BH28" i="30"/>
  <c r="BI28" i="30"/>
  <c r="BJ28" i="30"/>
  <c r="BK28" i="30"/>
  <c r="BL28" i="30"/>
  <c r="BM28" i="30"/>
  <c r="BN28" i="30"/>
  <c r="BO28" i="30"/>
  <c r="BP28" i="30"/>
  <c r="BQ28" i="30"/>
  <c r="BR28" i="30"/>
  <c r="BS28" i="30"/>
  <c r="BT28" i="30"/>
  <c r="BU28" i="30"/>
  <c r="BV28" i="30"/>
  <c r="BW28" i="30"/>
  <c r="BX28" i="30"/>
  <c r="BY28" i="30"/>
  <c r="BZ28" i="30"/>
  <c r="CA28" i="30"/>
  <c r="CB28" i="30"/>
  <c r="CC28" i="30"/>
  <c r="CD28" i="30"/>
  <c r="CE28" i="30"/>
  <c r="CF28" i="30"/>
  <c r="CG28" i="30"/>
  <c r="CH28" i="30"/>
  <c r="CI28" i="30"/>
  <c r="CJ28" i="30"/>
  <c r="CK28" i="30"/>
  <c r="CL28" i="30"/>
  <c r="CM28" i="30"/>
  <c r="CN28" i="30"/>
  <c r="CO28" i="30"/>
  <c r="CP28" i="30"/>
  <c r="CQ28" i="30"/>
  <c r="CR28" i="30"/>
  <c r="CS28" i="30"/>
  <c r="CT28" i="30"/>
  <c r="CU28" i="30"/>
  <c r="CV28" i="30"/>
  <c r="CW28" i="30"/>
  <c r="CX28" i="30"/>
  <c r="CY28" i="30"/>
  <c r="CZ28" i="30"/>
  <c r="DA28" i="30"/>
  <c r="DB28" i="30"/>
  <c r="DC28" i="30"/>
  <c r="DD28" i="30"/>
  <c r="DE28" i="30"/>
  <c r="DF28" i="30"/>
  <c r="DG28" i="30"/>
  <c r="DH28" i="30"/>
  <c r="DI28" i="30"/>
  <c r="DJ28" i="30"/>
  <c r="DK28" i="30"/>
  <c r="DL28" i="30"/>
  <c r="DM28" i="30"/>
  <c r="DN28" i="30"/>
  <c r="DO28" i="30"/>
  <c r="DP28" i="30"/>
  <c r="DQ28" i="30"/>
  <c r="DR28" i="30"/>
  <c r="DS28" i="30"/>
  <c r="DT28" i="30"/>
  <c r="DU28" i="30"/>
  <c r="DV28" i="30"/>
  <c r="DW28" i="30"/>
  <c r="DX28" i="30"/>
  <c r="DY28" i="30"/>
  <c r="DZ28" i="30"/>
  <c r="EA28" i="30"/>
  <c r="E31" i="30"/>
  <c r="I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AE31" i="30"/>
  <c r="AF31" i="30"/>
  <c r="AG31" i="30"/>
  <c r="AH31" i="30"/>
  <c r="AI31" i="30"/>
  <c r="AJ31" i="30"/>
  <c r="AK31" i="30"/>
  <c r="AL31" i="30"/>
  <c r="AM31" i="30"/>
  <c r="AN31" i="30"/>
  <c r="AO31" i="30"/>
  <c r="AP31" i="30"/>
  <c r="AQ31" i="30"/>
  <c r="AR31" i="30"/>
  <c r="AS31" i="30"/>
  <c r="AT31" i="30"/>
  <c r="AU31" i="30"/>
  <c r="AV31" i="30"/>
  <c r="AW31" i="30"/>
  <c r="AX31" i="30"/>
  <c r="AY31" i="30"/>
  <c r="AZ31" i="30"/>
  <c r="BA31" i="30"/>
  <c r="BB31" i="30"/>
  <c r="BC31" i="30"/>
  <c r="BD31" i="30"/>
  <c r="BE31" i="30"/>
  <c r="BF31" i="30"/>
  <c r="BG31" i="30"/>
  <c r="BH31" i="30"/>
  <c r="BI31" i="30"/>
  <c r="BJ31" i="30"/>
  <c r="BK31" i="30"/>
  <c r="BL31" i="30"/>
  <c r="BM31" i="30"/>
  <c r="BN31" i="30"/>
  <c r="BO31" i="30"/>
  <c r="BP31" i="30"/>
  <c r="BQ31" i="30"/>
  <c r="BR31" i="30"/>
  <c r="BS31" i="30"/>
  <c r="BT31" i="30"/>
  <c r="BU31" i="30"/>
  <c r="BV31" i="30"/>
  <c r="BW31" i="30"/>
  <c r="BX31" i="30"/>
  <c r="BY31" i="30"/>
  <c r="BZ31" i="30"/>
  <c r="CA31" i="30"/>
  <c r="CB31" i="30"/>
  <c r="CC31" i="30"/>
  <c r="CD31" i="30"/>
  <c r="CE31" i="30"/>
  <c r="CF31" i="30"/>
  <c r="CG31" i="30"/>
  <c r="CH31" i="30"/>
  <c r="CI31" i="30"/>
  <c r="CJ31" i="30"/>
  <c r="CK31" i="30"/>
  <c r="CL31" i="30"/>
  <c r="CM31" i="30"/>
  <c r="CN31" i="30"/>
  <c r="CO31" i="30"/>
  <c r="CP31" i="30"/>
  <c r="CQ31" i="30"/>
  <c r="CR31" i="30"/>
  <c r="CS31" i="30"/>
  <c r="CT31" i="30"/>
  <c r="CU31" i="30"/>
  <c r="CV31" i="30"/>
  <c r="CW31" i="30"/>
  <c r="CX31" i="30"/>
  <c r="CY31" i="30"/>
  <c r="CZ31" i="30"/>
  <c r="DA31" i="30"/>
  <c r="DB31" i="30"/>
  <c r="DC31" i="30"/>
  <c r="DD31" i="30"/>
  <c r="DE31" i="30"/>
  <c r="DF31" i="30"/>
  <c r="DG31" i="30"/>
  <c r="DH31" i="30"/>
  <c r="DI31" i="30"/>
  <c r="DJ31" i="30"/>
  <c r="DK31" i="30"/>
  <c r="DL31" i="30"/>
  <c r="DM31" i="30"/>
  <c r="DN31" i="30"/>
  <c r="DO31" i="30"/>
  <c r="DP31" i="30"/>
  <c r="DQ31" i="30"/>
  <c r="DR31" i="30"/>
  <c r="DS31" i="30"/>
  <c r="DT31" i="30"/>
  <c r="DU31" i="30"/>
  <c r="DV31" i="30"/>
  <c r="DW31" i="30"/>
  <c r="DX31" i="30"/>
  <c r="DY31" i="30"/>
  <c r="DZ31" i="30"/>
  <c r="EA31" i="30"/>
  <c r="E32" i="30"/>
  <c r="I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AE33" i="30"/>
  <c r="AF33" i="30"/>
  <c r="AG33" i="30"/>
  <c r="AH33" i="30"/>
  <c r="AI33" i="30"/>
  <c r="AJ33" i="30"/>
  <c r="AK33" i="30"/>
  <c r="AL33" i="30"/>
  <c r="AM33" i="30"/>
  <c r="AN33" i="30"/>
  <c r="AO33" i="30"/>
  <c r="AP33" i="30"/>
  <c r="AQ33" i="30"/>
  <c r="AR33" i="30"/>
  <c r="AS33" i="30"/>
  <c r="AT33" i="30"/>
  <c r="AU33" i="30"/>
  <c r="AV33" i="30"/>
  <c r="AW33" i="30"/>
  <c r="AX33" i="30"/>
  <c r="AY33" i="30"/>
  <c r="AZ33" i="30"/>
  <c r="BA33" i="30"/>
  <c r="BB33" i="30"/>
  <c r="BC33" i="30"/>
  <c r="BD33" i="30"/>
  <c r="BE33" i="30"/>
  <c r="BF33" i="30"/>
  <c r="BG33" i="30"/>
  <c r="BH33" i="30"/>
  <c r="BI33" i="30"/>
  <c r="BJ33" i="30"/>
  <c r="BK33" i="30"/>
  <c r="BL33" i="30"/>
  <c r="BM33" i="30"/>
  <c r="BN33" i="30"/>
  <c r="BO33" i="30"/>
  <c r="BP33" i="30"/>
  <c r="BQ33" i="30"/>
  <c r="BR33" i="30"/>
  <c r="BS33" i="30"/>
  <c r="BT33" i="30"/>
  <c r="BU33" i="30"/>
  <c r="BV33" i="30"/>
  <c r="BW33" i="30"/>
  <c r="BX33" i="30"/>
  <c r="BY33" i="30"/>
  <c r="BZ33" i="30"/>
  <c r="CA33" i="30"/>
  <c r="CB33" i="30"/>
  <c r="CC33" i="30"/>
  <c r="CD33" i="30"/>
  <c r="CE33" i="30"/>
  <c r="CF33" i="30"/>
  <c r="CG33" i="30"/>
  <c r="CH33" i="30"/>
  <c r="CI33" i="30"/>
  <c r="CJ33" i="30"/>
  <c r="CK33" i="30"/>
  <c r="CL33" i="30"/>
  <c r="CM33" i="30"/>
  <c r="CN33" i="30"/>
  <c r="CO33" i="30"/>
  <c r="CP33" i="30"/>
  <c r="CQ33" i="30"/>
  <c r="CR33" i="30"/>
  <c r="CS33" i="30"/>
  <c r="CT33" i="30"/>
  <c r="CU33" i="30"/>
  <c r="CV33" i="30"/>
  <c r="CW33" i="30"/>
  <c r="CX33" i="30"/>
  <c r="CY33" i="30"/>
  <c r="CZ33" i="30"/>
  <c r="DA33" i="30"/>
  <c r="DB33" i="30"/>
  <c r="DC33" i="30"/>
  <c r="DD33" i="30"/>
  <c r="DE33" i="30"/>
  <c r="DF33" i="30"/>
  <c r="DG33" i="30"/>
  <c r="DH33" i="30"/>
  <c r="DI33" i="30"/>
  <c r="DJ33" i="30"/>
  <c r="DK33" i="30"/>
  <c r="DL33" i="30"/>
  <c r="DM33" i="30"/>
  <c r="DN33" i="30"/>
  <c r="DO33" i="30"/>
  <c r="DP33" i="30"/>
  <c r="DQ33" i="30"/>
  <c r="DR33" i="30"/>
  <c r="DS33" i="30"/>
  <c r="DT33" i="30"/>
  <c r="DU33" i="30"/>
  <c r="DV33" i="30"/>
  <c r="DW33" i="30"/>
  <c r="DX33" i="30"/>
  <c r="DY33" i="30"/>
  <c r="DZ33" i="30"/>
  <c r="EA33" i="30"/>
  <c r="I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AD34" i="30"/>
  <c r="AE34" i="30"/>
  <c r="AF34" i="30"/>
  <c r="AG34" i="30"/>
  <c r="AH34" i="30"/>
  <c r="AI34" i="30"/>
  <c r="AJ34" i="30"/>
  <c r="AK34" i="30"/>
  <c r="AL34" i="30"/>
  <c r="AM34" i="30"/>
  <c r="AN34" i="30"/>
  <c r="AO34" i="30"/>
  <c r="AP34" i="30"/>
  <c r="AQ34" i="30"/>
  <c r="AR34" i="30"/>
  <c r="AS34" i="30"/>
  <c r="AT34" i="30"/>
  <c r="AU34" i="30"/>
  <c r="AV34" i="30"/>
  <c r="AW34" i="30"/>
  <c r="AX34" i="30"/>
  <c r="AY34" i="30"/>
  <c r="AZ34" i="30"/>
  <c r="BA34" i="30"/>
  <c r="BB34" i="30"/>
  <c r="BC34" i="30"/>
  <c r="BD34" i="30"/>
  <c r="BE34" i="30"/>
  <c r="BF34" i="30"/>
  <c r="BG34" i="30"/>
  <c r="BH34" i="30"/>
  <c r="BI34" i="30"/>
  <c r="BJ34" i="30"/>
  <c r="BK34" i="30"/>
  <c r="BL34" i="30"/>
  <c r="BM34" i="30"/>
  <c r="BN34" i="30"/>
  <c r="BO34" i="30"/>
  <c r="BP34" i="30"/>
  <c r="BQ34" i="30"/>
  <c r="BR34" i="30"/>
  <c r="BS34" i="30"/>
  <c r="BT34" i="30"/>
  <c r="BU34" i="30"/>
  <c r="BV34" i="30"/>
  <c r="BW34" i="30"/>
  <c r="BX34" i="30"/>
  <c r="BY34" i="30"/>
  <c r="BZ34" i="30"/>
  <c r="CA34" i="30"/>
  <c r="CB34" i="30"/>
  <c r="CC34" i="30"/>
  <c r="CD34" i="30"/>
  <c r="CE34" i="30"/>
  <c r="CF34" i="30"/>
  <c r="CG34" i="30"/>
  <c r="CH34" i="30"/>
  <c r="CI34" i="30"/>
  <c r="CJ34" i="30"/>
  <c r="CK34" i="30"/>
  <c r="CL34" i="30"/>
  <c r="CM34" i="30"/>
  <c r="CN34" i="30"/>
  <c r="CO34" i="30"/>
  <c r="CP34" i="30"/>
  <c r="CQ34" i="30"/>
  <c r="CR34" i="30"/>
  <c r="CS34" i="30"/>
  <c r="CT34" i="30"/>
  <c r="CU34" i="30"/>
  <c r="CV34" i="30"/>
  <c r="CW34" i="30"/>
  <c r="CX34" i="30"/>
  <c r="CY34" i="30"/>
  <c r="CZ34" i="30"/>
  <c r="DA34" i="30"/>
  <c r="DB34" i="30"/>
  <c r="DC34" i="30"/>
  <c r="DD34" i="30"/>
  <c r="DE34" i="30"/>
  <c r="DF34" i="30"/>
  <c r="DG34" i="30"/>
  <c r="DH34" i="30"/>
  <c r="DI34" i="30"/>
  <c r="DJ34" i="30"/>
  <c r="DK34" i="30"/>
  <c r="DL34" i="30"/>
  <c r="DM34" i="30"/>
  <c r="DN34" i="30"/>
  <c r="DO34" i="30"/>
  <c r="DP34" i="30"/>
  <c r="DQ34" i="30"/>
  <c r="DR34" i="30"/>
  <c r="DS34" i="30"/>
  <c r="DT34" i="30"/>
  <c r="DU34" i="30"/>
  <c r="DV34" i="30"/>
  <c r="DW34" i="30"/>
  <c r="DX34" i="30"/>
  <c r="DY34" i="30"/>
  <c r="DZ34" i="30"/>
  <c r="EA34" i="30"/>
  <c r="I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AH36" i="30"/>
  <c r="AI36" i="30"/>
  <c r="AJ36" i="30"/>
  <c r="AK36" i="30"/>
  <c r="AL36" i="30"/>
  <c r="AM36" i="30"/>
  <c r="AN36" i="30"/>
  <c r="AO36" i="30"/>
  <c r="AP36" i="30"/>
  <c r="AQ36" i="30"/>
  <c r="AR36" i="30"/>
  <c r="AS36" i="30"/>
  <c r="AT36" i="30"/>
  <c r="AU36" i="30"/>
  <c r="AV36" i="30"/>
  <c r="AW36" i="30"/>
  <c r="AX36" i="30"/>
  <c r="AY36" i="30"/>
  <c r="AZ36" i="30"/>
  <c r="BA36" i="30"/>
  <c r="BB36" i="30"/>
  <c r="BC36" i="30"/>
  <c r="BD36" i="30"/>
  <c r="BE36" i="30"/>
  <c r="BF36" i="30"/>
  <c r="BG36" i="30"/>
  <c r="BH36" i="30"/>
  <c r="BI36" i="30"/>
  <c r="BJ36" i="30"/>
  <c r="BK36" i="30"/>
  <c r="BL36" i="30"/>
  <c r="BM36" i="30"/>
  <c r="BN36" i="30"/>
  <c r="BO36" i="30"/>
  <c r="BP36" i="30"/>
  <c r="BQ36" i="30"/>
  <c r="BR36" i="30"/>
  <c r="BS36" i="30"/>
  <c r="BT36" i="30"/>
  <c r="BU36" i="30"/>
  <c r="BV36" i="30"/>
  <c r="BW36" i="30"/>
  <c r="BX36" i="30"/>
  <c r="BY36" i="30"/>
  <c r="BZ36" i="30"/>
  <c r="CA36" i="30"/>
  <c r="CB36" i="30"/>
  <c r="CC36" i="30"/>
  <c r="CD36" i="30"/>
  <c r="CE36" i="30"/>
  <c r="CF36" i="30"/>
  <c r="CG36" i="30"/>
  <c r="CH36" i="30"/>
  <c r="CI36" i="30"/>
  <c r="CJ36" i="30"/>
  <c r="CK36" i="30"/>
  <c r="CL36" i="30"/>
  <c r="CM36" i="30"/>
  <c r="CN36" i="30"/>
  <c r="CO36" i="30"/>
  <c r="CP36" i="30"/>
  <c r="CQ36" i="30"/>
  <c r="CR36" i="30"/>
  <c r="CS36" i="30"/>
  <c r="CT36" i="30"/>
  <c r="CU36" i="30"/>
  <c r="CV36" i="30"/>
  <c r="CW36" i="30"/>
  <c r="CX36" i="30"/>
  <c r="CY36" i="30"/>
  <c r="CZ36" i="30"/>
  <c r="DA36" i="30"/>
  <c r="DB36" i="30"/>
  <c r="DC36" i="30"/>
  <c r="DD36" i="30"/>
  <c r="DE36" i="30"/>
  <c r="DF36" i="30"/>
  <c r="DG36" i="30"/>
  <c r="DH36" i="30"/>
  <c r="DI36" i="30"/>
  <c r="DJ36" i="30"/>
  <c r="DK36" i="30"/>
  <c r="DL36" i="30"/>
  <c r="DM36" i="30"/>
  <c r="DN36" i="30"/>
  <c r="DO36" i="30"/>
  <c r="DP36" i="30"/>
  <c r="DQ36" i="30"/>
  <c r="DR36" i="30"/>
  <c r="DS36" i="30"/>
  <c r="DT36" i="30"/>
  <c r="DU36" i="30"/>
  <c r="DV36" i="30"/>
  <c r="DW36" i="30"/>
  <c r="DX36" i="30"/>
  <c r="DY36" i="30"/>
  <c r="DZ36" i="30"/>
  <c r="EA36" i="30"/>
  <c r="I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AD37" i="30"/>
  <c r="AE37" i="30"/>
  <c r="AF37" i="30"/>
  <c r="AG37" i="30"/>
  <c r="AH37" i="30"/>
  <c r="AI37" i="30"/>
  <c r="AJ37" i="30"/>
  <c r="AK37" i="30"/>
  <c r="AL37" i="30"/>
  <c r="AM37" i="30"/>
  <c r="AN37" i="30"/>
  <c r="AO37" i="30"/>
  <c r="AP37" i="30"/>
  <c r="AQ37" i="30"/>
  <c r="AR37" i="30"/>
  <c r="AS37" i="30"/>
  <c r="AT37" i="30"/>
  <c r="AU37" i="30"/>
  <c r="AV37" i="30"/>
  <c r="AW37" i="30"/>
  <c r="AX37" i="30"/>
  <c r="AY37" i="30"/>
  <c r="AZ37" i="30"/>
  <c r="BA37" i="30"/>
  <c r="BB37" i="30"/>
  <c r="BC37" i="30"/>
  <c r="BD37" i="30"/>
  <c r="BE37" i="30"/>
  <c r="BF37" i="30"/>
  <c r="BG37" i="30"/>
  <c r="BH37" i="30"/>
  <c r="BI37" i="30"/>
  <c r="BJ37" i="30"/>
  <c r="BK37" i="30"/>
  <c r="BL37" i="30"/>
  <c r="BM37" i="30"/>
  <c r="BN37" i="30"/>
  <c r="BO37" i="30"/>
  <c r="BP37" i="30"/>
  <c r="BQ37" i="30"/>
  <c r="BR37" i="30"/>
  <c r="BS37" i="30"/>
  <c r="BT37" i="30"/>
  <c r="BU37" i="30"/>
  <c r="BV37" i="30"/>
  <c r="BW37" i="30"/>
  <c r="BX37" i="30"/>
  <c r="BY37" i="30"/>
  <c r="BZ37" i="30"/>
  <c r="CA37" i="30"/>
  <c r="CB37" i="30"/>
  <c r="CC37" i="30"/>
  <c r="CD37" i="30"/>
  <c r="CE37" i="30"/>
  <c r="CF37" i="30"/>
  <c r="CG37" i="30"/>
  <c r="CH37" i="30"/>
  <c r="CI37" i="30"/>
  <c r="CJ37" i="30"/>
  <c r="CK37" i="30"/>
  <c r="CL37" i="30"/>
  <c r="CM37" i="30"/>
  <c r="CN37" i="30"/>
  <c r="CO37" i="30"/>
  <c r="CP37" i="30"/>
  <c r="CQ37" i="30"/>
  <c r="CR37" i="30"/>
  <c r="CS37" i="30"/>
  <c r="CT37" i="30"/>
  <c r="CU37" i="30"/>
  <c r="CV37" i="30"/>
  <c r="CW37" i="30"/>
  <c r="CX37" i="30"/>
  <c r="CY37" i="30"/>
  <c r="CZ37" i="30"/>
  <c r="DA37" i="30"/>
  <c r="DB37" i="30"/>
  <c r="DC37" i="30"/>
  <c r="DD37" i="30"/>
  <c r="DE37" i="30"/>
  <c r="DF37" i="30"/>
  <c r="DG37" i="30"/>
  <c r="DH37" i="30"/>
  <c r="DI37" i="30"/>
  <c r="DJ37" i="30"/>
  <c r="DK37" i="30"/>
  <c r="DL37" i="30"/>
  <c r="DM37" i="30"/>
  <c r="DN37" i="30"/>
  <c r="DO37" i="30"/>
  <c r="DP37" i="30"/>
  <c r="DQ37" i="30"/>
  <c r="DR37" i="30"/>
  <c r="DS37" i="30"/>
  <c r="DT37" i="30"/>
  <c r="DU37" i="30"/>
  <c r="DV37" i="30"/>
  <c r="DW37" i="30"/>
  <c r="DX37" i="30"/>
  <c r="DY37" i="30"/>
  <c r="DZ37" i="30"/>
  <c r="EA37" i="30"/>
  <c r="I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AD43" i="30"/>
  <c r="AE43" i="30"/>
  <c r="AF43" i="30"/>
  <c r="AG43" i="30"/>
  <c r="AH43" i="30"/>
  <c r="AI43" i="30"/>
  <c r="AJ43" i="30"/>
  <c r="AK43" i="30"/>
  <c r="AL43" i="30"/>
  <c r="AM43" i="30"/>
  <c r="AN43" i="30"/>
  <c r="AO43" i="30"/>
  <c r="AP43" i="30"/>
  <c r="AQ43" i="30"/>
  <c r="AR43" i="30"/>
  <c r="AS43" i="30"/>
  <c r="AT43" i="30"/>
  <c r="AU43" i="30"/>
  <c r="AV43" i="30"/>
  <c r="AW43" i="30"/>
  <c r="AX43" i="30"/>
  <c r="AY43" i="30"/>
  <c r="AZ43" i="30"/>
  <c r="BA43" i="30"/>
  <c r="BB43" i="30"/>
  <c r="BC43" i="30"/>
  <c r="BD43" i="30"/>
  <c r="BE43" i="30"/>
  <c r="BF43" i="30"/>
  <c r="BG43" i="30"/>
  <c r="BH43" i="30"/>
  <c r="BI43" i="30"/>
  <c r="BJ43" i="30"/>
  <c r="BK43" i="30"/>
  <c r="BL43" i="30"/>
  <c r="BM43" i="30"/>
  <c r="BN43" i="30"/>
  <c r="BO43" i="30"/>
  <c r="BP43" i="30"/>
  <c r="BQ43" i="30"/>
  <c r="BR43" i="30"/>
  <c r="BS43" i="30"/>
  <c r="BT43" i="30"/>
  <c r="BU43" i="30"/>
  <c r="BV43" i="30"/>
  <c r="BW43" i="30"/>
  <c r="BX43" i="30"/>
  <c r="BY43" i="30"/>
  <c r="BZ43" i="30"/>
  <c r="CA43" i="30"/>
  <c r="CB43" i="30"/>
  <c r="CC43" i="30"/>
  <c r="CD43" i="30"/>
  <c r="CE43" i="30"/>
  <c r="CF43" i="30"/>
  <c r="CG43" i="30"/>
  <c r="CH43" i="30"/>
  <c r="CI43" i="30"/>
  <c r="CJ43" i="30"/>
  <c r="CK43" i="30"/>
  <c r="CL43" i="30"/>
  <c r="CM43" i="30"/>
  <c r="CN43" i="30"/>
  <c r="CO43" i="30"/>
  <c r="CP43" i="30"/>
  <c r="CQ43" i="30"/>
  <c r="CR43" i="30"/>
  <c r="CS43" i="30"/>
  <c r="CT43" i="30"/>
  <c r="CU43" i="30"/>
  <c r="CV43" i="30"/>
  <c r="CW43" i="30"/>
  <c r="CX43" i="30"/>
  <c r="CY43" i="30"/>
  <c r="CZ43" i="30"/>
  <c r="DA43" i="30"/>
  <c r="DB43" i="30"/>
  <c r="DC43" i="30"/>
  <c r="DD43" i="30"/>
  <c r="DE43" i="30"/>
  <c r="DF43" i="30"/>
  <c r="DG43" i="30"/>
  <c r="DH43" i="30"/>
  <c r="DI43" i="30"/>
  <c r="DJ43" i="30"/>
  <c r="DK43" i="30"/>
  <c r="DL43" i="30"/>
  <c r="DM43" i="30"/>
  <c r="DN43" i="30"/>
  <c r="DO43" i="30"/>
  <c r="DP43" i="30"/>
  <c r="DQ43" i="30"/>
  <c r="DR43" i="30"/>
  <c r="DS43" i="30"/>
  <c r="DT43" i="30"/>
  <c r="DU43" i="30"/>
  <c r="DV43" i="30"/>
  <c r="DW43" i="30"/>
  <c r="DX43" i="30"/>
  <c r="DY43" i="30"/>
  <c r="DZ43" i="30"/>
  <c r="EA43" i="30"/>
  <c r="I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AD44" i="30"/>
  <c r="AE44" i="30"/>
  <c r="AF44" i="30"/>
  <c r="AG44" i="30"/>
  <c r="AH44" i="30"/>
  <c r="AI44" i="30"/>
  <c r="AJ44" i="30"/>
  <c r="AK44" i="30"/>
  <c r="AL44" i="30"/>
  <c r="AM44" i="30"/>
  <c r="AN44" i="30"/>
  <c r="AO44" i="30"/>
  <c r="AP44" i="30"/>
  <c r="AQ44" i="30"/>
  <c r="AR44" i="30"/>
  <c r="AS44" i="30"/>
  <c r="AT44" i="30"/>
  <c r="AU44" i="30"/>
  <c r="AV44" i="30"/>
  <c r="AW44" i="30"/>
  <c r="AX44" i="30"/>
  <c r="AY44" i="30"/>
  <c r="AZ44" i="30"/>
  <c r="BA44" i="30"/>
  <c r="BB44" i="30"/>
  <c r="BC44" i="30"/>
  <c r="BD44" i="30"/>
  <c r="BE44" i="30"/>
  <c r="BF44" i="30"/>
  <c r="BG44" i="30"/>
  <c r="BH44" i="30"/>
  <c r="BI44" i="30"/>
  <c r="BJ44" i="30"/>
  <c r="BK44" i="30"/>
  <c r="BL44" i="30"/>
  <c r="BM44" i="30"/>
  <c r="BN44" i="30"/>
  <c r="BO44" i="30"/>
  <c r="BP44" i="30"/>
  <c r="BQ44" i="30"/>
  <c r="BR44" i="30"/>
  <c r="BS44" i="30"/>
  <c r="BT44" i="30"/>
  <c r="BU44" i="30"/>
  <c r="BV44" i="30"/>
  <c r="BW44" i="30"/>
  <c r="BX44" i="30"/>
  <c r="BY44" i="30"/>
  <c r="BZ44" i="30"/>
  <c r="CA44" i="30"/>
  <c r="CB44" i="30"/>
  <c r="CC44" i="30"/>
  <c r="CD44" i="30"/>
  <c r="CE44" i="30"/>
  <c r="CF44" i="30"/>
  <c r="CG44" i="30"/>
  <c r="CH44" i="30"/>
  <c r="CI44" i="30"/>
  <c r="CJ44" i="30"/>
  <c r="CK44" i="30"/>
  <c r="CL44" i="30"/>
  <c r="CM44" i="30"/>
  <c r="CN44" i="30"/>
  <c r="CO44" i="30"/>
  <c r="CP44" i="30"/>
  <c r="CQ44" i="30"/>
  <c r="CR44" i="30"/>
  <c r="CS44" i="30"/>
  <c r="CT44" i="30"/>
  <c r="CU44" i="30"/>
  <c r="CV44" i="30"/>
  <c r="CW44" i="30"/>
  <c r="CX44" i="30"/>
  <c r="CY44" i="30"/>
  <c r="CZ44" i="30"/>
  <c r="DA44" i="30"/>
  <c r="DB44" i="30"/>
  <c r="DC44" i="30"/>
  <c r="DD44" i="30"/>
  <c r="DE44" i="30"/>
  <c r="DF44" i="30"/>
  <c r="DG44" i="30"/>
  <c r="DH44" i="30"/>
  <c r="DI44" i="30"/>
  <c r="DJ44" i="30"/>
  <c r="DK44" i="30"/>
  <c r="DL44" i="30"/>
  <c r="DM44" i="30"/>
  <c r="DN44" i="30"/>
  <c r="DO44" i="30"/>
  <c r="DP44" i="30"/>
  <c r="DQ44" i="30"/>
  <c r="DR44" i="30"/>
  <c r="DS44" i="30"/>
  <c r="DT44" i="30"/>
  <c r="DU44" i="30"/>
  <c r="DV44" i="30"/>
  <c r="DW44" i="30"/>
  <c r="DX44" i="30"/>
  <c r="DY44" i="30"/>
  <c r="DZ44" i="30"/>
  <c r="EA44" i="30"/>
  <c r="I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AD48" i="30"/>
  <c r="AE48" i="30"/>
  <c r="AF48" i="30"/>
  <c r="AG48" i="30"/>
  <c r="AH48" i="30"/>
  <c r="AI48" i="30"/>
  <c r="AJ48" i="30"/>
  <c r="AK48" i="30"/>
  <c r="AL48" i="30"/>
  <c r="AM48" i="30"/>
  <c r="AN48" i="30"/>
  <c r="AO48" i="30"/>
  <c r="AP48" i="30"/>
  <c r="AQ48" i="30"/>
  <c r="AR48" i="30"/>
  <c r="AS48" i="30"/>
  <c r="AT48" i="30"/>
  <c r="AU48" i="30"/>
  <c r="AV48" i="30"/>
  <c r="AW48" i="30"/>
  <c r="AX48" i="30"/>
  <c r="AY48" i="30"/>
  <c r="AZ48" i="30"/>
  <c r="BA48" i="30"/>
  <c r="BB48" i="30"/>
  <c r="BC48" i="30"/>
  <c r="BD48" i="30"/>
  <c r="BE48" i="30"/>
  <c r="BF48" i="30"/>
  <c r="BG48" i="30"/>
  <c r="BH48" i="30"/>
  <c r="BI48" i="30"/>
  <c r="BJ48" i="30"/>
  <c r="BK48" i="30"/>
  <c r="BL48" i="30"/>
  <c r="BM48" i="30"/>
  <c r="BN48" i="30"/>
  <c r="BO48" i="30"/>
  <c r="BP48" i="30"/>
  <c r="BQ48" i="30"/>
  <c r="BR48" i="30"/>
  <c r="BS48" i="30"/>
  <c r="BT48" i="30"/>
  <c r="BU48" i="30"/>
  <c r="BV48" i="30"/>
  <c r="BW48" i="30"/>
  <c r="BX48" i="30"/>
  <c r="BY48" i="30"/>
  <c r="BZ48" i="30"/>
  <c r="CA48" i="30"/>
  <c r="CB48" i="30"/>
  <c r="CC48" i="30"/>
  <c r="CD48" i="30"/>
  <c r="CE48" i="30"/>
  <c r="CF48" i="30"/>
  <c r="CG48" i="30"/>
  <c r="CH48" i="30"/>
  <c r="CI48" i="30"/>
  <c r="CJ48" i="30"/>
  <c r="CK48" i="30"/>
  <c r="CL48" i="30"/>
  <c r="CM48" i="30"/>
  <c r="CN48" i="30"/>
  <c r="CO48" i="30"/>
  <c r="CP48" i="30"/>
  <c r="CQ48" i="30"/>
  <c r="CR48" i="30"/>
  <c r="CS48" i="30"/>
  <c r="CT48" i="30"/>
  <c r="CU48" i="30"/>
  <c r="CV48" i="30"/>
  <c r="CW48" i="30"/>
  <c r="CX48" i="30"/>
  <c r="CY48" i="30"/>
  <c r="CZ48" i="30"/>
  <c r="DA48" i="30"/>
  <c r="DB48" i="30"/>
  <c r="DC48" i="30"/>
  <c r="DD48" i="30"/>
  <c r="DE48" i="30"/>
  <c r="DF48" i="30"/>
  <c r="DG48" i="30"/>
  <c r="DH48" i="30"/>
  <c r="DI48" i="30"/>
  <c r="DJ48" i="30"/>
  <c r="DK48" i="30"/>
  <c r="DL48" i="30"/>
  <c r="DM48" i="30"/>
  <c r="DN48" i="30"/>
  <c r="DO48" i="30"/>
  <c r="DP48" i="30"/>
  <c r="DQ48" i="30"/>
  <c r="DR48" i="30"/>
  <c r="DS48" i="30"/>
  <c r="DT48" i="30"/>
  <c r="DU48" i="30"/>
  <c r="DV48" i="30"/>
  <c r="DW48" i="30"/>
  <c r="DX48" i="30"/>
  <c r="DY48" i="30"/>
  <c r="DZ48" i="30"/>
  <c r="EA48" i="30"/>
  <c r="I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AD49" i="30"/>
  <c r="AE49" i="30"/>
  <c r="AF49" i="30"/>
  <c r="AG49" i="30"/>
  <c r="AH49" i="30"/>
  <c r="AI49" i="30"/>
  <c r="AJ49" i="30"/>
  <c r="AK49" i="30"/>
  <c r="AL49" i="30"/>
  <c r="AM49" i="30"/>
  <c r="AN49" i="30"/>
  <c r="AO49" i="30"/>
  <c r="AP49" i="30"/>
  <c r="AQ49" i="30"/>
  <c r="AR49" i="30"/>
  <c r="AS49" i="30"/>
  <c r="AT49" i="30"/>
  <c r="AU49" i="30"/>
  <c r="AV49" i="30"/>
  <c r="AW49" i="30"/>
  <c r="AX49" i="30"/>
  <c r="AY49" i="30"/>
  <c r="AZ49" i="30"/>
  <c r="BA49" i="30"/>
  <c r="BB49" i="30"/>
  <c r="BC49" i="30"/>
  <c r="BD49" i="30"/>
  <c r="BE49" i="30"/>
  <c r="BF49" i="30"/>
  <c r="BG49" i="30"/>
  <c r="BH49" i="30"/>
  <c r="BI49" i="30"/>
  <c r="BJ49" i="30"/>
  <c r="BK49" i="30"/>
  <c r="BL49" i="30"/>
  <c r="BM49" i="30"/>
  <c r="BN49" i="30"/>
  <c r="BO49" i="30"/>
  <c r="BP49" i="30"/>
  <c r="BQ49" i="30"/>
  <c r="BR49" i="30"/>
  <c r="BS49" i="30"/>
  <c r="BT49" i="30"/>
  <c r="BU49" i="30"/>
  <c r="BV49" i="30"/>
  <c r="BW49" i="30"/>
  <c r="BX49" i="30"/>
  <c r="BY49" i="30"/>
  <c r="BZ49" i="30"/>
  <c r="CA49" i="30"/>
  <c r="CB49" i="30"/>
  <c r="CC49" i="30"/>
  <c r="CD49" i="30"/>
  <c r="CE49" i="30"/>
  <c r="CF49" i="30"/>
  <c r="CG49" i="30"/>
  <c r="CH49" i="30"/>
  <c r="CI49" i="30"/>
  <c r="CJ49" i="30"/>
  <c r="CK49" i="30"/>
  <c r="CL49" i="30"/>
  <c r="CM49" i="30"/>
  <c r="CN49" i="30"/>
  <c r="CO49" i="30"/>
  <c r="CP49" i="30"/>
  <c r="CQ49" i="30"/>
  <c r="CR49" i="30"/>
  <c r="CS49" i="30"/>
  <c r="CT49" i="30"/>
  <c r="CU49" i="30"/>
  <c r="CV49" i="30"/>
  <c r="CW49" i="30"/>
  <c r="CX49" i="30"/>
  <c r="CY49" i="30"/>
  <c r="CZ49" i="30"/>
  <c r="DA49" i="30"/>
  <c r="DB49" i="30"/>
  <c r="DC49" i="30"/>
  <c r="DD49" i="30"/>
  <c r="DE49" i="30"/>
  <c r="DF49" i="30"/>
  <c r="DG49" i="30"/>
  <c r="DH49" i="30"/>
  <c r="DI49" i="30"/>
  <c r="DJ49" i="30"/>
  <c r="DK49" i="30"/>
  <c r="DL49" i="30"/>
  <c r="DM49" i="30"/>
  <c r="DN49" i="30"/>
  <c r="DO49" i="30"/>
  <c r="DP49" i="30"/>
  <c r="DQ49" i="30"/>
  <c r="DR49" i="30"/>
  <c r="DS49" i="30"/>
  <c r="DT49" i="30"/>
  <c r="DU49" i="30"/>
  <c r="DV49" i="30"/>
  <c r="DW49" i="30"/>
  <c r="DX49" i="30"/>
  <c r="DY49" i="30"/>
  <c r="DZ49" i="30"/>
  <c r="EA49" i="30"/>
  <c r="I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AD51" i="30"/>
  <c r="AE51" i="30"/>
  <c r="AF51" i="30"/>
  <c r="AG51" i="30"/>
  <c r="AH51" i="30"/>
  <c r="AI51" i="30"/>
  <c r="AJ51" i="30"/>
  <c r="AK51" i="30"/>
  <c r="AL51" i="30"/>
  <c r="AM51" i="30"/>
  <c r="AN51" i="30"/>
  <c r="AO51" i="30"/>
  <c r="AP51" i="30"/>
  <c r="AQ51" i="30"/>
  <c r="AR51" i="30"/>
  <c r="AS51" i="30"/>
  <c r="AT51" i="30"/>
  <c r="AU51" i="30"/>
  <c r="AV51" i="30"/>
  <c r="AW51" i="30"/>
  <c r="AX51" i="30"/>
  <c r="AY51" i="30"/>
  <c r="AZ51" i="30"/>
  <c r="BA51" i="30"/>
  <c r="BB51" i="30"/>
  <c r="BC51" i="30"/>
  <c r="BD51" i="30"/>
  <c r="BE51" i="30"/>
  <c r="BF51" i="30"/>
  <c r="BG51" i="30"/>
  <c r="BH51" i="30"/>
  <c r="BI51" i="30"/>
  <c r="BJ51" i="30"/>
  <c r="BK51" i="30"/>
  <c r="BL51" i="30"/>
  <c r="BM51" i="30"/>
  <c r="BN51" i="30"/>
  <c r="BO51" i="30"/>
  <c r="BP51" i="30"/>
  <c r="BQ51" i="30"/>
  <c r="BR51" i="30"/>
  <c r="BS51" i="30"/>
  <c r="BT51" i="30"/>
  <c r="BU51" i="30"/>
  <c r="BV51" i="30"/>
  <c r="BW51" i="30"/>
  <c r="BX51" i="30"/>
  <c r="BY51" i="30"/>
  <c r="BZ51" i="30"/>
  <c r="CA51" i="30"/>
  <c r="CB51" i="30"/>
  <c r="CC51" i="30"/>
  <c r="CD51" i="30"/>
  <c r="CE51" i="30"/>
  <c r="CF51" i="30"/>
  <c r="CG51" i="30"/>
  <c r="CH51" i="30"/>
  <c r="CI51" i="30"/>
  <c r="CJ51" i="30"/>
  <c r="CK51" i="30"/>
  <c r="CL51" i="30"/>
  <c r="CM51" i="30"/>
  <c r="CN51" i="30"/>
  <c r="CO51" i="30"/>
  <c r="CP51" i="30"/>
  <c r="CQ51" i="30"/>
  <c r="CR51" i="30"/>
  <c r="CS51" i="30"/>
  <c r="CT51" i="30"/>
  <c r="CU51" i="30"/>
  <c r="CV51" i="30"/>
  <c r="CW51" i="30"/>
  <c r="CX51" i="30"/>
  <c r="CY51" i="30"/>
  <c r="CZ51" i="30"/>
  <c r="DA51" i="30"/>
  <c r="DB51" i="30"/>
  <c r="DC51" i="30"/>
  <c r="DD51" i="30"/>
  <c r="DE51" i="30"/>
  <c r="DF51" i="30"/>
  <c r="DG51" i="30"/>
  <c r="DH51" i="30"/>
  <c r="DI51" i="30"/>
  <c r="DJ51" i="30"/>
  <c r="DK51" i="30"/>
  <c r="DL51" i="30"/>
  <c r="DM51" i="30"/>
  <c r="DN51" i="30"/>
  <c r="DO51" i="30"/>
  <c r="DP51" i="30"/>
  <c r="DQ51" i="30"/>
  <c r="DR51" i="30"/>
  <c r="DS51" i="30"/>
  <c r="DT51" i="30"/>
  <c r="DU51" i="30"/>
  <c r="DV51" i="30"/>
  <c r="DW51" i="30"/>
  <c r="DX51" i="30"/>
  <c r="DY51" i="30"/>
  <c r="DZ51" i="30"/>
  <c r="EA51" i="30"/>
  <c r="I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AD52" i="30"/>
  <c r="AE52" i="30"/>
  <c r="AF52" i="30"/>
  <c r="AG52" i="30"/>
  <c r="AH52" i="30"/>
  <c r="AI52" i="30"/>
  <c r="AJ52" i="30"/>
  <c r="AK52" i="30"/>
  <c r="AL52" i="30"/>
  <c r="AM52" i="30"/>
  <c r="AN52" i="30"/>
  <c r="AO52" i="30"/>
  <c r="AP52" i="30"/>
  <c r="AQ52" i="30"/>
  <c r="AR52" i="30"/>
  <c r="AS52" i="30"/>
  <c r="AT52" i="30"/>
  <c r="AU52" i="30"/>
  <c r="AV52" i="30"/>
  <c r="AW52" i="30"/>
  <c r="AX52" i="30"/>
  <c r="AY52" i="30"/>
  <c r="AZ52" i="30"/>
  <c r="BA52" i="30"/>
  <c r="BB52" i="30"/>
  <c r="BC52" i="30"/>
  <c r="BD52" i="30"/>
  <c r="BE52" i="30"/>
  <c r="BF52" i="30"/>
  <c r="BG52" i="30"/>
  <c r="BH52" i="30"/>
  <c r="BI52" i="30"/>
  <c r="BJ52" i="30"/>
  <c r="BK52" i="30"/>
  <c r="BL52" i="30"/>
  <c r="BM52" i="30"/>
  <c r="BN52" i="30"/>
  <c r="BO52" i="30"/>
  <c r="BP52" i="30"/>
  <c r="BQ52" i="30"/>
  <c r="BR52" i="30"/>
  <c r="BS52" i="30"/>
  <c r="BT52" i="30"/>
  <c r="BU52" i="30"/>
  <c r="BV52" i="30"/>
  <c r="BW52" i="30"/>
  <c r="BX52" i="30"/>
  <c r="BY52" i="30"/>
  <c r="BZ52" i="30"/>
  <c r="CA52" i="30"/>
  <c r="CB52" i="30"/>
  <c r="CC52" i="30"/>
  <c r="CD52" i="30"/>
  <c r="CE52" i="30"/>
  <c r="CF52" i="30"/>
  <c r="CG52" i="30"/>
  <c r="CH52" i="30"/>
  <c r="CI52" i="30"/>
  <c r="CJ52" i="30"/>
  <c r="CK52" i="30"/>
  <c r="CL52" i="30"/>
  <c r="CM52" i="30"/>
  <c r="CN52" i="30"/>
  <c r="CO52" i="30"/>
  <c r="CP52" i="30"/>
  <c r="CQ52" i="30"/>
  <c r="CR52" i="30"/>
  <c r="CS52" i="30"/>
  <c r="CT52" i="30"/>
  <c r="CU52" i="30"/>
  <c r="CV52" i="30"/>
  <c r="CW52" i="30"/>
  <c r="CX52" i="30"/>
  <c r="CY52" i="30"/>
  <c r="CZ52" i="30"/>
  <c r="DA52" i="30"/>
  <c r="DB52" i="30"/>
  <c r="DC52" i="30"/>
  <c r="DD52" i="30"/>
  <c r="DE52" i="30"/>
  <c r="DF52" i="30"/>
  <c r="DG52" i="30"/>
  <c r="DH52" i="30"/>
  <c r="DI52" i="30"/>
  <c r="DJ52" i="30"/>
  <c r="DK52" i="30"/>
  <c r="DL52" i="30"/>
  <c r="DM52" i="30"/>
  <c r="DN52" i="30"/>
  <c r="DO52" i="30"/>
  <c r="DP52" i="30"/>
  <c r="DQ52" i="30"/>
  <c r="DR52" i="30"/>
  <c r="DS52" i="30"/>
  <c r="DT52" i="30"/>
  <c r="DU52" i="30"/>
  <c r="DV52" i="30"/>
  <c r="DW52" i="30"/>
  <c r="DX52" i="30"/>
  <c r="DY52" i="30"/>
  <c r="DZ52" i="30"/>
  <c r="EA52" i="30"/>
  <c r="I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AD53" i="30"/>
  <c r="AE53" i="30"/>
  <c r="AF53" i="30"/>
  <c r="AG53" i="30"/>
  <c r="AH53" i="30"/>
  <c r="AI53" i="30"/>
  <c r="AJ53" i="30"/>
  <c r="AK53" i="30"/>
  <c r="AL53" i="30"/>
  <c r="AM53" i="30"/>
  <c r="AN53" i="30"/>
  <c r="AO53" i="30"/>
  <c r="AP53" i="30"/>
  <c r="AQ53" i="30"/>
  <c r="AR53" i="30"/>
  <c r="AS53" i="30"/>
  <c r="AT53" i="30"/>
  <c r="AU53" i="30"/>
  <c r="AV53" i="30"/>
  <c r="AW53" i="30"/>
  <c r="AX53" i="30"/>
  <c r="AY53" i="30"/>
  <c r="AZ53" i="30"/>
  <c r="BA53" i="30"/>
  <c r="BB53" i="30"/>
  <c r="BC53" i="30"/>
  <c r="BD53" i="30"/>
  <c r="BE53" i="30"/>
  <c r="BF53" i="30"/>
  <c r="BG53" i="30"/>
  <c r="BH53" i="30"/>
  <c r="BI53" i="30"/>
  <c r="BJ53" i="30"/>
  <c r="BK53" i="30"/>
  <c r="BL53" i="30"/>
  <c r="BM53" i="30"/>
  <c r="BN53" i="30"/>
  <c r="BO53" i="30"/>
  <c r="BP53" i="30"/>
  <c r="BQ53" i="30"/>
  <c r="BR53" i="30"/>
  <c r="BS53" i="30"/>
  <c r="BT53" i="30"/>
  <c r="BU53" i="30"/>
  <c r="BV53" i="30"/>
  <c r="BW53" i="30"/>
  <c r="BX53" i="30"/>
  <c r="BY53" i="30"/>
  <c r="BZ53" i="30"/>
  <c r="CA53" i="30"/>
  <c r="CB53" i="30"/>
  <c r="CC53" i="30"/>
  <c r="CD53" i="30"/>
  <c r="CE53" i="30"/>
  <c r="CF53" i="30"/>
  <c r="CG53" i="30"/>
  <c r="CH53" i="30"/>
  <c r="CI53" i="30"/>
  <c r="CJ53" i="30"/>
  <c r="CK53" i="30"/>
  <c r="CL53" i="30"/>
  <c r="CM53" i="30"/>
  <c r="CN53" i="30"/>
  <c r="CO53" i="30"/>
  <c r="CP53" i="30"/>
  <c r="CQ53" i="30"/>
  <c r="CR53" i="30"/>
  <c r="CS53" i="30"/>
  <c r="CT53" i="30"/>
  <c r="CU53" i="30"/>
  <c r="CV53" i="30"/>
  <c r="CW53" i="30"/>
  <c r="CX53" i="30"/>
  <c r="CY53" i="30"/>
  <c r="CZ53" i="30"/>
  <c r="DA53" i="30"/>
  <c r="DB53" i="30"/>
  <c r="DC53" i="30"/>
  <c r="DD53" i="30"/>
  <c r="DE53" i="30"/>
  <c r="DF53" i="30"/>
  <c r="DG53" i="30"/>
  <c r="DH53" i="30"/>
  <c r="DI53" i="30"/>
  <c r="DJ53" i="30"/>
  <c r="DK53" i="30"/>
  <c r="DL53" i="30"/>
  <c r="DM53" i="30"/>
  <c r="DN53" i="30"/>
  <c r="DO53" i="30"/>
  <c r="DP53" i="30"/>
  <c r="DQ53" i="30"/>
  <c r="DR53" i="30"/>
  <c r="DS53" i="30"/>
  <c r="DT53" i="30"/>
  <c r="DU53" i="30"/>
  <c r="DV53" i="30"/>
  <c r="DW53" i="30"/>
  <c r="DX53" i="30"/>
  <c r="DY53" i="30"/>
  <c r="DZ53" i="30"/>
  <c r="EA53" i="30"/>
  <c r="I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D54" i="30"/>
  <c r="AE54" i="30"/>
  <c r="AF54" i="30"/>
  <c r="AG54" i="30"/>
  <c r="AH54" i="30"/>
  <c r="AI54" i="30"/>
  <c r="AJ54" i="30"/>
  <c r="AK54" i="30"/>
  <c r="AL54" i="30"/>
  <c r="AM54" i="30"/>
  <c r="AN54" i="30"/>
  <c r="AO54" i="30"/>
  <c r="AP54" i="30"/>
  <c r="AQ54" i="30"/>
  <c r="AR54" i="30"/>
  <c r="AS54" i="30"/>
  <c r="AT54" i="30"/>
  <c r="AU54" i="30"/>
  <c r="AV54" i="30"/>
  <c r="AW54" i="30"/>
  <c r="AX54" i="30"/>
  <c r="AY54" i="30"/>
  <c r="AZ54" i="30"/>
  <c r="BA54" i="30"/>
  <c r="BB54" i="30"/>
  <c r="BC54" i="30"/>
  <c r="BD54" i="30"/>
  <c r="BE54" i="30"/>
  <c r="BF54" i="30"/>
  <c r="BG54" i="30"/>
  <c r="BH54" i="30"/>
  <c r="BI54" i="30"/>
  <c r="BJ54" i="30"/>
  <c r="BK54" i="30"/>
  <c r="BL54" i="30"/>
  <c r="BM54" i="30"/>
  <c r="BN54" i="30"/>
  <c r="BO54" i="30"/>
  <c r="BP54" i="30"/>
  <c r="BQ54" i="30"/>
  <c r="BR54" i="30"/>
  <c r="BS54" i="30"/>
  <c r="BT54" i="30"/>
  <c r="BU54" i="30"/>
  <c r="BV54" i="30"/>
  <c r="BW54" i="30"/>
  <c r="BX54" i="30"/>
  <c r="BY54" i="30"/>
  <c r="BZ54" i="30"/>
  <c r="CA54" i="30"/>
  <c r="CB54" i="30"/>
  <c r="CC54" i="30"/>
  <c r="CD54" i="30"/>
  <c r="CE54" i="30"/>
  <c r="CF54" i="30"/>
  <c r="CG54" i="30"/>
  <c r="CH54" i="30"/>
  <c r="CI54" i="30"/>
  <c r="CJ54" i="30"/>
  <c r="CK54" i="30"/>
  <c r="CL54" i="30"/>
  <c r="CM54" i="30"/>
  <c r="CN54" i="30"/>
  <c r="CO54" i="30"/>
  <c r="CP54" i="30"/>
  <c r="CQ54" i="30"/>
  <c r="CR54" i="30"/>
  <c r="CS54" i="30"/>
  <c r="CT54" i="30"/>
  <c r="CU54" i="30"/>
  <c r="CV54" i="30"/>
  <c r="CW54" i="30"/>
  <c r="CX54" i="30"/>
  <c r="CY54" i="30"/>
  <c r="CZ54" i="30"/>
  <c r="DA54" i="30"/>
  <c r="DB54" i="30"/>
  <c r="DC54" i="30"/>
  <c r="DD54" i="30"/>
  <c r="DE54" i="30"/>
  <c r="DF54" i="30"/>
  <c r="DG54" i="30"/>
  <c r="DH54" i="30"/>
  <c r="DI54" i="30"/>
  <c r="DJ54" i="30"/>
  <c r="DK54" i="30"/>
  <c r="DL54" i="30"/>
  <c r="DM54" i="30"/>
  <c r="DN54" i="30"/>
  <c r="DO54" i="30"/>
  <c r="DP54" i="30"/>
  <c r="DQ54" i="30"/>
  <c r="DR54" i="30"/>
  <c r="DS54" i="30"/>
  <c r="DT54" i="30"/>
  <c r="DU54" i="30"/>
  <c r="DV54" i="30"/>
  <c r="DW54" i="30"/>
  <c r="DX54" i="30"/>
  <c r="DY54" i="30"/>
  <c r="DZ54" i="30"/>
  <c r="EA54" i="30"/>
  <c r="I55" i="30"/>
  <c r="L55" i="30"/>
  <c r="M55" i="30"/>
  <c r="N55" i="30"/>
  <c r="O55" i="30"/>
  <c r="P55" i="30"/>
  <c r="Q55" i="30"/>
  <c r="R55" i="30"/>
  <c r="S55" i="30"/>
  <c r="T55" i="30"/>
  <c r="U55" i="30"/>
  <c r="V55" i="30"/>
  <c r="W55" i="30"/>
  <c r="X55" i="30"/>
  <c r="Y55" i="30"/>
  <c r="Z55" i="30"/>
  <c r="AA55" i="30"/>
  <c r="AB55" i="30"/>
  <c r="AC55" i="30"/>
  <c r="AD55" i="30"/>
  <c r="AE55" i="30"/>
  <c r="AF55" i="30"/>
  <c r="AG55" i="30"/>
  <c r="AH55" i="30"/>
  <c r="AI55" i="30"/>
  <c r="AJ55" i="30"/>
  <c r="AK55" i="30"/>
  <c r="AL55" i="30"/>
  <c r="AM55" i="30"/>
  <c r="AN55" i="30"/>
  <c r="AO55" i="30"/>
  <c r="AP55" i="30"/>
  <c r="AQ55" i="30"/>
  <c r="AR55" i="30"/>
  <c r="AS55" i="30"/>
  <c r="AT55" i="30"/>
  <c r="AU55" i="30"/>
  <c r="AV55" i="30"/>
  <c r="AW55" i="30"/>
  <c r="AX55" i="30"/>
  <c r="AY55" i="30"/>
  <c r="AZ55" i="30"/>
  <c r="BA55" i="30"/>
  <c r="BB55" i="30"/>
  <c r="BC55" i="30"/>
  <c r="BD55" i="30"/>
  <c r="BE55" i="30"/>
  <c r="BF55" i="30"/>
  <c r="BG55" i="30"/>
  <c r="BH55" i="30"/>
  <c r="BI55" i="30"/>
  <c r="BJ55" i="30"/>
  <c r="BK55" i="30"/>
  <c r="BL55" i="30"/>
  <c r="BM55" i="30"/>
  <c r="BN55" i="30"/>
  <c r="BO55" i="30"/>
  <c r="BP55" i="30"/>
  <c r="BQ55" i="30"/>
  <c r="BR55" i="30"/>
  <c r="BS55" i="30"/>
  <c r="BT55" i="30"/>
  <c r="BU55" i="30"/>
  <c r="BV55" i="30"/>
  <c r="BW55" i="30"/>
  <c r="BX55" i="30"/>
  <c r="BY55" i="30"/>
  <c r="BZ55" i="30"/>
  <c r="CA55" i="30"/>
  <c r="CB55" i="30"/>
  <c r="CC55" i="30"/>
  <c r="CD55" i="30"/>
  <c r="CE55" i="30"/>
  <c r="CF55" i="30"/>
  <c r="CG55" i="30"/>
  <c r="CH55" i="30"/>
  <c r="CI55" i="30"/>
  <c r="CJ55" i="30"/>
  <c r="CK55" i="30"/>
  <c r="CL55" i="30"/>
  <c r="CM55" i="30"/>
  <c r="CN55" i="30"/>
  <c r="CO55" i="30"/>
  <c r="CP55" i="30"/>
  <c r="CQ55" i="30"/>
  <c r="CR55" i="30"/>
  <c r="CS55" i="30"/>
  <c r="CT55" i="30"/>
  <c r="CU55" i="30"/>
  <c r="CV55" i="30"/>
  <c r="CW55" i="30"/>
  <c r="CX55" i="30"/>
  <c r="CY55" i="30"/>
  <c r="CZ55" i="30"/>
  <c r="DA55" i="30"/>
  <c r="DB55" i="30"/>
  <c r="DC55" i="30"/>
  <c r="DD55" i="30"/>
  <c r="DE55" i="30"/>
  <c r="DF55" i="30"/>
  <c r="DG55" i="30"/>
  <c r="DH55" i="30"/>
  <c r="DI55" i="30"/>
  <c r="DJ55" i="30"/>
  <c r="DK55" i="30"/>
  <c r="DL55" i="30"/>
  <c r="DM55" i="30"/>
  <c r="DN55" i="30"/>
  <c r="DO55" i="30"/>
  <c r="DP55" i="30"/>
  <c r="DQ55" i="30"/>
  <c r="DR55" i="30"/>
  <c r="DS55" i="30"/>
  <c r="DT55" i="30"/>
  <c r="DU55" i="30"/>
  <c r="DV55" i="30"/>
  <c r="DW55" i="30"/>
  <c r="DX55" i="30"/>
  <c r="DY55" i="30"/>
  <c r="DZ55" i="30"/>
  <c r="EA55" i="30"/>
  <c r="I56" i="30"/>
  <c r="L56" i="30"/>
  <c r="M56" i="30"/>
  <c r="N56" i="30"/>
  <c r="O56" i="30"/>
  <c r="P56" i="30"/>
  <c r="Q56" i="30"/>
  <c r="R56" i="30"/>
  <c r="S56" i="30"/>
  <c r="T56" i="30"/>
  <c r="U56" i="30"/>
  <c r="V56" i="30"/>
  <c r="W56" i="30"/>
  <c r="X56" i="30"/>
  <c r="Y56" i="30"/>
  <c r="Z56" i="30"/>
  <c r="AA56" i="30"/>
  <c r="AB56" i="30"/>
  <c r="AC56" i="30"/>
  <c r="AD56" i="30"/>
  <c r="AE56" i="30"/>
  <c r="AF56" i="30"/>
  <c r="AG56" i="30"/>
  <c r="AH56" i="30"/>
  <c r="AI56" i="30"/>
  <c r="AJ56" i="30"/>
  <c r="AK56" i="30"/>
  <c r="AL56" i="30"/>
  <c r="AM56" i="30"/>
  <c r="AN56" i="30"/>
  <c r="AO56" i="30"/>
  <c r="AP56" i="30"/>
  <c r="AQ56" i="30"/>
  <c r="AR56" i="30"/>
  <c r="AS56" i="30"/>
  <c r="AT56" i="30"/>
  <c r="AU56" i="30"/>
  <c r="AV56" i="30"/>
  <c r="AW56" i="30"/>
  <c r="AX56" i="30"/>
  <c r="AY56" i="30"/>
  <c r="AZ56" i="30"/>
  <c r="BA56" i="30"/>
  <c r="BB56" i="30"/>
  <c r="BC56" i="30"/>
  <c r="BD56" i="30"/>
  <c r="BE56" i="30"/>
  <c r="BF56" i="30"/>
  <c r="BG56" i="30"/>
  <c r="BH56" i="30"/>
  <c r="BI56" i="30"/>
  <c r="BJ56" i="30"/>
  <c r="BK56" i="30"/>
  <c r="BL56" i="30"/>
  <c r="BM56" i="30"/>
  <c r="BN56" i="30"/>
  <c r="BO56" i="30"/>
  <c r="BP56" i="30"/>
  <c r="BQ56" i="30"/>
  <c r="BR56" i="30"/>
  <c r="BS56" i="30"/>
  <c r="BT56" i="30"/>
  <c r="BU56" i="30"/>
  <c r="BV56" i="30"/>
  <c r="BW56" i="30"/>
  <c r="BX56" i="30"/>
  <c r="BY56" i="30"/>
  <c r="BZ56" i="30"/>
  <c r="CA56" i="30"/>
  <c r="CB56" i="30"/>
  <c r="CC56" i="30"/>
  <c r="CD56" i="30"/>
  <c r="CE56" i="30"/>
  <c r="CF56" i="30"/>
  <c r="CG56" i="30"/>
  <c r="CH56" i="30"/>
  <c r="CI56" i="30"/>
  <c r="CJ56" i="30"/>
  <c r="CK56" i="30"/>
  <c r="CL56" i="30"/>
  <c r="CM56" i="30"/>
  <c r="CN56" i="30"/>
  <c r="CO56" i="30"/>
  <c r="CP56" i="30"/>
  <c r="CQ56" i="30"/>
  <c r="CR56" i="30"/>
  <c r="CS56" i="30"/>
  <c r="CT56" i="30"/>
  <c r="CU56" i="30"/>
  <c r="CV56" i="30"/>
  <c r="CW56" i="30"/>
  <c r="CX56" i="30"/>
  <c r="CY56" i="30"/>
  <c r="CZ56" i="30"/>
  <c r="DA56" i="30"/>
  <c r="DB56" i="30"/>
  <c r="DC56" i="30"/>
  <c r="DD56" i="30"/>
  <c r="DE56" i="30"/>
  <c r="DF56" i="30"/>
  <c r="DG56" i="30"/>
  <c r="DH56" i="30"/>
  <c r="DI56" i="30"/>
  <c r="DJ56" i="30"/>
  <c r="DK56" i="30"/>
  <c r="DL56" i="30"/>
  <c r="DM56" i="30"/>
  <c r="DN56" i="30"/>
  <c r="DO56" i="30"/>
  <c r="DP56" i="30"/>
  <c r="DQ56" i="30"/>
  <c r="DR56" i="30"/>
  <c r="DS56" i="30"/>
  <c r="DT56" i="30"/>
  <c r="DU56" i="30"/>
  <c r="DV56" i="30"/>
  <c r="DW56" i="30"/>
  <c r="DX56" i="30"/>
  <c r="DY56" i="30"/>
  <c r="DZ56" i="30"/>
  <c r="EA56" i="30"/>
  <c r="I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AL57" i="30"/>
  <c r="AM57" i="30"/>
  <c r="AN57" i="30"/>
  <c r="AO57" i="30"/>
  <c r="AP57" i="30"/>
  <c r="AQ57" i="30"/>
  <c r="AR57" i="30"/>
  <c r="AS57" i="30"/>
  <c r="AT57" i="30"/>
  <c r="AU57" i="30"/>
  <c r="AV57" i="30"/>
  <c r="AW57" i="30"/>
  <c r="AX57" i="30"/>
  <c r="AY57" i="30"/>
  <c r="AZ57" i="30"/>
  <c r="BA57" i="30"/>
  <c r="BB57" i="30"/>
  <c r="BC57" i="30"/>
  <c r="BD57" i="30"/>
  <c r="BE57" i="30"/>
  <c r="BF57" i="30"/>
  <c r="BG57" i="30"/>
  <c r="BH57" i="30"/>
  <c r="BI57" i="30"/>
  <c r="BJ57" i="30"/>
  <c r="BK57" i="30"/>
  <c r="BL57" i="30"/>
  <c r="BM57" i="30"/>
  <c r="BN57" i="30"/>
  <c r="BO57" i="30"/>
  <c r="BP57" i="30"/>
  <c r="BQ57" i="30"/>
  <c r="BR57" i="30"/>
  <c r="BS57" i="30"/>
  <c r="BT57" i="30"/>
  <c r="BU57" i="30"/>
  <c r="BV57" i="30"/>
  <c r="BW57" i="30"/>
  <c r="BX57" i="30"/>
  <c r="BY57" i="30"/>
  <c r="BZ57" i="30"/>
  <c r="CA57" i="30"/>
  <c r="CB57" i="30"/>
  <c r="CC57" i="30"/>
  <c r="CD57" i="30"/>
  <c r="CE57" i="30"/>
  <c r="CF57" i="30"/>
  <c r="CG57" i="30"/>
  <c r="CH57" i="30"/>
  <c r="CI57" i="30"/>
  <c r="CJ57" i="30"/>
  <c r="CK57" i="30"/>
  <c r="CL57" i="30"/>
  <c r="CM57" i="30"/>
  <c r="CN57" i="30"/>
  <c r="CO57" i="30"/>
  <c r="CP57" i="30"/>
  <c r="CQ57" i="30"/>
  <c r="CR57" i="30"/>
  <c r="CS57" i="30"/>
  <c r="CT57" i="30"/>
  <c r="CU57" i="30"/>
  <c r="CV57" i="30"/>
  <c r="CW57" i="30"/>
  <c r="CX57" i="30"/>
  <c r="CY57" i="30"/>
  <c r="CZ57" i="30"/>
  <c r="DA57" i="30"/>
  <c r="DB57" i="30"/>
  <c r="DC57" i="30"/>
  <c r="DD57" i="30"/>
  <c r="DE57" i="30"/>
  <c r="DF57" i="30"/>
  <c r="DG57" i="30"/>
  <c r="DH57" i="30"/>
  <c r="DI57" i="30"/>
  <c r="DJ57" i="30"/>
  <c r="DK57" i="30"/>
  <c r="DL57" i="30"/>
  <c r="DM57" i="30"/>
  <c r="DN57" i="30"/>
  <c r="DO57" i="30"/>
  <c r="DP57" i="30"/>
  <c r="DQ57" i="30"/>
  <c r="DR57" i="30"/>
  <c r="DS57" i="30"/>
  <c r="DT57" i="30"/>
  <c r="DU57" i="30"/>
  <c r="DV57" i="30"/>
  <c r="DW57" i="30"/>
  <c r="DX57" i="30"/>
  <c r="DY57" i="30"/>
  <c r="DZ57" i="30"/>
  <c r="EA57" i="30"/>
  <c r="I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AL58" i="30"/>
  <c r="AM58" i="30"/>
  <c r="AN58" i="30"/>
  <c r="AO58" i="30"/>
  <c r="AP58" i="30"/>
  <c r="AQ58" i="30"/>
  <c r="AR58" i="30"/>
  <c r="AS58" i="30"/>
  <c r="AT58" i="30"/>
  <c r="AU58" i="30"/>
  <c r="AV58" i="30"/>
  <c r="AW58" i="30"/>
  <c r="AX58" i="30"/>
  <c r="AY58" i="30"/>
  <c r="AZ58" i="30"/>
  <c r="BA58" i="30"/>
  <c r="BB58" i="30"/>
  <c r="BC58" i="30"/>
  <c r="BD58" i="30"/>
  <c r="BE58" i="30"/>
  <c r="BF58" i="30"/>
  <c r="BG58" i="30"/>
  <c r="BH58" i="30"/>
  <c r="BI58" i="30"/>
  <c r="BJ58" i="30"/>
  <c r="BK58" i="30"/>
  <c r="BL58" i="30"/>
  <c r="BM58" i="30"/>
  <c r="BN58" i="30"/>
  <c r="BO58" i="30"/>
  <c r="BP58" i="30"/>
  <c r="BQ58" i="30"/>
  <c r="BR58" i="30"/>
  <c r="BS58" i="30"/>
  <c r="BT58" i="30"/>
  <c r="BU58" i="30"/>
  <c r="BV58" i="30"/>
  <c r="BW58" i="30"/>
  <c r="BX58" i="30"/>
  <c r="BY58" i="30"/>
  <c r="BZ58" i="30"/>
  <c r="CA58" i="30"/>
  <c r="CB58" i="30"/>
  <c r="CC58" i="30"/>
  <c r="CD58" i="30"/>
  <c r="CE58" i="30"/>
  <c r="CF58" i="30"/>
  <c r="CG58" i="30"/>
  <c r="CH58" i="30"/>
  <c r="CI58" i="30"/>
  <c r="CJ58" i="30"/>
  <c r="CK58" i="30"/>
  <c r="CL58" i="30"/>
  <c r="CM58" i="30"/>
  <c r="CN58" i="30"/>
  <c r="CO58" i="30"/>
  <c r="CP58" i="30"/>
  <c r="CQ58" i="30"/>
  <c r="CR58" i="30"/>
  <c r="CS58" i="30"/>
  <c r="CT58" i="30"/>
  <c r="CU58" i="30"/>
  <c r="CV58" i="30"/>
  <c r="CW58" i="30"/>
  <c r="CX58" i="30"/>
  <c r="CY58" i="30"/>
  <c r="CZ58" i="30"/>
  <c r="DA58" i="30"/>
  <c r="DB58" i="30"/>
  <c r="DC58" i="30"/>
  <c r="DD58" i="30"/>
  <c r="DE58" i="30"/>
  <c r="DF58" i="30"/>
  <c r="DG58" i="30"/>
  <c r="DH58" i="30"/>
  <c r="DI58" i="30"/>
  <c r="DJ58" i="30"/>
  <c r="DK58" i="30"/>
  <c r="DL58" i="30"/>
  <c r="DM58" i="30"/>
  <c r="DN58" i="30"/>
  <c r="DO58" i="30"/>
  <c r="DP58" i="30"/>
  <c r="DQ58" i="30"/>
  <c r="DR58" i="30"/>
  <c r="DS58" i="30"/>
  <c r="DT58" i="30"/>
  <c r="DU58" i="30"/>
  <c r="DV58" i="30"/>
  <c r="DW58" i="30"/>
  <c r="DX58" i="30"/>
  <c r="DY58" i="30"/>
  <c r="DZ58" i="30"/>
  <c r="EA58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G61" i="30"/>
  <c r="BH61" i="30"/>
  <c r="BI61" i="30"/>
  <c r="BJ61" i="30"/>
  <c r="BK61" i="30"/>
  <c r="BL61" i="30"/>
  <c r="BM61" i="30"/>
  <c r="BN61" i="30"/>
  <c r="BO61" i="30"/>
  <c r="BP61" i="30"/>
  <c r="BQ61" i="30"/>
  <c r="BR61" i="30"/>
  <c r="BS61" i="30"/>
  <c r="BT61" i="30"/>
  <c r="BU61" i="30"/>
  <c r="BV61" i="30"/>
  <c r="BW61" i="30"/>
  <c r="BX61" i="30"/>
  <c r="BY61" i="30"/>
  <c r="BZ61" i="30"/>
  <c r="CA61" i="30"/>
  <c r="CB61" i="30"/>
  <c r="CC61" i="30"/>
  <c r="CD61" i="30"/>
  <c r="CE61" i="30"/>
  <c r="CF61" i="30"/>
  <c r="CG61" i="30"/>
  <c r="CH61" i="30"/>
  <c r="CI61" i="30"/>
  <c r="CJ61" i="30"/>
  <c r="CK61" i="30"/>
  <c r="CL61" i="30"/>
  <c r="CM61" i="30"/>
  <c r="CN61" i="30"/>
  <c r="CO61" i="30"/>
  <c r="CP61" i="30"/>
  <c r="CQ61" i="30"/>
  <c r="CR61" i="30"/>
  <c r="CS61" i="30"/>
  <c r="CT61" i="30"/>
  <c r="CU61" i="30"/>
  <c r="CV61" i="30"/>
  <c r="CW61" i="30"/>
  <c r="CX61" i="30"/>
  <c r="CY61" i="30"/>
  <c r="CZ61" i="30"/>
  <c r="DA61" i="30"/>
  <c r="DB61" i="30"/>
  <c r="DC61" i="30"/>
  <c r="DD61" i="30"/>
  <c r="DE61" i="30"/>
  <c r="DF61" i="30"/>
  <c r="DG61" i="30"/>
  <c r="DH61" i="30"/>
  <c r="DI61" i="30"/>
  <c r="DJ61" i="30"/>
  <c r="DK61" i="30"/>
  <c r="DL61" i="30"/>
  <c r="DM61" i="30"/>
  <c r="DN61" i="30"/>
  <c r="DO61" i="30"/>
  <c r="DP61" i="30"/>
  <c r="DQ61" i="30"/>
  <c r="DR61" i="30"/>
  <c r="DS61" i="30"/>
  <c r="DT61" i="30"/>
  <c r="DU61" i="30"/>
  <c r="DV61" i="30"/>
  <c r="DW61" i="30"/>
  <c r="DX61" i="30"/>
  <c r="DY61" i="30"/>
  <c r="DZ61" i="30"/>
  <c r="EA61" i="30"/>
  <c r="I62" i="30"/>
  <c r="EA62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G65" i="30"/>
  <c r="BH65" i="30"/>
  <c r="BI65" i="30"/>
  <c r="BJ65" i="30"/>
  <c r="BK65" i="30"/>
  <c r="BL65" i="30"/>
  <c r="BM65" i="30"/>
  <c r="BN65" i="30"/>
  <c r="BO65" i="30"/>
  <c r="BP65" i="30"/>
  <c r="BQ65" i="30"/>
  <c r="BR65" i="30"/>
  <c r="BS65" i="30"/>
  <c r="BT65" i="30"/>
  <c r="BU65" i="30"/>
  <c r="BV65" i="30"/>
  <c r="BW65" i="30"/>
  <c r="BX65" i="30"/>
  <c r="BY65" i="30"/>
  <c r="BZ65" i="30"/>
  <c r="CA65" i="30"/>
  <c r="CB65" i="30"/>
  <c r="CC65" i="30"/>
  <c r="CD65" i="30"/>
  <c r="CE65" i="30"/>
  <c r="CF65" i="30"/>
  <c r="CG65" i="30"/>
  <c r="CH65" i="30"/>
  <c r="CI65" i="30"/>
  <c r="CJ65" i="30"/>
  <c r="CK65" i="30"/>
  <c r="CL65" i="30"/>
  <c r="CM65" i="30"/>
  <c r="CN65" i="30"/>
  <c r="CO65" i="30"/>
  <c r="CP65" i="30"/>
  <c r="CQ65" i="30"/>
  <c r="CR65" i="30"/>
  <c r="CS65" i="30"/>
  <c r="CT65" i="30"/>
  <c r="CU65" i="30"/>
  <c r="CV65" i="30"/>
  <c r="CW65" i="30"/>
  <c r="CX65" i="30"/>
  <c r="CY65" i="30"/>
  <c r="CZ65" i="30"/>
  <c r="DA65" i="30"/>
  <c r="DB65" i="30"/>
  <c r="DC65" i="30"/>
  <c r="DD65" i="30"/>
  <c r="DE65" i="30"/>
  <c r="DF65" i="30"/>
  <c r="DG65" i="30"/>
  <c r="DH65" i="30"/>
  <c r="DI65" i="30"/>
  <c r="DJ65" i="30"/>
  <c r="DK65" i="30"/>
  <c r="DL65" i="30"/>
  <c r="DM65" i="30"/>
  <c r="DN65" i="30"/>
  <c r="DO65" i="30"/>
  <c r="DP65" i="30"/>
  <c r="DQ65" i="30"/>
  <c r="DR65" i="30"/>
  <c r="DS65" i="30"/>
  <c r="DT65" i="30"/>
  <c r="DU65" i="30"/>
  <c r="DV65" i="30"/>
  <c r="DW65" i="30"/>
  <c r="DX65" i="30"/>
  <c r="DY65" i="30"/>
  <c r="DZ65" i="30"/>
  <c r="EA65" i="30"/>
  <c r="G66" i="30"/>
  <c r="I66" i="30"/>
  <c r="EA66" i="30"/>
  <c r="E70" i="30"/>
  <c r="I70" i="30"/>
  <c r="N70" i="30"/>
  <c r="O70" i="30"/>
  <c r="P70" i="30"/>
  <c r="Q70" i="30"/>
  <c r="R70" i="30"/>
  <c r="S70" i="30"/>
  <c r="T70" i="30"/>
  <c r="U70" i="30"/>
  <c r="V70" i="30"/>
  <c r="W70" i="30"/>
  <c r="X70" i="30"/>
  <c r="Y70" i="30"/>
  <c r="Z70" i="30"/>
  <c r="AA70" i="30"/>
  <c r="AB70" i="30"/>
  <c r="AC70" i="30"/>
  <c r="AD70" i="30"/>
  <c r="E71" i="30"/>
  <c r="I71" i="30"/>
  <c r="M71" i="30"/>
  <c r="N71" i="30"/>
  <c r="O71" i="30"/>
  <c r="P71" i="30"/>
  <c r="Q71" i="30"/>
  <c r="R71" i="30"/>
  <c r="S71" i="30"/>
  <c r="T71" i="30"/>
  <c r="U71" i="30"/>
  <c r="V71" i="30"/>
  <c r="W71" i="30"/>
  <c r="X71" i="30"/>
  <c r="Y71" i="30"/>
  <c r="Z71" i="30"/>
  <c r="AA71" i="30"/>
  <c r="AB71" i="30"/>
  <c r="AC71" i="30"/>
  <c r="E72" i="30"/>
  <c r="I72" i="30"/>
  <c r="N72" i="30"/>
  <c r="O72" i="30"/>
  <c r="P72" i="30"/>
  <c r="Q72" i="30"/>
  <c r="R72" i="30"/>
  <c r="S72" i="30"/>
  <c r="T72" i="30"/>
  <c r="U72" i="30"/>
  <c r="V72" i="30"/>
  <c r="W72" i="30"/>
  <c r="X72" i="30"/>
  <c r="Y72" i="30"/>
  <c r="Z72" i="30"/>
  <c r="AA72" i="30"/>
  <c r="AB72" i="30"/>
  <c r="AC72" i="30"/>
  <c r="AD72" i="30"/>
  <c r="I73" i="30"/>
  <c r="L73" i="30"/>
  <c r="M73" i="30"/>
  <c r="N73" i="30"/>
  <c r="O73" i="30"/>
  <c r="P73" i="30"/>
  <c r="Q73" i="30"/>
  <c r="R73" i="30"/>
  <c r="S73" i="30"/>
  <c r="T73" i="30"/>
  <c r="U73" i="30"/>
  <c r="V73" i="30"/>
  <c r="W73" i="30"/>
  <c r="X73" i="30"/>
  <c r="Y73" i="30"/>
  <c r="Z73" i="30"/>
  <c r="AA73" i="30"/>
  <c r="AB73" i="30"/>
  <c r="AC73" i="30"/>
  <c r="AD73" i="30"/>
  <c r="AE73" i="30"/>
  <c r="AF73" i="30"/>
  <c r="AG73" i="30"/>
  <c r="AH73" i="30"/>
  <c r="AI73" i="30"/>
  <c r="AJ73" i="30"/>
  <c r="AK73" i="30"/>
  <c r="AL73" i="30"/>
  <c r="AM73" i="30"/>
  <c r="AN73" i="30"/>
  <c r="AO73" i="30"/>
  <c r="AP73" i="30"/>
  <c r="AQ73" i="30"/>
  <c r="AR73" i="30"/>
  <c r="AS73" i="30"/>
  <c r="AT73" i="30"/>
  <c r="AU73" i="30"/>
  <c r="AV73" i="30"/>
  <c r="AW73" i="30"/>
  <c r="AX73" i="30"/>
  <c r="AY73" i="30"/>
  <c r="AZ73" i="30"/>
  <c r="BA73" i="30"/>
  <c r="BB73" i="30"/>
  <c r="BC73" i="30"/>
  <c r="BD73" i="30"/>
  <c r="BE73" i="30"/>
  <c r="BF73" i="30"/>
  <c r="BG73" i="30"/>
  <c r="BH73" i="30"/>
  <c r="BI73" i="30"/>
  <c r="BJ73" i="30"/>
  <c r="BK73" i="30"/>
  <c r="BL73" i="30"/>
  <c r="BM73" i="30"/>
  <c r="BN73" i="30"/>
  <c r="BO73" i="30"/>
  <c r="BP73" i="30"/>
  <c r="BQ73" i="30"/>
  <c r="BR73" i="30"/>
  <c r="BS73" i="30"/>
  <c r="BT73" i="30"/>
  <c r="BU73" i="30"/>
  <c r="BV73" i="30"/>
  <c r="BW73" i="30"/>
  <c r="BX73" i="30"/>
  <c r="BY73" i="30"/>
  <c r="BZ73" i="30"/>
  <c r="CA73" i="30"/>
  <c r="CB73" i="30"/>
  <c r="CC73" i="30"/>
  <c r="CD73" i="30"/>
  <c r="CE73" i="30"/>
  <c r="CF73" i="30"/>
  <c r="CG73" i="30"/>
  <c r="CH73" i="30"/>
  <c r="CI73" i="30"/>
  <c r="CJ73" i="30"/>
  <c r="CK73" i="30"/>
  <c r="CL73" i="30"/>
  <c r="CM73" i="30"/>
  <c r="CN73" i="30"/>
  <c r="CO73" i="30"/>
  <c r="CP73" i="30"/>
  <c r="CQ73" i="30"/>
  <c r="CR73" i="30"/>
  <c r="CS73" i="30"/>
  <c r="CT73" i="30"/>
  <c r="CU73" i="30"/>
  <c r="CV73" i="30"/>
  <c r="CW73" i="30"/>
  <c r="CX73" i="30"/>
  <c r="CY73" i="30"/>
  <c r="CZ73" i="30"/>
  <c r="DA73" i="30"/>
  <c r="DB73" i="30"/>
  <c r="DC73" i="30"/>
  <c r="DD73" i="30"/>
  <c r="DE73" i="30"/>
  <c r="DF73" i="30"/>
  <c r="DG73" i="30"/>
  <c r="DH73" i="30"/>
  <c r="DI73" i="30"/>
  <c r="DJ73" i="30"/>
  <c r="DK73" i="30"/>
  <c r="DL73" i="30"/>
  <c r="DM73" i="30"/>
  <c r="DN73" i="30"/>
  <c r="DO73" i="30"/>
  <c r="DP73" i="30"/>
  <c r="DQ73" i="30"/>
  <c r="DR73" i="30"/>
  <c r="DS73" i="30"/>
  <c r="DT73" i="30"/>
  <c r="DU73" i="30"/>
  <c r="DV73" i="30"/>
  <c r="DW73" i="30"/>
  <c r="DX73" i="30"/>
  <c r="DY73" i="30"/>
  <c r="DZ73" i="30"/>
  <c r="EA73" i="30"/>
  <c r="E74" i="30"/>
  <c r="I74" i="30"/>
  <c r="S74" i="30"/>
  <c r="T74" i="30"/>
  <c r="U74" i="30"/>
  <c r="V74" i="30"/>
  <c r="W74" i="30"/>
  <c r="X74" i="30"/>
  <c r="Y74" i="30"/>
  <c r="Z74" i="30"/>
  <c r="AA74" i="30"/>
  <c r="AB74" i="30"/>
  <c r="AC74" i="30"/>
  <c r="AD74" i="30"/>
  <c r="AE74" i="30"/>
  <c r="AF74" i="30"/>
  <c r="AG74" i="30"/>
  <c r="AH74" i="30"/>
  <c r="AI74" i="30"/>
  <c r="AJ74" i="30"/>
  <c r="AK74" i="30"/>
  <c r="I76" i="30"/>
  <c r="L76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G76" i="30"/>
  <c r="AH76" i="30"/>
  <c r="AI76" i="30"/>
  <c r="AJ76" i="30"/>
  <c r="AK76" i="30"/>
  <c r="AL76" i="30"/>
  <c r="AM76" i="30"/>
  <c r="AN76" i="30"/>
  <c r="AO76" i="30"/>
  <c r="AP76" i="30"/>
  <c r="AQ76" i="30"/>
  <c r="AR76" i="30"/>
  <c r="AS76" i="30"/>
  <c r="AT76" i="30"/>
  <c r="AU76" i="30"/>
  <c r="AV76" i="30"/>
  <c r="AW76" i="30"/>
  <c r="AX76" i="30"/>
  <c r="AY76" i="30"/>
  <c r="AZ76" i="30"/>
  <c r="BA76" i="30"/>
  <c r="BB76" i="30"/>
  <c r="BC76" i="30"/>
  <c r="BD76" i="30"/>
  <c r="BE76" i="30"/>
  <c r="BF76" i="30"/>
  <c r="BG76" i="30"/>
  <c r="BH76" i="30"/>
  <c r="BI76" i="30"/>
  <c r="BJ76" i="30"/>
  <c r="BK76" i="30"/>
  <c r="BL76" i="30"/>
  <c r="BM76" i="30"/>
  <c r="BN76" i="30"/>
  <c r="BO76" i="30"/>
  <c r="BP76" i="30"/>
  <c r="BQ76" i="30"/>
  <c r="BR76" i="30"/>
  <c r="BS76" i="30"/>
  <c r="BT76" i="30"/>
  <c r="BU76" i="30"/>
  <c r="BV76" i="30"/>
  <c r="BW76" i="30"/>
  <c r="BX76" i="30"/>
  <c r="BY76" i="30"/>
  <c r="BZ76" i="30"/>
  <c r="CA76" i="30"/>
  <c r="CB76" i="30"/>
  <c r="CC76" i="30"/>
  <c r="CD76" i="30"/>
  <c r="CE76" i="30"/>
  <c r="CF76" i="30"/>
  <c r="CG76" i="30"/>
  <c r="CH76" i="30"/>
  <c r="CI76" i="30"/>
  <c r="CJ76" i="30"/>
  <c r="CK76" i="30"/>
  <c r="CL76" i="30"/>
  <c r="CM76" i="30"/>
  <c r="CN76" i="30"/>
  <c r="CO76" i="30"/>
  <c r="CP76" i="30"/>
  <c r="CQ76" i="30"/>
  <c r="CR76" i="30"/>
  <c r="CS76" i="30"/>
  <c r="CT76" i="30"/>
  <c r="CU76" i="30"/>
  <c r="CV76" i="30"/>
  <c r="CW76" i="30"/>
  <c r="CX76" i="30"/>
  <c r="CY76" i="30"/>
  <c r="CZ76" i="30"/>
  <c r="DA76" i="30"/>
  <c r="DB76" i="30"/>
  <c r="DC76" i="30"/>
  <c r="DD76" i="30"/>
  <c r="DE76" i="30"/>
  <c r="DF76" i="30"/>
  <c r="DG76" i="30"/>
  <c r="DH76" i="30"/>
  <c r="DI76" i="30"/>
  <c r="DJ76" i="30"/>
  <c r="DK76" i="30"/>
  <c r="DL76" i="30"/>
  <c r="DM76" i="30"/>
  <c r="DN76" i="30"/>
  <c r="DO76" i="30"/>
  <c r="DP76" i="30"/>
  <c r="DQ76" i="30"/>
  <c r="DR76" i="30"/>
  <c r="DS76" i="30"/>
  <c r="DT76" i="30"/>
  <c r="DU76" i="30"/>
  <c r="DV76" i="30"/>
  <c r="DW76" i="30"/>
  <c r="DX76" i="30"/>
  <c r="DY76" i="30"/>
  <c r="DZ76" i="30"/>
  <c r="EA76" i="30"/>
  <c r="I83" i="30"/>
  <c r="L83" i="30"/>
  <c r="I86" i="30"/>
  <c r="L86" i="30"/>
  <c r="I90" i="30"/>
  <c r="N90" i="30"/>
  <c r="O90" i="30"/>
  <c r="P90" i="30"/>
  <c r="Q90" i="30"/>
  <c r="R90" i="30"/>
  <c r="S90" i="30"/>
  <c r="T90" i="30"/>
  <c r="U90" i="30"/>
  <c r="V90" i="30"/>
  <c r="W90" i="30"/>
  <c r="X90" i="30"/>
  <c r="Y90" i="30"/>
  <c r="Z90" i="30"/>
  <c r="AA90" i="30"/>
  <c r="AB90" i="30"/>
  <c r="AC90" i="30"/>
  <c r="AD90" i="30"/>
  <c r="I91" i="30"/>
  <c r="M91" i="30"/>
  <c r="N91" i="30"/>
  <c r="O91" i="30"/>
  <c r="P91" i="30"/>
  <c r="Q91" i="30"/>
  <c r="R91" i="30"/>
  <c r="S91" i="30"/>
  <c r="T91" i="30"/>
  <c r="U91" i="30"/>
  <c r="V91" i="30"/>
  <c r="W91" i="30"/>
  <c r="X91" i="30"/>
  <c r="Y91" i="30"/>
  <c r="Z91" i="30"/>
  <c r="AA91" i="30"/>
  <c r="AB91" i="30"/>
  <c r="AC91" i="30"/>
  <c r="I92" i="30"/>
  <c r="N92" i="30"/>
  <c r="O92" i="30"/>
  <c r="P92" i="30"/>
  <c r="Q92" i="30"/>
  <c r="R92" i="30"/>
  <c r="S92" i="30"/>
  <c r="T92" i="30"/>
  <c r="U92" i="30"/>
  <c r="V92" i="30"/>
  <c r="W92" i="30"/>
  <c r="X92" i="30"/>
  <c r="Y92" i="30"/>
  <c r="Z92" i="30"/>
  <c r="AA92" i="30"/>
  <c r="AB92" i="30"/>
  <c r="AC92" i="30"/>
  <c r="AD92" i="30"/>
  <c r="I93" i="30"/>
  <c r="L93" i="30"/>
  <c r="M93" i="30"/>
  <c r="N93" i="30"/>
  <c r="O93" i="30"/>
  <c r="P93" i="30"/>
  <c r="Q93" i="30"/>
  <c r="R93" i="30"/>
  <c r="S93" i="30"/>
  <c r="T93" i="30"/>
  <c r="U93" i="30"/>
  <c r="V93" i="30"/>
  <c r="W93" i="30"/>
  <c r="X93" i="30"/>
  <c r="Y93" i="30"/>
  <c r="Z93" i="30"/>
  <c r="AA93" i="30"/>
  <c r="AB93" i="30"/>
  <c r="AC93" i="30"/>
  <c r="AD93" i="30"/>
  <c r="AE93" i="30"/>
  <c r="AF93" i="30"/>
  <c r="AG93" i="30"/>
  <c r="AH93" i="30"/>
  <c r="AI93" i="30"/>
  <c r="AJ93" i="30"/>
  <c r="AK93" i="30"/>
  <c r="AL93" i="30"/>
  <c r="AM93" i="30"/>
  <c r="AN93" i="30"/>
  <c r="AO93" i="30"/>
  <c r="AP93" i="30"/>
  <c r="AQ93" i="30"/>
  <c r="AR93" i="30"/>
  <c r="AS93" i="30"/>
  <c r="AT93" i="30"/>
  <c r="AU93" i="30"/>
  <c r="AV93" i="30"/>
  <c r="AW93" i="30"/>
  <c r="AX93" i="30"/>
  <c r="AY93" i="30"/>
  <c r="AZ93" i="30"/>
  <c r="BA93" i="30"/>
  <c r="BB93" i="30"/>
  <c r="BC93" i="30"/>
  <c r="BD93" i="30"/>
  <c r="BE93" i="30"/>
  <c r="BF93" i="30"/>
  <c r="BG93" i="30"/>
  <c r="BH93" i="30"/>
  <c r="BI93" i="30"/>
  <c r="BJ93" i="30"/>
  <c r="BK93" i="30"/>
  <c r="BL93" i="30"/>
  <c r="BM93" i="30"/>
  <c r="BN93" i="30"/>
  <c r="BO93" i="30"/>
  <c r="BP93" i="30"/>
  <c r="BQ93" i="30"/>
  <c r="BR93" i="30"/>
  <c r="BS93" i="30"/>
  <c r="BT93" i="30"/>
  <c r="BU93" i="30"/>
  <c r="BV93" i="30"/>
  <c r="BW93" i="30"/>
  <c r="BX93" i="30"/>
  <c r="BY93" i="30"/>
  <c r="BZ93" i="30"/>
  <c r="CA93" i="30"/>
  <c r="CB93" i="30"/>
  <c r="CC93" i="30"/>
  <c r="CD93" i="30"/>
  <c r="CE93" i="30"/>
  <c r="CF93" i="30"/>
  <c r="CG93" i="30"/>
  <c r="CH93" i="30"/>
  <c r="CI93" i="30"/>
  <c r="CJ93" i="30"/>
  <c r="CK93" i="30"/>
  <c r="CL93" i="30"/>
  <c r="CM93" i="30"/>
  <c r="CN93" i="30"/>
  <c r="CO93" i="30"/>
  <c r="CP93" i="30"/>
  <c r="CQ93" i="30"/>
  <c r="CR93" i="30"/>
  <c r="CS93" i="30"/>
  <c r="CT93" i="30"/>
  <c r="CU93" i="30"/>
  <c r="CV93" i="30"/>
  <c r="CW93" i="30"/>
  <c r="CX93" i="30"/>
  <c r="CY93" i="30"/>
  <c r="CZ93" i="30"/>
  <c r="DA93" i="30"/>
  <c r="DB93" i="30"/>
  <c r="DC93" i="30"/>
  <c r="DD93" i="30"/>
  <c r="DE93" i="30"/>
  <c r="DF93" i="30"/>
  <c r="DG93" i="30"/>
  <c r="DH93" i="30"/>
  <c r="DI93" i="30"/>
  <c r="DJ93" i="30"/>
  <c r="DK93" i="30"/>
  <c r="DL93" i="30"/>
  <c r="DM93" i="30"/>
  <c r="DN93" i="30"/>
  <c r="DO93" i="30"/>
  <c r="DP93" i="30"/>
  <c r="DQ93" i="30"/>
  <c r="DR93" i="30"/>
  <c r="DS93" i="30"/>
  <c r="DT93" i="30"/>
  <c r="DU93" i="30"/>
  <c r="DV93" i="30"/>
  <c r="DW93" i="30"/>
  <c r="DX93" i="30"/>
  <c r="DY93" i="30"/>
  <c r="DZ93" i="30"/>
  <c r="EA93" i="30"/>
  <c r="I94" i="30"/>
  <c r="S94" i="30"/>
  <c r="T94" i="30"/>
  <c r="U94" i="30"/>
  <c r="V94" i="30"/>
  <c r="W94" i="30"/>
  <c r="X94" i="30"/>
  <c r="Y94" i="30"/>
  <c r="Z94" i="30"/>
  <c r="AA94" i="30"/>
  <c r="AB94" i="30"/>
  <c r="AC94" i="30"/>
  <c r="AD94" i="30"/>
  <c r="AE94" i="30"/>
  <c r="AF94" i="30"/>
  <c r="AG94" i="30"/>
  <c r="AH94" i="30"/>
  <c r="AI94" i="30"/>
  <c r="AJ94" i="30"/>
  <c r="AK94" i="30"/>
  <c r="I96" i="30"/>
  <c r="L96" i="30"/>
  <c r="M96" i="30"/>
  <c r="N96" i="30"/>
  <c r="O96" i="30"/>
  <c r="P96" i="30"/>
  <c r="Q96" i="30"/>
  <c r="R96" i="30"/>
  <c r="S96" i="30"/>
  <c r="T96" i="30"/>
  <c r="U96" i="30"/>
  <c r="V96" i="30"/>
  <c r="W96" i="30"/>
  <c r="X96" i="30"/>
  <c r="Y96" i="30"/>
  <c r="Z96" i="30"/>
  <c r="AA96" i="30"/>
  <c r="AB96" i="30"/>
  <c r="AC96" i="30"/>
  <c r="AD96" i="30"/>
  <c r="AE96" i="30"/>
  <c r="AF96" i="30"/>
  <c r="AG96" i="30"/>
  <c r="AH96" i="30"/>
  <c r="AI96" i="30"/>
  <c r="AJ96" i="30"/>
  <c r="AK96" i="30"/>
  <c r="AL96" i="30"/>
  <c r="AM96" i="30"/>
  <c r="AN96" i="30"/>
  <c r="AO96" i="30"/>
  <c r="AP96" i="30"/>
  <c r="AQ96" i="30"/>
  <c r="AR96" i="30"/>
  <c r="AS96" i="30"/>
  <c r="AT96" i="30"/>
  <c r="AU96" i="30"/>
  <c r="AV96" i="30"/>
  <c r="AW96" i="30"/>
  <c r="AX96" i="30"/>
  <c r="AY96" i="30"/>
  <c r="AZ96" i="30"/>
  <c r="BA96" i="30"/>
  <c r="BB96" i="30"/>
  <c r="BC96" i="30"/>
  <c r="BD96" i="30"/>
  <c r="BE96" i="30"/>
  <c r="BF96" i="30"/>
  <c r="BG96" i="30"/>
  <c r="BH96" i="30"/>
  <c r="BI96" i="30"/>
  <c r="BJ96" i="30"/>
  <c r="BK96" i="30"/>
  <c r="BL96" i="30"/>
  <c r="BM96" i="30"/>
  <c r="BN96" i="30"/>
  <c r="BO96" i="30"/>
  <c r="BP96" i="30"/>
  <c r="BQ96" i="30"/>
  <c r="BR96" i="30"/>
  <c r="BS96" i="30"/>
  <c r="BT96" i="30"/>
  <c r="BU96" i="30"/>
  <c r="BV96" i="30"/>
  <c r="BW96" i="30"/>
  <c r="BX96" i="30"/>
  <c r="BY96" i="30"/>
  <c r="BZ96" i="30"/>
  <c r="CA96" i="30"/>
  <c r="CB96" i="30"/>
  <c r="CC96" i="30"/>
  <c r="CD96" i="30"/>
  <c r="CE96" i="30"/>
  <c r="CF96" i="30"/>
  <c r="CG96" i="30"/>
  <c r="CH96" i="30"/>
  <c r="CI96" i="30"/>
  <c r="CJ96" i="30"/>
  <c r="CK96" i="30"/>
  <c r="CL96" i="30"/>
  <c r="CM96" i="30"/>
  <c r="CN96" i="30"/>
  <c r="CO96" i="30"/>
  <c r="CP96" i="30"/>
  <c r="CQ96" i="30"/>
  <c r="CR96" i="30"/>
  <c r="CS96" i="30"/>
  <c r="CT96" i="30"/>
  <c r="CU96" i="30"/>
  <c r="CV96" i="30"/>
  <c r="CW96" i="30"/>
  <c r="CX96" i="30"/>
  <c r="CY96" i="30"/>
  <c r="CZ96" i="30"/>
  <c r="DA96" i="30"/>
  <c r="DB96" i="30"/>
  <c r="DC96" i="30"/>
  <c r="DD96" i="30"/>
  <c r="DE96" i="30"/>
  <c r="DF96" i="30"/>
  <c r="DG96" i="30"/>
  <c r="DH96" i="30"/>
  <c r="DI96" i="30"/>
  <c r="DJ96" i="30"/>
  <c r="DK96" i="30"/>
  <c r="DL96" i="30"/>
  <c r="DM96" i="30"/>
  <c r="DN96" i="30"/>
  <c r="DO96" i="30"/>
  <c r="DP96" i="30"/>
  <c r="DQ96" i="30"/>
  <c r="DR96" i="30"/>
  <c r="DS96" i="30"/>
  <c r="DT96" i="30"/>
  <c r="DU96" i="30"/>
  <c r="DV96" i="30"/>
  <c r="DW96" i="30"/>
  <c r="DX96" i="30"/>
  <c r="DY96" i="30"/>
  <c r="DZ96" i="30"/>
  <c r="EA96" i="30"/>
  <c r="I98" i="30"/>
  <c r="L98" i="30"/>
  <c r="M98" i="30"/>
  <c r="N98" i="30"/>
  <c r="O98" i="30"/>
  <c r="P98" i="30"/>
  <c r="Q98" i="30"/>
  <c r="R98" i="30"/>
  <c r="S98" i="30"/>
  <c r="T98" i="30"/>
  <c r="U98" i="30"/>
  <c r="V98" i="30"/>
  <c r="W98" i="30"/>
  <c r="X98" i="30"/>
  <c r="Y98" i="30"/>
  <c r="Z98" i="30"/>
  <c r="AA98" i="30"/>
  <c r="AB98" i="30"/>
  <c r="AC98" i="30"/>
  <c r="AD98" i="30"/>
  <c r="AE98" i="30"/>
  <c r="AF98" i="30"/>
  <c r="AG98" i="30"/>
  <c r="AH98" i="30"/>
  <c r="AI98" i="30"/>
  <c r="AJ98" i="30"/>
  <c r="AK98" i="30"/>
  <c r="AL98" i="30"/>
  <c r="AM98" i="30"/>
  <c r="AN98" i="30"/>
  <c r="AO98" i="30"/>
  <c r="AP98" i="30"/>
  <c r="AQ98" i="30"/>
  <c r="AR98" i="30"/>
  <c r="AS98" i="30"/>
  <c r="AT98" i="30"/>
  <c r="AU98" i="30"/>
  <c r="AV98" i="30"/>
  <c r="AW98" i="30"/>
  <c r="AX98" i="30"/>
  <c r="AY98" i="30"/>
  <c r="AZ98" i="30"/>
  <c r="BA98" i="30"/>
  <c r="BB98" i="30"/>
  <c r="BC98" i="30"/>
  <c r="BD98" i="30"/>
  <c r="BE98" i="30"/>
  <c r="BF98" i="30"/>
  <c r="BG98" i="30"/>
  <c r="BH98" i="30"/>
  <c r="BI98" i="30"/>
  <c r="BJ98" i="30"/>
  <c r="BK98" i="30"/>
  <c r="BL98" i="30"/>
  <c r="BM98" i="30"/>
  <c r="BN98" i="30"/>
  <c r="BO98" i="30"/>
  <c r="BP98" i="30"/>
  <c r="BQ98" i="30"/>
  <c r="BR98" i="30"/>
  <c r="BS98" i="30"/>
  <c r="BT98" i="30"/>
  <c r="BU98" i="30"/>
  <c r="BV98" i="30"/>
  <c r="BW98" i="30"/>
  <c r="BX98" i="30"/>
  <c r="BY98" i="30"/>
  <c r="BZ98" i="30"/>
  <c r="CA98" i="30"/>
  <c r="CB98" i="30"/>
  <c r="CC98" i="30"/>
  <c r="CD98" i="30"/>
  <c r="CE98" i="30"/>
  <c r="CF98" i="30"/>
  <c r="CG98" i="30"/>
  <c r="CH98" i="30"/>
  <c r="CI98" i="30"/>
  <c r="CJ98" i="30"/>
  <c r="CK98" i="30"/>
  <c r="CL98" i="30"/>
  <c r="CM98" i="30"/>
  <c r="CN98" i="30"/>
  <c r="CO98" i="30"/>
  <c r="CP98" i="30"/>
  <c r="CQ98" i="30"/>
  <c r="CR98" i="30"/>
  <c r="CS98" i="30"/>
  <c r="CT98" i="30"/>
  <c r="CU98" i="30"/>
  <c r="CV98" i="30"/>
  <c r="CW98" i="30"/>
  <c r="CX98" i="30"/>
  <c r="CY98" i="30"/>
  <c r="CZ98" i="30"/>
  <c r="DA98" i="30"/>
  <c r="DB98" i="30"/>
  <c r="DC98" i="30"/>
  <c r="DD98" i="30"/>
  <c r="DE98" i="30"/>
  <c r="DF98" i="30"/>
  <c r="DG98" i="30"/>
  <c r="DH98" i="30"/>
  <c r="DI98" i="30"/>
  <c r="DJ98" i="30"/>
  <c r="DK98" i="30"/>
  <c r="DL98" i="30"/>
  <c r="DM98" i="30"/>
  <c r="DN98" i="30"/>
  <c r="DO98" i="30"/>
  <c r="DP98" i="30"/>
  <c r="DQ98" i="30"/>
  <c r="DR98" i="30"/>
  <c r="DS98" i="30"/>
  <c r="DT98" i="30"/>
  <c r="DU98" i="30"/>
  <c r="DV98" i="30"/>
  <c r="DW98" i="30"/>
  <c r="DX98" i="30"/>
  <c r="DY98" i="30"/>
  <c r="DZ98" i="30"/>
  <c r="EA98" i="30"/>
  <c r="E99" i="30"/>
  <c r="E100" i="30"/>
  <c r="F103" i="30"/>
  <c r="G103" i="30"/>
  <c r="I103" i="30"/>
  <c r="L103" i="30"/>
  <c r="M103" i="30"/>
  <c r="N103" i="30"/>
  <c r="O103" i="30"/>
  <c r="P103" i="30"/>
  <c r="Q103" i="30"/>
  <c r="R103" i="30"/>
  <c r="S103" i="30"/>
  <c r="T103" i="30"/>
  <c r="U103" i="30"/>
  <c r="V103" i="30"/>
  <c r="W103" i="30"/>
  <c r="X103" i="30"/>
  <c r="Y103" i="30"/>
  <c r="Z103" i="30"/>
  <c r="AA103" i="30"/>
  <c r="AB103" i="30"/>
  <c r="AC103" i="30"/>
  <c r="AD103" i="30"/>
  <c r="AE103" i="30"/>
  <c r="AF103" i="30"/>
  <c r="AG103" i="30"/>
  <c r="AH103" i="30"/>
  <c r="AI103" i="30"/>
  <c r="AJ103" i="30"/>
  <c r="AK103" i="30"/>
  <c r="AL103" i="30"/>
  <c r="AM103" i="30"/>
  <c r="AN103" i="30"/>
  <c r="AO103" i="30"/>
  <c r="AP103" i="30"/>
  <c r="AQ103" i="30"/>
  <c r="AR103" i="30"/>
  <c r="AS103" i="30"/>
  <c r="AT103" i="30"/>
  <c r="AU103" i="30"/>
  <c r="AV103" i="30"/>
  <c r="AW103" i="30"/>
  <c r="AX103" i="30"/>
  <c r="AY103" i="30"/>
  <c r="AZ103" i="30"/>
  <c r="BA103" i="30"/>
  <c r="BB103" i="30"/>
  <c r="BC103" i="30"/>
  <c r="BD103" i="30"/>
  <c r="BE103" i="30"/>
  <c r="BF103" i="30"/>
  <c r="BG103" i="30"/>
  <c r="BH103" i="30"/>
  <c r="BI103" i="30"/>
  <c r="BJ103" i="30"/>
  <c r="BK103" i="30"/>
  <c r="BL103" i="30"/>
  <c r="BM103" i="30"/>
  <c r="BN103" i="30"/>
  <c r="BO103" i="30"/>
  <c r="BP103" i="30"/>
  <c r="BQ103" i="30"/>
  <c r="BR103" i="30"/>
  <c r="BS103" i="30"/>
  <c r="BT103" i="30"/>
  <c r="BU103" i="30"/>
  <c r="BV103" i="30"/>
  <c r="BW103" i="30"/>
  <c r="BX103" i="30"/>
  <c r="BY103" i="30"/>
  <c r="BZ103" i="30"/>
  <c r="CA103" i="30"/>
  <c r="CB103" i="30"/>
  <c r="CC103" i="30"/>
  <c r="CD103" i="30"/>
  <c r="CE103" i="30"/>
  <c r="CF103" i="30"/>
  <c r="CG103" i="30"/>
  <c r="CH103" i="30"/>
  <c r="CI103" i="30"/>
  <c r="CJ103" i="30"/>
  <c r="CK103" i="30"/>
  <c r="CL103" i="30"/>
  <c r="CM103" i="30"/>
  <c r="CN103" i="30"/>
  <c r="CO103" i="30"/>
  <c r="CP103" i="30"/>
  <c r="CQ103" i="30"/>
  <c r="CR103" i="30"/>
  <c r="CS103" i="30"/>
  <c r="CT103" i="30"/>
  <c r="CU103" i="30"/>
  <c r="CV103" i="30"/>
  <c r="CW103" i="30"/>
  <c r="CX103" i="30"/>
  <c r="CY103" i="30"/>
  <c r="CZ103" i="30"/>
  <c r="DA103" i="30"/>
  <c r="DB103" i="30"/>
  <c r="DC103" i="30"/>
  <c r="DD103" i="30"/>
  <c r="DE103" i="30"/>
  <c r="DF103" i="30"/>
  <c r="DG103" i="30"/>
  <c r="DH103" i="30"/>
  <c r="DI103" i="30"/>
  <c r="DJ103" i="30"/>
  <c r="DK103" i="30"/>
  <c r="DL103" i="30"/>
  <c r="DM103" i="30"/>
  <c r="DN103" i="30"/>
  <c r="DO103" i="30"/>
  <c r="DP103" i="30"/>
  <c r="DQ103" i="30"/>
  <c r="DR103" i="30"/>
  <c r="DS103" i="30"/>
  <c r="DT103" i="30"/>
  <c r="DU103" i="30"/>
  <c r="DV103" i="30"/>
  <c r="DW103" i="30"/>
  <c r="DX103" i="30"/>
  <c r="DY103" i="30"/>
  <c r="DZ103" i="30"/>
  <c r="EA103" i="30"/>
  <c r="G104" i="30"/>
  <c r="I104" i="30"/>
  <c r="L104" i="30"/>
  <c r="E105" i="30"/>
  <c r="F105" i="30"/>
  <c r="G105" i="30"/>
  <c r="L107" i="30"/>
  <c r="M107" i="30"/>
  <c r="N107" i="30"/>
  <c r="O107" i="30"/>
  <c r="P107" i="30"/>
  <c r="Q107" i="30"/>
  <c r="R107" i="30"/>
  <c r="S107" i="30"/>
  <c r="T107" i="30"/>
  <c r="U107" i="30"/>
  <c r="V107" i="30"/>
  <c r="W107" i="30"/>
  <c r="X107" i="30"/>
  <c r="Y107" i="30"/>
  <c r="Z107" i="30"/>
  <c r="AA107" i="30"/>
  <c r="AB107" i="30"/>
  <c r="AC107" i="30"/>
  <c r="AD107" i="30"/>
  <c r="AE107" i="30"/>
  <c r="AF107" i="30"/>
  <c r="AG107" i="30"/>
  <c r="AH107" i="30"/>
  <c r="AI107" i="30"/>
  <c r="AJ107" i="30"/>
  <c r="AK107" i="30"/>
  <c r="AL107" i="30"/>
  <c r="AM107" i="30"/>
  <c r="AN107" i="30"/>
  <c r="AO107" i="30"/>
  <c r="AP107" i="30"/>
  <c r="AQ107" i="30"/>
  <c r="AR107" i="30"/>
  <c r="AS107" i="30"/>
  <c r="AT107" i="30"/>
  <c r="AU107" i="30"/>
  <c r="AV107" i="30"/>
  <c r="AW107" i="30"/>
  <c r="AX107" i="30"/>
  <c r="AY107" i="30"/>
  <c r="AZ107" i="30"/>
  <c r="BA107" i="30"/>
  <c r="BB107" i="30"/>
  <c r="BC107" i="30"/>
  <c r="BD107" i="30"/>
  <c r="BE107" i="30"/>
  <c r="BF107" i="30"/>
  <c r="BG107" i="30"/>
  <c r="BH107" i="30"/>
  <c r="BI107" i="30"/>
  <c r="BJ107" i="30"/>
  <c r="BK107" i="30"/>
  <c r="BL107" i="30"/>
  <c r="BM107" i="30"/>
  <c r="BN107" i="30"/>
  <c r="BO107" i="30"/>
  <c r="BP107" i="30"/>
  <c r="BQ107" i="30"/>
  <c r="BR107" i="30"/>
  <c r="BS107" i="30"/>
  <c r="BT107" i="30"/>
  <c r="BU107" i="30"/>
  <c r="BV107" i="30"/>
  <c r="BW107" i="30"/>
  <c r="BX107" i="30"/>
  <c r="BY107" i="30"/>
  <c r="BZ107" i="30"/>
  <c r="CA107" i="30"/>
  <c r="CB107" i="30"/>
  <c r="CC107" i="30"/>
  <c r="CD107" i="30"/>
  <c r="CE107" i="30"/>
  <c r="CF107" i="30"/>
  <c r="CG107" i="30"/>
  <c r="CH107" i="30"/>
  <c r="CI107" i="30"/>
  <c r="CJ107" i="30"/>
  <c r="CK107" i="30"/>
  <c r="CL107" i="30"/>
  <c r="CM107" i="30"/>
  <c r="CN107" i="30"/>
  <c r="CO107" i="30"/>
  <c r="CP107" i="30"/>
  <c r="CQ107" i="30"/>
  <c r="CR107" i="30"/>
  <c r="CS107" i="30"/>
  <c r="CT107" i="30"/>
  <c r="CU107" i="30"/>
  <c r="CV107" i="30"/>
  <c r="CW107" i="30"/>
  <c r="CX107" i="30"/>
  <c r="CY107" i="30"/>
  <c r="CZ107" i="30"/>
  <c r="DA107" i="30"/>
  <c r="DB107" i="30"/>
  <c r="DC107" i="30"/>
  <c r="DD107" i="30"/>
  <c r="DE107" i="30"/>
  <c r="DF107" i="30"/>
  <c r="DG107" i="30"/>
  <c r="DH107" i="30"/>
  <c r="DI107" i="30"/>
  <c r="DJ107" i="30"/>
  <c r="DK107" i="30"/>
  <c r="DL107" i="30"/>
  <c r="DM107" i="30"/>
  <c r="DN107" i="30"/>
  <c r="DO107" i="30"/>
  <c r="DP107" i="30"/>
  <c r="DQ107" i="30"/>
  <c r="DR107" i="30"/>
  <c r="DS107" i="30"/>
  <c r="DT107" i="30"/>
  <c r="DU107" i="30"/>
  <c r="DV107" i="30"/>
  <c r="DW107" i="30"/>
  <c r="DX107" i="30"/>
  <c r="DY107" i="30"/>
  <c r="DZ107" i="30"/>
  <c r="EA107" i="30"/>
  <c r="E108" i="30"/>
  <c r="F108" i="30"/>
  <c r="G108" i="30"/>
  <c r="M108" i="30"/>
  <c r="N108" i="30"/>
  <c r="O108" i="30"/>
  <c r="P108" i="30"/>
  <c r="Q108" i="30"/>
  <c r="R108" i="30"/>
  <c r="S108" i="30"/>
  <c r="T108" i="30"/>
  <c r="U108" i="30"/>
  <c r="V108" i="30"/>
  <c r="W108" i="30"/>
  <c r="X108" i="30"/>
  <c r="Y108" i="30"/>
  <c r="Z108" i="30"/>
  <c r="AA108" i="30"/>
  <c r="AB108" i="30"/>
  <c r="AC108" i="30"/>
  <c r="AD108" i="30"/>
  <c r="AE108" i="30"/>
  <c r="AF108" i="30"/>
  <c r="AG108" i="30"/>
  <c r="AH108" i="30"/>
  <c r="AI108" i="30"/>
  <c r="AJ108" i="30"/>
  <c r="AK108" i="30"/>
  <c r="AL108" i="30"/>
  <c r="AM108" i="30"/>
  <c r="AN108" i="30"/>
  <c r="AO108" i="30"/>
  <c r="AP108" i="30"/>
  <c r="AQ108" i="30"/>
  <c r="AR108" i="30"/>
  <c r="AS108" i="30"/>
  <c r="AT108" i="30"/>
  <c r="AU108" i="30"/>
  <c r="AV108" i="30"/>
  <c r="AW108" i="30"/>
  <c r="AX108" i="30"/>
  <c r="AY108" i="30"/>
  <c r="AZ108" i="30"/>
  <c r="BA108" i="30"/>
  <c r="BB108" i="30"/>
  <c r="BC108" i="30"/>
  <c r="BD108" i="30"/>
  <c r="BE108" i="30"/>
  <c r="BF108" i="30"/>
  <c r="BG108" i="30"/>
  <c r="BH108" i="30"/>
  <c r="BI108" i="30"/>
  <c r="BJ108" i="30"/>
  <c r="BK108" i="30"/>
  <c r="BL108" i="30"/>
  <c r="BM108" i="30"/>
  <c r="BN108" i="30"/>
  <c r="BO108" i="30"/>
  <c r="BP108" i="30"/>
  <c r="BQ108" i="30"/>
  <c r="BR108" i="30"/>
  <c r="BS108" i="30"/>
  <c r="BT108" i="30"/>
  <c r="BU108" i="30"/>
  <c r="BV108" i="30"/>
  <c r="BW108" i="30"/>
  <c r="BX108" i="30"/>
  <c r="BY108" i="30"/>
  <c r="BZ108" i="30"/>
  <c r="CA108" i="30"/>
  <c r="CB108" i="30"/>
  <c r="CC108" i="30"/>
  <c r="CD108" i="30"/>
  <c r="CE108" i="30"/>
  <c r="CF108" i="30"/>
  <c r="CG108" i="30"/>
  <c r="CH108" i="30"/>
  <c r="CI108" i="30"/>
  <c r="CJ108" i="30"/>
  <c r="CK108" i="30"/>
  <c r="CL108" i="30"/>
  <c r="CM108" i="30"/>
  <c r="CN108" i="30"/>
  <c r="CO108" i="30"/>
  <c r="CP108" i="30"/>
  <c r="CQ108" i="30"/>
  <c r="CR108" i="30"/>
  <c r="CS108" i="30"/>
  <c r="CT108" i="30"/>
  <c r="CU108" i="30"/>
  <c r="CV108" i="30"/>
  <c r="CW108" i="30"/>
  <c r="CX108" i="30"/>
  <c r="CY108" i="30"/>
  <c r="CZ108" i="30"/>
  <c r="DA108" i="30"/>
  <c r="DB108" i="30"/>
  <c r="DC108" i="30"/>
  <c r="DD108" i="30"/>
  <c r="DE108" i="30"/>
  <c r="DF108" i="30"/>
  <c r="DG108" i="30"/>
  <c r="DH108" i="30"/>
  <c r="DI108" i="30"/>
  <c r="DJ108" i="30"/>
  <c r="DK108" i="30"/>
  <c r="DL108" i="30"/>
  <c r="DM108" i="30"/>
  <c r="DN108" i="30"/>
  <c r="DO108" i="30"/>
  <c r="DP108" i="30"/>
  <c r="DQ108" i="30"/>
  <c r="DR108" i="30"/>
  <c r="DS108" i="30"/>
  <c r="DT108" i="30"/>
  <c r="DU108" i="30"/>
  <c r="DV108" i="30"/>
  <c r="DW108" i="30"/>
  <c r="DX108" i="30"/>
  <c r="DY108" i="30"/>
  <c r="DZ108" i="30"/>
  <c r="EA108" i="30"/>
  <c r="E109" i="30"/>
  <c r="I109" i="30"/>
  <c r="L109" i="30"/>
  <c r="M109" i="30"/>
  <c r="N109" i="30"/>
  <c r="O109" i="30"/>
  <c r="P109" i="30"/>
  <c r="Q109" i="30"/>
  <c r="R109" i="30"/>
  <c r="S109" i="30"/>
  <c r="T109" i="30"/>
  <c r="U109" i="30"/>
  <c r="V109" i="30"/>
  <c r="W109" i="30"/>
  <c r="X109" i="30"/>
  <c r="Y109" i="30"/>
  <c r="Z109" i="30"/>
  <c r="AA109" i="30"/>
  <c r="AB109" i="30"/>
  <c r="AC109" i="30"/>
  <c r="AD109" i="30"/>
  <c r="AE109" i="30"/>
  <c r="AF109" i="30"/>
  <c r="AG109" i="30"/>
  <c r="AH109" i="30"/>
  <c r="AI109" i="30"/>
  <c r="AJ109" i="30"/>
  <c r="AK109" i="30"/>
  <c r="AL109" i="30"/>
  <c r="AM109" i="30"/>
  <c r="AN109" i="30"/>
  <c r="AO109" i="30"/>
  <c r="AP109" i="30"/>
  <c r="AQ109" i="30"/>
  <c r="AR109" i="30"/>
  <c r="AS109" i="30"/>
  <c r="AT109" i="30"/>
  <c r="AU109" i="30"/>
  <c r="AV109" i="30"/>
  <c r="AW109" i="30"/>
  <c r="AX109" i="30"/>
  <c r="AY109" i="30"/>
  <c r="AZ109" i="30"/>
  <c r="BA109" i="30"/>
  <c r="BB109" i="30"/>
  <c r="BC109" i="30"/>
  <c r="BD109" i="30"/>
  <c r="BE109" i="30"/>
  <c r="BF109" i="30"/>
  <c r="BG109" i="30"/>
  <c r="BH109" i="30"/>
  <c r="BI109" i="30"/>
  <c r="BJ109" i="30"/>
  <c r="BK109" i="30"/>
  <c r="BL109" i="30"/>
  <c r="BM109" i="30"/>
  <c r="BN109" i="30"/>
  <c r="BO109" i="30"/>
  <c r="BP109" i="30"/>
  <c r="BQ109" i="30"/>
  <c r="BR109" i="30"/>
  <c r="BS109" i="30"/>
  <c r="BT109" i="30"/>
  <c r="BU109" i="30"/>
  <c r="BV109" i="30"/>
  <c r="BW109" i="30"/>
  <c r="BX109" i="30"/>
  <c r="BY109" i="30"/>
  <c r="BZ109" i="30"/>
  <c r="CA109" i="30"/>
  <c r="CB109" i="30"/>
  <c r="CC109" i="30"/>
  <c r="CD109" i="30"/>
  <c r="CE109" i="30"/>
  <c r="CF109" i="30"/>
  <c r="CG109" i="30"/>
  <c r="CH109" i="30"/>
  <c r="CI109" i="30"/>
  <c r="CJ109" i="30"/>
  <c r="CK109" i="30"/>
  <c r="CL109" i="30"/>
  <c r="CM109" i="30"/>
  <c r="CN109" i="30"/>
  <c r="CO109" i="30"/>
  <c r="CP109" i="30"/>
  <c r="CQ109" i="30"/>
  <c r="CR109" i="30"/>
  <c r="CS109" i="30"/>
  <c r="CT109" i="30"/>
  <c r="CU109" i="30"/>
  <c r="CV109" i="30"/>
  <c r="CW109" i="30"/>
  <c r="CX109" i="30"/>
  <c r="CY109" i="30"/>
  <c r="CZ109" i="30"/>
  <c r="DA109" i="30"/>
  <c r="DB109" i="30"/>
  <c r="DC109" i="30"/>
  <c r="DD109" i="30"/>
  <c r="DE109" i="30"/>
  <c r="DF109" i="30"/>
  <c r="DG109" i="30"/>
  <c r="DH109" i="30"/>
  <c r="DI109" i="30"/>
  <c r="DJ109" i="30"/>
  <c r="DK109" i="30"/>
  <c r="DL109" i="30"/>
  <c r="DM109" i="30"/>
  <c r="DN109" i="30"/>
  <c r="DO109" i="30"/>
  <c r="DP109" i="30"/>
  <c r="DQ109" i="30"/>
  <c r="DR109" i="30"/>
  <c r="DS109" i="30"/>
  <c r="DT109" i="30"/>
  <c r="DU109" i="30"/>
  <c r="DV109" i="30"/>
  <c r="DW109" i="30"/>
  <c r="DX109" i="30"/>
  <c r="DY109" i="30"/>
  <c r="DZ109" i="30"/>
  <c r="EA109" i="30"/>
  <c r="I110" i="30"/>
  <c r="AK110" i="30"/>
  <c r="I111" i="30"/>
  <c r="L111" i="30"/>
  <c r="M111" i="30"/>
  <c r="N111" i="30"/>
  <c r="O111" i="30"/>
  <c r="P111" i="30"/>
  <c r="Q111" i="30"/>
  <c r="R111" i="30"/>
  <c r="S111" i="30"/>
  <c r="T111" i="30"/>
  <c r="U111" i="30"/>
  <c r="V111" i="30"/>
  <c r="W111" i="30"/>
  <c r="X111" i="30"/>
  <c r="Y111" i="30"/>
  <c r="Z111" i="30"/>
  <c r="AA111" i="30"/>
  <c r="AB111" i="30"/>
  <c r="AC111" i="30"/>
  <c r="AD111" i="30"/>
  <c r="AE111" i="30"/>
  <c r="AF111" i="30"/>
  <c r="AG111" i="30"/>
  <c r="AH111" i="30"/>
  <c r="AI111" i="30"/>
  <c r="AJ111" i="30"/>
  <c r="AK111" i="30"/>
  <c r="AL111" i="30"/>
  <c r="AM111" i="30"/>
  <c r="AN111" i="30"/>
  <c r="AO111" i="30"/>
  <c r="AP111" i="30"/>
  <c r="AQ111" i="30"/>
  <c r="AR111" i="30"/>
  <c r="AS111" i="30"/>
  <c r="AT111" i="30"/>
  <c r="AU111" i="30"/>
  <c r="AV111" i="30"/>
  <c r="AW111" i="30"/>
  <c r="AX111" i="30"/>
  <c r="AY111" i="30"/>
  <c r="AZ111" i="30"/>
  <c r="BA111" i="30"/>
  <c r="BB111" i="30"/>
  <c r="BC111" i="30"/>
  <c r="BD111" i="30"/>
  <c r="BE111" i="30"/>
  <c r="BF111" i="30"/>
  <c r="BG111" i="30"/>
  <c r="BH111" i="30"/>
  <c r="BI111" i="30"/>
  <c r="BJ111" i="30"/>
  <c r="BK111" i="30"/>
  <c r="BL111" i="30"/>
  <c r="BM111" i="30"/>
  <c r="BN111" i="30"/>
  <c r="BO111" i="30"/>
  <c r="BP111" i="30"/>
  <c r="BQ111" i="30"/>
  <c r="BR111" i="30"/>
  <c r="BS111" i="30"/>
  <c r="BT111" i="30"/>
  <c r="BU111" i="30"/>
  <c r="BV111" i="30"/>
  <c r="BW111" i="30"/>
  <c r="BX111" i="30"/>
  <c r="BY111" i="30"/>
  <c r="BZ111" i="30"/>
  <c r="CA111" i="30"/>
  <c r="CB111" i="30"/>
  <c r="CC111" i="30"/>
  <c r="CD111" i="30"/>
  <c r="CE111" i="30"/>
  <c r="CF111" i="30"/>
  <c r="CG111" i="30"/>
  <c r="CH111" i="30"/>
  <c r="CI111" i="30"/>
  <c r="CJ111" i="30"/>
  <c r="CK111" i="30"/>
  <c r="CL111" i="30"/>
  <c r="CM111" i="30"/>
  <c r="CN111" i="30"/>
  <c r="CO111" i="30"/>
  <c r="CP111" i="30"/>
  <c r="CQ111" i="30"/>
  <c r="CR111" i="30"/>
  <c r="CS111" i="30"/>
  <c r="CT111" i="30"/>
  <c r="CU111" i="30"/>
  <c r="CV111" i="30"/>
  <c r="CW111" i="30"/>
  <c r="CX111" i="30"/>
  <c r="CY111" i="30"/>
  <c r="CZ111" i="30"/>
  <c r="DA111" i="30"/>
  <c r="DB111" i="30"/>
  <c r="DC111" i="30"/>
  <c r="DD111" i="30"/>
  <c r="DE111" i="30"/>
  <c r="DF111" i="30"/>
  <c r="DG111" i="30"/>
  <c r="DH111" i="30"/>
  <c r="DI111" i="30"/>
  <c r="DJ111" i="30"/>
  <c r="DK111" i="30"/>
  <c r="DL111" i="30"/>
  <c r="DM111" i="30"/>
  <c r="DN111" i="30"/>
  <c r="DO111" i="30"/>
  <c r="DP111" i="30"/>
  <c r="DQ111" i="30"/>
  <c r="DR111" i="30"/>
  <c r="DS111" i="30"/>
  <c r="DT111" i="30"/>
  <c r="DU111" i="30"/>
  <c r="DV111" i="30"/>
  <c r="DW111" i="30"/>
  <c r="DX111" i="30"/>
  <c r="DY111" i="30"/>
  <c r="DZ111" i="30"/>
  <c r="EA111" i="30"/>
  <c r="I112" i="30"/>
  <c r="L112" i="30"/>
  <c r="M112" i="30"/>
  <c r="L114" i="30"/>
  <c r="M114" i="30"/>
  <c r="N114" i="30"/>
  <c r="O114" i="30"/>
  <c r="P114" i="30"/>
  <c r="Q114" i="30"/>
  <c r="R114" i="30"/>
  <c r="S114" i="30"/>
  <c r="T114" i="30"/>
  <c r="U114" i="30"/>
  <c r="V114" i="30"/>
  <c r="W114" i="30"/>
  <c r="X114" i="30"/>
  <c r="Y114" i="30"/>
  <c r="Z114" i="30"/>
  <c r="AA114" i="30"/>
  <c r="AB114" i="30"/>
  <c r="AC114" i="30"/>
  <c r="AD114" i="30"/>
  <c r="AE114" i="30"/>
  <c r="AF114" i="30"/>
  <c r="AG114" i="30"/>
  <c r="AH114" i="30"/>
  <c r="AI114" i="30"/>
  <c r="AJ114" i="30"/>
  <c r="AK114" i="30"/>
  <c r="AL114" i="30"/>
  <c r="AM114" i="30"/>
  <c r="AN114" i="30"/>
  <c r="AO114" i="30"/>
  <c r="AP114" i="30"/>
  <c r="AQ114" i="30"/>
  <c r="AR114" i="30"/>
  <c r="AS114" i="30"/>
  <c r="AT114" i="30"/>
  <c r="AU114" i="30"/>
  <c r="AV114" i="30"/>
  <c r="AW114" i="30"/>
  <c r="AX114" i="30"/>
  <c r="AY114" i="30"/>
  <c r="AZ114" i="30"/>
  <c r="BA114" i="30"/>
  <c r="BB114" i="30"/>
  <c r="BC114" i="30"/>
  <c r="BD114" i="30"/>
  <c r="BE114" i="30"/>
  <c r="BF114" i="30"/>
  <c r="BG114" i="30"/>
  <c r="BH114" i="30"/>
  <c r="BI114" i="30"/>
  <c r="BJ114" i="30"/>
  <c r="BK114" i="30"/>
  <c r="BL114" i="30"/>
  <c r="BM114" i="30"/>
  <c r="BN114" i="30"/>
  <c r="BO114" i="30"/>
  <c r="BP114" i="30"/>
  <c r="BQ114" i="30"/>
  <c r="BR114" i="30"/>
  <c r="BS114" i="30"/>
  <c r="BT114" i="30"/>
  <c r="BU114" i="30"/>
  <c r="BV114" i="30"/>
  <c r="BW114" i="30"/>
  <c r="BX114" i="30"/>
  <c r="BY114" i="30"/>
  <c r="BZ114" i="30"/>
  <c r="CA114" i="30"/>
  <c r="CB114" i="30"/>
  <c r="CC114" i="30"/>
  <c r="CD114" i="30"/>
  <c r="CE114" i="30"/>
  <c r="CF114" i="30"/>
  <c r="CG114" i="30"/>
  <c r="CH114" i="30"/>
  <c r="CI114" i="30"/>
  <c r="CJ114" i="30"/>
  <c r="CK114" i="30"/>
  <c r="CL114" i="30"/>
  <c r="CM114" i="30"/>
  <c r="CN114" i="30"/>
  <c r="CO114" i="30"/>
  <c r="CP114" i="30"/>
  <c r="CQ114" i="30"/>
  <c r="CR114" i="30"/>
  <c r="CS114" i="30"/>
  <c r="CT114" i="30"/>
  <c r="CU114" i="30"/>
  <c r="CV114" i="30"/>
  <c r="CW114" i="30"/>
  <c r="CX114" i="30"/>
  <c r="CY114" i="30"/>
  <c r="CZ114" i="30"/>
  <c r="DA114" i="30"/>
  <c r="DB114" i="30"/>
  <c r="DC114" i="30"/>
  <c r="DD114" i="30"/>
  <c r="DE114" i="30"/>
  <c r="DF114" i="30"/>
  <c r="DG114" i="30"/>
  <c r="DH114" i="30"/>
  <c r="DI114" i="30"/>
  <c r="DJ114" i="30"/>
  <c r="DK114" i="30"/>
  <c r="DL114" i="30"/>
  <c r="DM114" i="30"/>
  <c r="DN114" i="30"/>
  <c r="DO114" i="30"/>
  <c r="DP114" i="30"/>
  <c r="DQ114" i="30"/>
  <c r="DR114" i="30"/>
  <c r="DS114" i="30"/>
  <c r="DT114" i="30"/>
  <c r="DU114" i="30"/>
  <c r="DV114" i="30"/>
  <c r="DW114" i="30"/>
  <c r="DX114" i="30"/>
  <c r="DY114" i="30"/>
  <c r="DZ114" i="30"/>
  <c r="EA114" i="30"/>
  <c r="M115" i="30"/>
  <c r="N115" i="30"/>
  <c r="O115" i="30"/>
  <c r="P115" i="30"/>
  <c r="Q115" i="30"/>
  <c r="R115" i="30"/>
  <c r="S115" i="30"/>
  <c r="T115" i="30"/>
  <c r="U115" i="30"/>
  <c r="V115" i="30"/>
  <c r="W115" i="30"/>
  <c r="X115" i="30"/>
  <c r="Y115" i="30"/>
  <c r="Z115" i="30"/>
  <c r="AA115" i="30"/>
  <c r="AB115" i="30"/>
  <c r="AC115" i="30"/>
  <c r="AD115" i="30"/>
  <c r="AE115" i="30"/>
  <c r="AF115" i="30"/>
  <c r="AG115" i="30"/>
  <c r="AH115" i="30"/>
  <c r="AI115" i="30"/>
  <c r="AJ115" i="30"/>
  <c r="AK115" i="30"/>
  <c r="AL115" i="30"/>
  <c r="AM115" i="30"/>
  <c r="AN115" i="30"/>
  <c r="AO115" i="30"/>
  <c r="AP115" i="30"/>
  <c r="AQ115" i="30"/>
  <c r="AR115" i="30"/>
  <c r="AS115" i="30"/>
  <c r="AT115" i="30"/>
  <c r="AU115" i="30"/>
  <c r="AV115" i="30"/>
  <c r="AW115" i="30"/>
  <c r="AX115" i="30"/>
  <c r="AY115" i="30"/>
  <c r="AZ115" i="30"/>
  <c r="BA115" i="30"/>
  <c r="BB115" i="30"/>
  <c r="BC115" i="30"/>
  <c r="BD115" i="30"/>
  <c r="BE115" i="30"/>
  <c r="BF115" i="30"/>
  <c r="BG115" i="30"/>
  <c r="BH115" i="30"/>
  <c r="BI115" i="30"/>
  <c r="BJ115" i="30"/>
  <c r="BK115" i="30"/>
  <c r="BL115" i="30"/>
  <c r="BM115" i="30"/>
  <c r="BN115" i="30"/>
  <c r="BO115" i="30"/>
  <c r="BP115" i="30"/>
  <c r="BQ115" i="30"/>
  <c r="BR115" i="30"/>
  <c r="BS115" i="30"/>
  <c r="BT115" i="30"/>
  <c r="BU115" i="30"/>
  <c r="BV115" i="30"/>
  <c r="BW115" i="30"/>
  <c r="BX115" i="30"/>
  <c r="BY115" i="30"/>
  <c r="BZ115" i="30"/>
  <c r="CA115" i="30"/>
  <c r="CB115" i="30"/>
  <c r="CC115" i="30"/>
  <c r="CD115" i="30"/>
  <c r="CE115" i="30"/>
  <c r="CF115" i="30"/>
  <c r="CG115" i="30"/>
  <c r="CH115" i="30"/>
  <c r="CI115" i="30"/>
  <c r="CJ115" i="30"/>
  <c r="CK115" i="30"/>
  <c r="CL115" i="30"/>
  <c r="CM115" i="30"/>
  <c r="CN115" i="30"/>
  <c r="CO115" i="30"/>
  <c r="CP115" i="30"/>
  <c r="CQ115" i="30"/>
  <c r="CR115" i="30"/>
  <c r="CS115" i="30"/>
  <c r="CT115" i="30"/>
  <c r="CU115" i="30"/>
  <c r="CV115" i="30"/>
  <c r="CW115" i="30"/>
  <c r="CX115" i="30"/>
  <c r="CY115" i="30"/>
  <c r="CZ115" i="30"/>
  <c r="DA115" i="30"/>
  <c r="DB115" i="30"/>
  <c r="DC115" i="30"/>
  <c r="DD115" i="30"/>
  <c r="DE115" i="30"/>
  <c r="DF115" i="30"/>
  <c r="DG115" i="30"/>
  <c r="DH115" i="30"/>
  <c r="DI115" i="30"/>
  <c r="DJ115" i="30"/>
  <c r="DK115" i="30"/>
  <c r="DL115" i="30"/>
  <c r="DM115" i="30"/>
  <c r="DN115" i="30"/>
  <c r="DO115" i="30"/>
  <c r="DP115" i="30"/>
  <c r="DQ115" i="30"/>
  <c r="DR115" i="30"/>
  <c r="DS115" i="30"/>
  <c r="DT115" i="30"/>
  <c r="DU115" i="30"/>
  <c r="DV115" i="30"/>
  <c r="DW115" i="30"/>
  <c r="DX115" i="30"/>
  <c r="DY115" i="30"/>
  <c r="DZ115" i="30"/>
  <c r="EA115" i="30"/>
  <c r="I116" i="30"/>
  <c r="L116" i="30"/>
  <c r="I117" i="30"/>
  <c r="AK117" i="30"/>
  <c r="I118" i="30"/>
  <c r="L118" i="30"/>
  <c r="M118" i="30"/>
  <c r="N118" i="30"/>
  <c r="O118" i="30"/>
  <c r="P118" i="30"/>
  <c r="Q118" i="30"/>
  <c r="R118" i="30"/>
  <c r="S118" i="30"/>
  <c r="T118" i="30"/>
  <c r="U118" i="30"/>
  <c r="V118" i="30"/>
  <c r="W118" i="30"/>
  <c r="X118" i="30"/>
  <c r="Y118" i="30"/>
  <c r="Z118" i="30"/>
  <c r="AA118" i="30"/>
  <c r="AB118" i="30"/>
  <c r="AC118" i="30"/>
  <c r="AD118" i="30"/>
  <c r="AE118" i="30"/>
  <c r="AF118" i="30"/>
  <c r="AG118" i="30"/>
  <c r="AH118" i="30"/>
  <c r="AI118" i="30"/>
  <c r="AJ118" i="30"/>
  <c r="AK118" i="30"/>
  <c r="AL118" i="30"/>
  <c r="AM118" i="30"/>
  <c r="AN118" i="30"/>
  <c r="AO118" i="30"/>
  <c r="AP118" i="30"/>
  <c r="AQ118" i="30"/>
  <c r="AR118" i="30"/>
  <c r="AS118" i="30"/>
  <c r="AT118" i="30"/>
  <c r="AU118" i="30"/>
  <c r="AV118" i="30"/>
  <c r="AW118" i="30"/>
  <c r="AX118" i="30"/>
  <c r="AY118" i="30"/>
  <c r="AZ118" i="30"/>
  <c r="BA118" i="30"/>
  <c r="BB118" i="30"/>
  <c r="BC118" i="30"/>
  <c r="BD118" i="30"/>
  <c r="BE118" i="30"/>
  <c r="BF118" i="30"/>
  <c r="BG118" i="30"/>
  <c r="BH118" i="30"/>
  <c r="BI118" i="30"/>
  <c r="BJ118" i="30"/>
  <c r="BK118" i="30"/>
  <c r="BL118" i="30"/>
  <c r="BM118" i="30"/>
  <c r="BN118" i="30"/>
  <c r="BO118" i="30"/>
  <c r="BP118" i="30"/>
  <c r="BQ118" i="30"/>
  <c r="BR118" i="30"/>
  <c r="BS118" i="30"/>
  <c r="BT118" i="30"/>
  <c r="BU118" i="30"/>
  <c r="BV118" i="30"/>
  <c r="BW118" i="30"/>
  <c r="BX118" i="30"/>
  <c r="BY118" i="30"/>
  <c r="BZ118" i="30"/>
  <c r="CA118" i="30"/>
  <c r="CB118" i="30"/>
  <c r="CC118" i="30"/>
  <c r="CD118" i="30"/>
  <c r="CE118" i="30"/>
  <c r="CF118" i="30"/>
  <c r="CG118" i="30"/>
  <c r="CH118" i="30"/>
  <c r="CI118" i="30"/>
  <c r="CJ118" i="30"/>
  <c r="CK118" i="30"/>
  <c r="CL118" i="30"/>
  <c r="CM118" i="30"/>
  <c r="CN118" i="30"/>
  <c r="CO118" i="30"/>
  <c r="CP118" i="30"/>
  <c r="CQ118" i="30"/>
  <c r="CR118" i="30"/>
  <c r="CS118" i="30"/>
  <c r="CT118" i="30"/>
  <c r="CU118" i="30"/>
  <c r="CV118" i="30"/>
  <c r="CW118" i="30"/>
  <c r="CX118" i="30"/>
  <c r="CY118" i="30"/>
  <c r="CZ118" i="30"/>
  <c r="DA118" i="30"/>
  <c r="DB118" i="30"/>
  <c r="DC118" i="30"/>
  <c r="DD118" i="30"/>
  <c r="DE118" i="30"/>
  <c r="DF118" i="30"/>
  <c r="DG118" i="30"/>
  <c r="DH118" i="30"/>
  <c r="DI118" i="30"/>
  <c r="DJ118" i="30"/>
  <c r="DK118" i="30"/>
  <c r="DL118" i="30"/>
  <c r="DM118" i="30"/>
  <c r="DN118" i="30"/>
  <c r="DO118" i="30"/>
  <c r="DP118" i="30"/>
  <c r="DQ118" i="30"/>
  <c r="DR118" i="30"/>
  <c r="DS118" i="30"/>
  <c r="DT118" i="30"/>
  <c r="DU118" i="30"/>
  <c r="DV118" i="30"/>
  <c r="DW118" i="30"/>
  <c r="DX118" i="30"/>
  <c r="DY118" i="30"/>
  <c r="DZ118" i="30"/>
  <c r="EA118" i="30"/>
  <c r="AL120" i="30"/>
  <c r="AM120" i="30"/>
  <c r="AN120" i="30"/>
  <c r="AO120" i="30"/>
  <c r="AP120" i="30"/>
  <c r="AQ120" i="30"/>
  <c r="AR120" i="30"/>
  <c r="AS120" i="30"/>
  <c r="AT120" i="30"/>
  <c r="AU120" i="30"/>
  <c r="AV120" i="30"/>
  <c r="AW120" i="30"/>
  <c r="AX120" i="30"/>
  <c r="AY120" i="30"/>
  <c r="AZ120" i="30"/>
  <c r="BA120" i="30"/>
  <c r="BB120" i="30"/>
  <c r="BC120" i="30"/>
  <c r="BD120" i="30"/>
  <c r="BE120" i="30"/>
  <c r="BF120" i="30"/>
  <c r="BG120" i="30"/>
  <c r="BH120" i="30"/>
  <c r="BI120" i="30"/>
  <c r="BJ120" i="30"/>
  <c r="BK120" i="30"/>
  <c r="BL120" i="30"/>
  <c r="BM120" i="30"/>
  <c r="BN120" i="30"/>
  <c r="BO120" i="30"/>
  <c r="BP120" i="30"/>
  <c r="BQ120" i="30"/>
  <c r="BR120" i="30"/>
  <c r="BS120" i="30"/>
  <c r="BT120" i="30"/>
  <c r="BU120" i="30"/>
  <c r="BV120" i="30"/>
  <c r="BW120" i="30"/>
  <c r="BX120" i="30"/>
  <c r="BY120" i="30"/>
  <c r="BZ120" i="30"/>
  <c r="CA120" i="30"/>
  <c r="CB120" i="30"/>
  <c r="CC120" i="30"/>
  <c r="CD120" i="30"/>
  <c r="CE120" i="30"/>
  <c r="CF120" i="30"/>
  <c r="CG120" i="30"/>
  <c r="CH120" i="30"/>
  <c r="CI120" i="30"/>
  <c r="CJ120" i="30"/>
  <c r="CK120" i="30"/>
  <c r="CL120" i="30"/>
  <c r="CM120" i="30"/>
  <c r="CN120" i="30"/>
  <c r="CO120" i="30"/>
  <c r="CP120" i="30"/>
  <c r="CQ120" i="30"/>
  <c r="CR120" i="30"/>
  <c r="CS120" i="30"/>
  <c r="CT120" i="30"/>
  <c r="CU120" i="30"/>
  <c r="CV120" i="30"/>
  <c r="CW120" i="30"/>
  <c r="CX120" i="30"/>
  <c r="CY120" i="30"/>
  <c r="CZ120" i="30"/>
  <c r="DA120" i="30"/>
  <c r="DB120" i="30"/>
  <c r="DC120" i="30"/>
  <c r="DD120" i="30"/>
  <c r="DE120" i="30"/>
  <c r="DF120" i="30"/>
  <c r="DG120" i="30"/>
  <c r="DH120" i="30"/>
  <c r="DI120" i="30"/>
  <c r="DJ120" i="30"/>
  <c r="DK120" i="30"/>
  <c r="DL120" i="30"/>
  <c r="DM120" i="30"/>
  <c r="DN120" i="30"/>
  <c r="DO120" i="30"/>
  <c r="DP120" i="30"/>
  <c r="DQ120" i="30"/>
  <c r="DR120" i="30"/>
  <c r="DS120" i="30"/>
  <c r="DT120" i="30"/>
  <c r="DU120" i="30"/>
  <c r="DV120" i="30"/>
  <c r="DW120" i="30"/>
  <c r="DX120" i="30"/>
  <c r="DY120" i="30"/>
  <c r="DZ120" i="30"/>
  <c r="EA120" i="30"/>
  <c r="AL121" i="30"/>
  <c r="AM121" i="30"/>
  <c r="AN121" i="30"/>
  <c r="AO121" i="30"/>
  <c r="AP121" i="30"/>
  <c r="AQ121" i="30"/>
  <c r="AR121" i="30"/>
  <c r="AS121" i="30"/>
  <c r="AT121" i="30"/>
  <c r="AU121" i="30"/>
  <c r="AV121" i="30"/>
  <c r="AW121" i="30"/>
  <c r="AX121" i="30"/>
  <c r="AY121" i="30"/>
  <c r="AZ121" i="30"/>
  <c r="BA121" i="30"/>
  <c r="BB121" i="30"/>
  <c r="BC121" i="30"/>
  <c r="BD121" i="30"/>
  <c r="BE121" i="30"/>
  <c r="BF121" i="30"/>
  <c r="BG121" i="30"/>
  <c r="BH121" i="30"/>
  <c r="BI121" i="30"/>
  <c r="BJ121" i="30"/>
  <c r="BK121" i="30"/>
  <c r="BL121" i="30"/>
  <c r="BM121" i="30"/>
  <c r="BN121" i="30"/>
  <c r="BO121" i="30"/>
  <c r="BP121" i="30"/>
  <c r="BQ121" i="30"/>
  <c r="BR121" i="30"/>
  <c r="BS121" i="30"/>
  <c r="BT121" i="30"/>
  <c r="BU121" i="30"/>
  <c r="BV121" i="30"/>
  <c r="BW121" i="30"/>
  <c r="BX121" i="30"/>
  <c r="BY121" i="30"/>
  <c r="BZ121" i="30"/>
  <c r="CA121" i="30"/>
  <c r="CB121" i="30"/>
  <c r="CC121" i="30"/>
  <c r="CD121" i="30"/>
  <c r="CE121" i="30"/>
  <c r="CF121" i="30"/>
  <c r="CG121" i="30"/>
  <c r="CH121" i="30"/>
  <c r="CI121" i="30"/>
  <c r="CJ121" i="30"/>
  <c r="CK121" i="30"/>
  <c r="CL121" i="30"/>
  <c r="CM121" i="30"/>
  <c r="CN121" i="30"/>
  <c r="CO121" i="30"/>
  <c r="CP121" i="30"/>
  <c r="CQ121" i="30"/>
  <c r="CR121" i="30"/>
  <c r="CS121" i="30"/>
  <c r="CT121" i="30"/>
  <c r="CU121" i="30"/>
  <c r="CV121" i="30"/>
  <c r="CW121" i="30"/>
  <c r="CX121" i="30"/>
  <c r="CY121" i="30"/>
  <c r="CZ121" i="30"/>
  <c r="DA121" i="30"/>
  <c r="DB121" i="30"/>
  <c r="DC121" i="30"/>
  <c r="DD121" i="30"/>
  <c r="DE121" i="30"/>
  <c r="DF121" i="30"/>
  <c r="DG121" i="30"/>
  <c r="DH121" i="30"/>
  <c r="DI121" i="30"/>
  <c r="DJ121" i="30"/>
  <c r="DK121" i="30"/>
  <c r="DL121" i="30"/>
  <c r="DM121" i="30"/>
  <c r="DN121" i="30"/>
  <c r="DO121" i="30"/>
  <c r="DP121" i="30"/>
  <c r="DQ121" i="30"/>
  <c r="DR121" i="30"/>
  <c r="DS121" i="30"/>
  <c r="DT121" i="30"/>
  <c r="DU121" i="30"/>
  <c r="DV121" i="30"/>
  <c r="DW121" i="30"/>
  <c r="DX121" i="30"/>
  <c r="DY121" i="30"/>
  <c r="DZ121" i="30"/>
  <c r="EA121" i="30"/>
  <c r="I122" i="30"/>
  <c r="AK122" i="30"/>
  <c r="I123" i="30"/>
  <c r="AL123" i="30"/>
  <c r="AM123" i="30"/>
  <c r="AN123" i="30"/>
  <c r="AO123" i="30"/>
  <c r="AP123" i="30"/>
  <c r="AQ123" i="30"/>
  <c r="AR123" i="30"/>
  <c r="AS123" i="30"/>
  <c r="AT123" i="30"/>
  <c r="AU123" i="30"/>
  <c r="AV123" i="30"/>
  <c r="AW123" i="30"/>
  <c r="AX123" i="30"/>
  <c r="AY123" i="30"/>
  <c r="AZ123" i="30"/>
  <c r="BA123" i="30"/>
  <c r="BB123" i="30"/>
  <c r="BC123" i="30"/>
  <c r="BD123" i="30"/>
  <c r="BE123" i="30"/>
  <c r="BF123" i="30"/>
  <c r="BG123" i="30"/>
  <c r="BH123" i="30"/>
  <c r="BI123" i="30"/>
  <c r="BJ123" i="30"/>
  <c r="BK123" i="30"/>
  <c r="BL123" i="30"/>
  <c r="BM123" i="30"/>
  <c r="BN123" i="30"/>
  <c r="BO123" i="30"/>
  <c r="BP123" i="30"/>
  <c r="BQ123" i="30"/>
  <c r="BR123" i="30"/>
  <c r="BS123" i="30"/>
  <c r="BT123" i="30"/>
  <c r="BU123" i="30"/>
  <c r="BV123" i="30"/>
  <c r="BW123" i="30"/>
  <c r="BX123" i="30"/>
  <c r="BY123" i="30"/>
  <c r="BZ123" i="30"/>
  <c r="CA123" i="30"/>
  <c r="CB123" i="30"/>
  <c r="CC123" i="30"/>
  <c r="CD123" i="30"/>
  <c r="CE123" i="30"/>
  <c r="CF123" i="30"/>
  <c r="CG123" i="30"/>
  <c r="CH123" i="30"/>
  <c r="CI123" i="30"/>
  <c r="CJ123" i="30"/>
  <c r="CK123" i="30"/>
  <c r="CL123" i="30"/>
  <c r="CM123" i="30"/>
  <c r="CN123" i="30"/>
  <c r="CO123" i="30"/>
  <c r="CP123" i="30"/>
  <c r="CQ123" i="30"/>
  <c r="CR123" i="30"/>
  <c r="CS123" i="30"/>
  <c r="CT123" i="30"/>
  <c r="CU123" i="30"/>
  <c r="CV123" i="30"/>
  <c r="CW123" i="30"/>
  <c r="CX123" i="30"/>
  <c r="CY123" i="30"/>
  <c r="CZ123" i="30"/>
  <c r="DA123" i="30"/>
  <c r="DB123" i="30"/>
  <c r="DC123" i="30"/>
  <c r="DD123" i="30"/>
  <c r="DE123" i="30"/>
  <c r="DF123" i="30"/>
  <c r="DG123" i="30"/>
  <c r="DH123" i="30"/>
  <c r="DI123" i="30"/>
  <c r="DJ123" i="30"/>
  <c r="DK123" i="30"/>
  <c r="DL123" i="30"/>
  <c r="DM123" i="30"/>
  <c r="DN123" i="30"/>
  <c r="DO123" i="30"/>
  <c r="DP123" i="30"/>
  <c r="DQ123" i="30"/>
  <c r="DR123" i="30"/>
  <c r="DS123" i="30"/>
  <c r="DT123" i="30"/>
  <c r="DU123" i="30"/>
  <c r="DV123" i="30"/>
  <c r="DW123" i="30"/>
  <c r="DX123" i="30"/>
  <c r="DY123" i="30"/>
  <c r="DZ123" i="30"/>
  <c r="EA123" i="30"/>
  <c r="I124" i="30"/>
  <c r="AK124" i="30"/>
  <c r="AL124" i="30"/>
  <c r="AM124" i="30"/>
  <c r="AN124" i="30"/>
  <c r="AO124" i="30"/>
  <c r="AP124" i="30"/>
  <c r="AQ124" i="30"/>
  <c r="AR124" i="30"/>
  <c r="AS124" i="30"/>
  <c r="AT124" i="30"/>
  <c r="AU124" i="30"/>
  <c r="AV124" i="30"/>
  <c r="AW124" i="30"/>
  <c r="AX124" i="30"/>
  <c r="AY124" i="30"/>
  <c r="AZ124" i="30"/>
  <c r="BA124" i="30"/>
  <c r="BB124" i="30"/>
  <c r="BC124" i="30"/>
  <c r="BD124" i="30"/>
  <c r="BE124" i="30"/>
  <c r="BF124" i="30"/>
  <c r="BG124" i="30"/>
  <c r="BH124" i="30"/>
  <c r="BI124" i="30"/>
  <c r="BJ124" i="30"/>
  <c r="BK124" i="30"/>
  <c r="BL124" i="30"/>
  <c r="BM124" i="30"/>
  <c r="BN124" i="30"/>
  <c r="BO124" i="30"/>
  <c r="BP124" i="30"/>
  <c r="BQ124" i="30"/>
  <c r="BR124" i="30"/>
  <c r="BS124" i="30"/>
  <c r="BT124" i="30"/>
  <c r="BU124" i="30"/>
  <c r="BV124" i="30"/>
  <c r="BW124" i="30"/>
  <c r="BX124" i="30"/>
  <c r="BY124" i="30"/>
  <c r="BZ124" i="30"/>
  <c r="CA124" i="30"/>
  <c r="CB124" i="30"/>
  <c r="CC124" i="30"/>
  <c r="CD124" i="30"/>
  <c r="CE124" i="30"/>
  <c r="CF124" i="30"/>
  <c r="CG124" i="30"/>
  <c r="CH124" i="30"/>
  <c r="CI124" i="30"/>
  <c r="CJ124" i="30"/>
  <c r="CK124" i="30"/>
  <c r="CL124" i="30"/>
  <c r="CM124" i="30"/>
  <c r="CN124" i="30"/>
  <c r="CO124" i="30"/>
  <c r="CP124" i="30"/>
  <c r="CQ124" i="30"/>
  <c r="CR124" i="30"/>
  <c r="CS124" i="30"/>
  <c r="CT124" i="30"/>
  <c r="CU124" i="30"/>
  <c r="CV124" i="30"/>
  <c r="CW124" i="30"/>
  <c r="CX124" i="30"/>
  <c r="CY124" i="30"/>
  <c r="CZ124" i="30"/>
  <c r="DA124" i="30"/>
  <c r="DB124" i="30"/>
  <c r="DC124" i="30"/>
  <c r="DD124" i="30"/>
  <c r="DE124" i="30"/>
  <c r="DF124" i="30"/>
  <c r="DG124" i="30"/>
  <c r="DH124" i="30"/>
  <c r="DI124" i="30"/>
  <c r="DJ124" i="30"/>
  <c r="DK124" i="30"/>
  <c r="DL124" i="30"/>
  <c r="DM124" i="30"/>
  <c r="DN124" i="30"/>
  <c r="DO124" i="30"/>
  <c r="DP124" i="30"/>
  <c r="DQ124" i="30"/>
  <c r="DR124" i="30"/>
  <c r="DS124" i="30"/>
  <c r="DT124" i="30"/>
  <c r="DU124" i="30"/>
  <c r="DV124" i="30"/>
  <c r="DW124" i="30"/>
  <c r="DX124" i="30"/>
  <c r="DY124" i="30"/>
  <c r="DZ124" i="30"/>
  <c r="EA124" i="30"/>
  <c r="I125" i="30"/>
  <c r="AK125" i="30"/>
  <c r="AL125" i="30"/>
  <c r="AM125" i="30"/>
  <c r="AN125" i="30"/>
  <c r="AO125" i="30"/>
  <c r="AP125" i="30"/>
  <c r="AQ125" i="30"/>
  <c r="AR125" i="30"/>
  <c r="AS125" i="30"/>
  <c r="AT125" i="30"/>
  <c r="AU125" i="30"/>
  <c r="AV125" i="30"/>
  <c r="AW125" i="30"/>
  <c r="AX125" i="30"/>
  <c r="AY125" i="30"/>
  <c r="AZ125" i="30"/>
  <c r="BA125" i="30"/>
  <c r="BB125" i="30"/>
  <c r="BC125" i="30"/>
  <c r="BD125" i="30"/>
  <c r="BE125" i="30"/>
  <c r="BF125" i="30"/>
  <c r="BG125" i="30"/>
  <c r="BH125" i="30"/>
  <c r="BI125" i="30"/>
  <c r="BJ125" i="30"/>
  <c r="BK125" i="30"/>
  <c r="BL125" i="30"/>
  <c r="BM125" i="30"/>
  <c r="BN125" i="30"/>
  <c r="BO125" i="30"/>
  <c r="BP125" i="30"/>
  <c r="BQ125" i="30"/>
  <c r="BR125" i="30"/>
  <c r="BS125" i="30"/>
  <c r="BT125" i="30"/>
  <c r="BU125" i="30"/>
  <c r="BV125" i="30"/>
  <c r="BW125" i="30"/>
  <c r="BX125" i="30"/>
  <c r="BY125" i="30"/>
  <c r="BZ125" i="30"/>
  <c r="CA125" i="30"/>
  <c r="CB125" i="30"/>
  <c r="CC125" i="30"/>
  <c r="CD125" i="30"/>
  <c r="CE125" i="30"/>
  <c r="CF125" i="30"/>
  <c r="CG125" i="30"/>
  <c r="CH125" i="30"/>
  <c r="CI125" i="30"/>
  <c r="CJ125" i="30"/>
  <c r="CK125" i="30"/>
  <c r="CL125" i="30"/>
  <c r="CM125" i="30"/>
  <c r="CN125" i="30"/>
  <c r="CO125" i="30"/>
  <c r="CP125" i="30"/>
  <c r="CQ125" i="30"/>
  <c r="CR125" i="30"/>
  <c r="CS125" i="30"/>
  <c r="CT125" i="30"/>
  <c r="CU125" i="30"/>
  <c r="CV125" i="30"/>
  <c r="CW125" i="30"/>
  <c r="CX125" i="30"/>
  <c r="CY125" i="30"/>
  <c r="CZ125" i="30"/>
  <c r="DA125" i="30"/>
  <c r="DB125" i="30"/>
  <c r="DC125" i="30"/>
  <c r="DD125" i="30"/>
  <c r="DE125" i="30"/>
  <c r="DF125" i="30"/>
  <c r="DG125" i="30"/>
  <c r="DH125" i="30"/>
  <c r="DI125" i="30"/>
  <c r="DJ125" i="30"/>
  <c r="DK125" i="30"/>
  <c r="DL125" i="30"/>
  <c r="DM125" i="30"/>
  <c r="DN125" i="30"/>
  <c r="DO125" i="30"/>
  <c r="DP125" i="30"/>
  <c r="DQ125" i="30"/>
  <c r="DR125" i="30"/>
  <c r="DS125" i="30"/>
  <c r="DT125" i="30"/>
  <c r="DU125" i="30"/>
  <c r="DV125" i="30"/>
  <c r="DW125" i="30"/>
  <c r="DX125" i="30"/>
  <c r="DY125" i="30"/>
  <c r="DZ125" i="30"/>
  <c r="EA125" i="30"/>
  <c r="I127" i="30"/>
  <c r="AL127" i="30"/>
  <c r="AM127" i="30"/>
  <c r="AN127" i="30"/>
  <c r="AO127" i="30"/>
  <c r="AP127" i="30"/>
  <c r="AQ127" i="30"/>
  <c r="AR127" i="30"/>
  <c r="AS127" i="30"/>
  <c r="AT127" i="30"/>
  <c r="AU127" i="30"/>
  <c r="AV127" i="30"/>
  <c r="AW127" i="30"/>
  <c r="AX127" i="30"/>
  <c r="AY127" i="30"/>
  <c r="AZ127" i="30"/>
  <c r="BA127" i="30"/>
  <c r="BB127" i="30"/>
  <c r="BC127" i="30"/>
  <c r="BD127" i="30"/>
  <c r="BE127" i="30"/>
  <c r="BF127" i="30"/>
  <c r="BG127" i="30"/>
  <c r="BH127" i="30"/>
  <c r="BI127" i="30"/>
  <c r="BJ127" i="30"/>
  <c r="BK127" i="30"/>
  <c r="BL127" i="30"/>
  <c r="BM127" i="30"/>
  <c r="BN127" i="30"/>
  <c r="BO127" i="30"/>
  <c r="BP127" i="30"/>
  <c r="BQ127" i="30"/>
  <c r="BR127" i="30"/>
  <c r="BS127" i="30"/>
  <c r="BT127" i="30"/>
  <c r="BU127" i="30"/>
  <c r="BV127" i="30"/>
  <c r="BW127" i="30"/>
  <c r="BX127" i="30"/>
  <c r="BY127" i="30"/>
  <c r="BZ127" i="30"/>
  <c r="CA127" i="30"/>
  <c r="CB127" i="30"/>
  <c r="CC127" i="30"/>
  <c r="CD127" i="30"/>
  <c r="CE127" i="30"/>
  <c r="CF127" i="30"/>
  <c r="CG127" i="30"/>
  <c r="CH127" i="30"/>
  <c r="CI127" i="30"/>
  <c r="CJ127" i="30"/>
  <c r="CK127" i="30"/>
  <c r="CL127" i="30"/>
  <c r="CM127" i="30"/>
  <c r="CN127" i="30"/>
  <c r="CO127" i="30"/>
  <c r="CP127" i="30"/>
  <c r="CQ127" i="30"/>
  <c r="CR127" i="30"/>
  <c r="CS127" i="30"/>
  <c r="CT127" i="30"/>
  <c r="CU127" i="30"/>
  <c r="CV127" i="30"/>
  <c r="CW127" i="30"/>
  <c r="CX127" i="30"/>
  <c r="CY127" i="30"/>
  <c r="CZ127" i="30"/>
  <c r="DA127" i="30"/>
  <c r="DB127" i="30"/>
  <c r="DC127" i="30"/>
  <c r="DD127" i="30"/>
  <c r="DE127" i="30"/>
  <c r="DF127" i="30"/>
  <c r="DG127" i="30"/>
  <c r="DH127" i="30"/>
  <c r="DI127" i="30"/>
  <c r="DJ127" i="30"/>
  <c r="DK127" i="30"/>
  <c r="DL127" i="30"/>
  <c r="DM127" i="30"/>
  <c r="DN127" i="30"/>
  <c r="DO127" i="30"/>
  <c r="DP127" i="30"/>
  <c r="DQ127" i="30"/>
  <c r="DR127" i="30"/>
  <c r="DS127" i="30"/>
  <c r="DT127" i="30"/>
  <c r="DU127" i="30"/>
  <c r="DV127" i="30"/>
  <c r="DW127" i="30"/>
  <c r="DX127" i="30"/>
  <c r="DY127" i="30"/>
  <c r="DZ127" i="30"/>
  <c r="EA127" i="30"/>
  <c r="I129" i="30"/>
  <c r="L129" i="30"/>
  <c r="M129" i="30"/>
  <c r="N129" i="30"/>
  <c r="O129" i="30"/>
  <c r="P129" i="30"/>
  <c r="Q129" i="30"/>
  <c r="R129" i="30"/>
  <c r="S129" i="30"/>
  <c r="T129" i="30"/>
  <c r="U129" i="30"/>
  <c r="V129" i="30"/>
  <c r="W129" i="30"/>
  <c r="X129" i="30"/>
  <c r="Y129" i="30"/>
  <c r="Z129" i="30"/>
  <c r="AA129" i="30"/>
  <c r="AB129" i="30"/>
  <c r="AC129" i="30"/>
  <c r="AD129" i="30"/>
  <c r="AE129" i="30"/>
  <c r="AF129" i="30"/>
  <c r="AG129" i="30"/>
  <c r="AH129" i="30"/>
  <c r="AI129" i="30"/>
  <c r="AJ129" i="30"/>
  <c r="AK129" i="30"/>
  <c r="AL129" i="30"/>
  <c r="AM129" i="30"/>
  <c r="AN129" i="30"/>
  <c r="AO129" i="30"/>
  <c r="AP129" i="30"/>
  <c r="AQ129" i="30"/>
  <c r="AR129" i="30"/>
  <c r="AS129" i="30"/>
  <c r="AT129" i="30"/>
  <c r="AU129" i="30"/>
  <c r="AV129" i="30"/>
  <c r="AW129" i="30"/>
  <c r="AX129" i="30"/>
  <c r="AY129" i="30"/>
  <c r="AZ129" i="30"/>
  <c r="BA129" i="30"/>
  <c r="BB129" i="30"/>
  <c r="BC129" i="30"/>
  <c r="BD129" i="30"/>
  <c r="BE129" i="30"/>
  <c r="BF129" i="30"/>
  <c r="BG129" i="30"/>
  <c r="BH129" i="30"/>
  <c r="BI129" i="30"/>
  <c r="BJ129" i="30"/>
  <c r="BK129" i="30"/>
  <c r="BL129" i="30"/>
  <c r="BM129" i="30"/>
  <c r="BN129" i="30"/>
  <c r="BO129" i="30"/>
  <c r="BP129" i="30"/>
  <c r="BQ129" i="30"/>
  <c r="BR129" i="30"/>
  <c r="BS129" i="30"/>
  <c r="BT129" i="30"/>
  <c r="BU129" i="30"/>
  <c r="BV129" i="30"/>
  <c r="BW129" i="30"/>
  <c r="BX129" i="30"/>
  <c r="BY129" i="30"/>
  <c r="BZ129" i="30"/>
  <c r="CA129" i="30"/>
  <c r="CB129" i="30"/>
  <c r="CC129" i="30"/>
  <c r="CD129" i="30"/>
  <c r="CE129" i="30"/>
  <c r="CF129" i="30"/>
  <c r="CG129" i="30"/>
  <c r="CH129" i="30"/>
  <c r="CI129" i="30"/>
  <c r="CJ129" i="30"/>
  <c r="CK129" i="30"/>
  <c r="CL129" i="30"/>
  <c r="CM129" i="30"/>
  <c r="CN129" i="30"/>
  <c r="CO129" i="30"/>
  <c r="CP129" i="30"/>
  <c r="CQ129" i="30"/>
  <c r="CR129" i="30"/>
  <c r="CS129" i="30"/>
  <c r="CT129" i="30"/>
  <c r="CU129" i="30"/>
  <c r="CV129" i="30"/>
  <c r="CW129" i="30"/>
  <c r="CX129" i="30"/>
  <c r="CY129" i="30"/>
  <c r="CZ129" i="30"/>
  <c r="DA129" i="30"/>
  <c r="DB129" i="30"/>
  <c r="DC129" i="30"/>
  <c r="DD129" i="30"/>
  <c r="DE129" i="30"/>
  <c r="DF129" i="30"/>
  <c r="DG129" i="30"/>
  <c r="DH129" i="30"/>
  <c r="DI129" i="30"/>
  <c r="DJ129" i="30"/>
  <c r="DK129" i="30"/>
  <c r="DL129" i="30"/>
  <c r="DM129" i="30"/>
  <c r="DN129" i="30"/>
  <c r="DO129" i="30"/>
  <c r="DP129" i="30"/>
  <c r="DQ129" i="30"/>
  <c r="DR129" i="30"/>
  <c r="DS129" i="30"/>
  <c r="DT129" i="30"/>
  <c r="DU129" i="30"/>
  <c r="DV129" i="30"/>
  <c r="DW129" i="30"/>
  <c r="DX129" i="30"/>
  <c r="DY129" i="30"/>
  <c r="DZ129" i="30"/>
  <c r="EA129" i="30"/>
  <c r="M132" i="30"/>
  <c r="N132" i="30"/>
  <c r="O132" i="30"/>
  <c r="P132" i="30"/>
  <c r="Q132" i="30"/>
  <c r="R132" i="30"/>
  <c r="S132" i="30"/>
  <c r="T132" i="30"/>
  <c r="U132" i="30"/>
  <c r="V132" i="30"/>
  <c r="W132" i="30"/>
  <c r="X132" i="30"/>
  <c r="Y132" i="30"/>
  <c r="Z132" i="30"/>
  <c r="AA132" i="30"/>
  <c r="AB132" i="30"/>
  <c r="AC132" i="30"/>
  <c r="AD132" i="30"/>
  <c r="AE132" i="30"/>
  <c r="AF132" i="30"/>
  <c r="AG132" i="30"/>
  <c r="AH132" i="30"/>
  <c r="AI132" i="30"/>
  <c r="AJ132" i="30"/>
  <c r="AK132" i="30"/>
  <c r="AL132" i="30"/>
  <c r="AM132" i="30"/>
  <c r="AN132" i="30"/>
  <c r="AO132" i="30"/>
  <c r="AP132" i="30"/>
  <c r="AQ132" i="30"/>
  <c r="AR132" i="30"/>
  <c r="AS132" i="30"/>
  <c r="AT132" i="30"/>
  <c r="AU132" i="30"/>
  <c r="AV132" i="30"/>
  <c r="AW132" i="30"/>
  <c r="AX132" i="30"/>
  <c r="AY132" i="30"/>
  <c r="AZ132" i="30"/>
  <c r="BA132" i="30"/>
  <c r="BB132" i="30"/>
  <c r="BC132" i="30"/>
  <c r="BD132" i="30"/>
  <c r="BE132" i="30"/>
  <c r="BF132" i="30"/>
  <c r="BG132" i="30"/>
  <c r="BH132" i="30"/>
  <c r="BI132" i="30"/>
  <c r="BJ132" i="30"/>
  <c r="BK132" i="30"/>
  <c r="BL132" i="30"/>
  <c r="BM132" i="30"/>
  <c r="BN132" i="30"/>
  <c r="BO132" i="30"/>
  <c r="BP132" i="30"/>
  <c r="BQ132" i="30"/>
  <c r="BR132" i="30"/>
  <c r="BS132" i="30"/>
  <c r="BT132" i="30"/>
  <c r="BU132" i="30"/>
  <c r="BV132" i="30"/>
  <c r="BW132" i="30"/>
  <c r="BX132" i="30"/>
  <c r="BY132" i="30"/>
  <c r="BZ132" i="30"/>
  <c r="CA132" i="30"/>
  <c r="CB132" i="30"/>
  <c r="CC132" i="30"/>
  <c r="CD132" i="30"/>
  <c r="CE132" i="30"/>
  <c r="CF132" i="30"/>
  <c r="CG132" i="30"/>
  <c r="CH132" i="30"/>
  <c r="CI132" i="30"/>
  <c r="CJ132" i="30"/>
  <c r="CK132" i="30"/>
  <c r="CL132" i="30"/>
  <c r="CM132" i="30"/>
  <c r="CN132" i="30"/>
  <c r="CO132" i="30"/>
  <c r="CP132" i="30"/>
  <c r="CQ132" i="30"/>
  <c r="CR132" i="30"/>
  <c r="CS132" i="30"/>
  <c r="CT132" i="30"/>
  <c r="CU132" i="30"/>
  <c r="CV132" i="30"/>
  <c r="CW132" i="30"/>
  <c r="CX132" i="30"/>
  <c r="CY132" i="30"/>
  <c r="CZ132" i="30"/>
  <c r="DA132" i="30"/>
  <c r="DB132" i="30"/>
  <c r="DC132" i="30"/>
  <c r="DD132" i="30"/>
  <c r="DE132" i="30"/>
  <c r="DF132" i="30"/>
  <c r="DG132" i="30"/>
  <c r="DH132" i="30"/>
  <c r="DI132" i="30"/>
  <c r="DJ132" i="30"/>
  <c r="DK132" i="30"/>
  <c r="DL132" i="30"/>
  <c r="DM132" i="30"/>
  <c r="DN132" i="30"/>
  <c r="DO132" i="30"/>
  <c r="DP132" i="30"/>
  <c r="DQ132" i="30"/>
  <c r="DR132" i="30"/>
  <c r="DS132" i="30"/>
  <c r="DT132" i="30"/>
  <c r="DU132" i="30"/>
  <c r="DV132" i="30"/>
  <c r="DW132" i="30"/>
  <c r="DX132" i="30"/>
  <c r="DY132" i="30"/>
  <c r="DZ132" i="30"/>
  <c r="EA132" i="30"/>
  <c r="I133" i="30"/>
  <c r="L133" i="30"/>
  <c r="M133" i="30"/>
  <c r="N133" i="30"/>
  <c r="O133" i="30"/>
  <c r="P133" i="30"/>
  <c r="Q133" i="30"/>
  <c r="R133" i="30"/>
  <c r="S133" i="30"/>
  <c r="T133" i="30"/>
  <c r="U133" i="30"/>
  <c r="V133" i="30"/>
  <c r="W133" i="30"/>
  <c r="X133" i="30"/>
  <c r="Y133" i="30"/>
  <c r="Z133" i="30"/>
  <c r="AA133" i="30"/>
  <c r="AB133" i="30"/>
  <c r="AC133" i="30"/>
  <c r="AD133" i="30"/>
  <c r="AE133" i="30"/>
  <c r="AF133" i="30"/>
  <c r="AG133" i="30"/>
  <c r="AH133" i="30"/>
  <c r="AI133" i="30"/>
  <c r="AJ133" i="30"/>
  <c r="AK133" i="30"/>
  <c r="AL133" i="30"/>
  <c r="AM133" i="30"/>
  <c r="AN133" i="30"/>
  <c r="AO133" i="30"/>
  <c r="AP133" i="30"/>
  <c r="AQ133" i="30"/>
  <c r="AR133" i="30"/>
  <c r="AS133" i="30"/>
  <c r="AT133" i="30"/>
  <c r="AU133" i="30"/>
  <c r="AV133" i="30"/>
  <c r="AW133" i="30"/>
  <c r="AX133" i="30"/>
  <c r="AY133" i="30"/>
  <c r="AZ133" i="30"/>
  <c r="BA133" i="30"/>
  <c r="BB133" i="30"/>
  <c r="BC133" i="30"/>
  <c r="BD133" i="30"/>
  <c r="BE133" i="30"/>
  <c r="BF133" i="30"/>
  <c r="BG133" i="30"/>
  <c r="BH133" i="30"/>
  <c r="BI133" i="30"/>
  <c r="BJ133" i="30"/>
  <c r="BK133" i="30"/>
  <c r="BL133" i="30"/>
  <c r="BM133" i="30"/>
  <c r="BN133" i="30"/>
  <c r="BO133" i="30"/>
  <c r="BP133" i="30"/>
  <c r="BQ133" i="30"/>
  <c r="BR133" i="30"/>
  <c r="BS133" i="30"/>
  <c r="BT133" i="30"/>
  <c r="BU133" i="30"/>
  <c r="BV133" i="30"/>
  <c r="BW133" i="30"/>
  <c r="BX133" i="30"/>
  <c r="BY133" i="30"/>
  <c r="BZ133" i="30"/>
  <c r="CA133" i="30"/>
  <c r="CB133" i="30"/>
  <c r="CC133" i="30"/>
  <c r="CD133" i="30"/>
  <c r="CE133" i="30"/>
  <c r="CF133" i="30"/>
  <c r="CG133" i="30"/>
  <c r="CH133" i="30"/>
  <c r="CI133" i="30"/>
  <c r="CJ133" i="30"/>
  <c r="CK133" i="30"/>
  <c r="CL133" i="30"/>
  <c r="CM133" i="30"/>
  <c r="CN133" i="30"/>
  <c r="CO133" i="30"/>
  <c r="CP133" i="30"/>
  <c r="CQ133" i="30"/>
  <c r="CR133" i="30"/>
  <c r="CS133" i="30"/>
  <c r="CT133" i="30"/>
  <c r="CU133" i="30"/>
  <c r="CV133" i="30"/>
  <c r="CW133" i="30"/>
  <c r="CX133" i="30"/>
  <c r="CY133" i="30"/>
  <c r="CZ133" i="30"/>
  <c r="DA133" i="30"/>
  <c r="DB133" i="30"/>
  <c r="DC133" i="30"/>
  <c r="DD133" i="30"/>
  <c r="DE133" i="30"/>
  <c r="DF133" i="30"/>
  <c r="DG133" i="30"/>
  <c r="DH133" i="30"/>
  <c r="DI133" i="30"/>
  <c r="DJ133" i="30"/>
  <c r="DK133" i="30"/>
  <c r="DL133" i="30"/>
  <c r="DM133" i="30"/>
  <c r="DN133" i="30"/>
  <c r="DO133" i="30"/>
  <c r="DP133" i="30"/>
  <c r="DQ133" i="30"/>
  <c r="DR133" i="30"/>
  <c r="DS133" i="30"/>
  <c r="DT133" i="30"/>
  <c r="DU133" i="30"/>
  <c r="DV133" i="30"/>
  <c r="DW133" i="30"/>
  <c r="DX133" i="30"/>
  <c r="DY133" i="30"/>
  <c r="DZ133" i="30"/>
  <c r="EA133" i="30"/>
  <c r="I134" i="30"/>
  <c r="L134" i="30"/>
  <c r="M134" i="30"/>
  <c r="N134" i="30"/>
  <c r="O134" i="30"/>
  <c r="P134" i="30"/>
  <c r="Q134" i="30"/>
  <c r="R134" i="30"/>
  <c r="S134" i="30"/>
  <c r="T134" i="30"/>
  <c r="U134" i="30"/>
  <c r="V134" i="30"/>
  <c r="W134" i="30"/>
  <c r="X134" i="30"/>
  <c r="Y134" i="30"/>
  <c r="Z134" i="30"/>
  <c r="AA134" i="30"/>
  <c r="AB134" i="30"/>
  <c r="AC134" i="30"/>
  <c r="AD134" i="30"/>
  <c r="AE134" i="30"/>
  <c r="AF134" i="30"/>
  <c r="AG134" i="30"/>
  <c r="AH134" i="30"/>
  <c r="AI134" i="30"/>
  <c r="AJ134" i="30"/>
  <c r="AK134" i="30"/>
  <c r="AL134" i="30"/>
  <c r="AM134" i="30"/>
  <c r="AN134" i="30"/>
  <c r="AO134" i="30"/>
  <c r="AP134" i="30"/>
  <c r="AQ134" i="30"/>
  <c r="AR134" i="30"/>
  <c r="AS134" i="30"/>
  <c r="AT134" i="30"/>
  <c r="AU134" i="30"/>
  <c r="AV134" i="30"/>
  <c r="AW134" i="30"/>
  <c r="AX134" i="30"/>
  <c r="AY134" i="30"/>
  <c r="AZ134" i="30"/>
  <c r="BA134" i="30"/>
  <c r="BB134" i="30"/>
  <c r="BC134" i="30"/>
  <c r="BD134" i="30"/>
  <c r="BE134" i="30"/>
  <c r="BF134" i="30"/>
  <c r="BG134" i="30"/>
  <c r="BH134" i="30"/>
  <c r="BI134" i="30"/>
  <c r="BJ134" i="30"/>
  <c r="BK134" i="30"/>
  <c r="BL134" i="30"/>
  <c r="BM134" i="30"/>
  <c r="BN134" i="30"/>
  <c r="BO134" i="30"/>
  <c r="BP134" i="30"/>
  <c r="BQ134" i="30"/>
  <c r="BR134" i="30"/>
  <c r="BS134" i="30"/>
  <c r="BT134" i="30"/>
  <c r="BU134" i="30"/>
  <c r="BV134" i="30"/>
  <c r="BW134" i="30"/>
  <c r="BX134" i="30"/>
  <c r="BY134" i="30"/>
  <c r="BZ134" i="30"/>
  <c r="CA134" i="30"/>
  <c r="CB134" i="30"/>
  <c r="CC134" i="30"/>
  <c r="CD134" i="30"/>
  <c r="CE134" i="30"/>
  <c r="CF134" i="30"/>
  <c r="CG134" i="30"/>
  <c r="CH134" i="30"/>
  <c r="CI134" i="30"/>
  <c r="CJ134" i="30"/>
  <c r="CK134" i="30"/>
  <c r="CL134" i="30"/>
  <c r="CM134" i="30"/>
  <c r="CN134" i="30"/>
  <c r="CO134" i="30"/>
  <c r="CP134" i="30"/>
  <c r="CQ134" i="30"/>
  <c r="CR134" i="30"/>
  <c r="CS134" i="30"/>
  <c r="CT134" i="30"/>
  <c r="CU134" i="30"/>
  <c r="CV134" i="30"/>
  <c r="CW134" i="30"/>
  <c r="CX134" i="30"/>
  <c r="CY134" i="30"/>
  <c r="CZ134" i="30"/>
  <c r="DA134" i="30"/>
  <c r="DB134" i="30"/>
  <c r="DC134" i="30"/>
  <c r="DD134" i="30"/>
  <c r="DE134" i="30"/>
  <c r="DF134" i="30"/>
  <c r="DG134" i="30"/>
  <c r="DH134" i="30"/>
  <c r="DI134" i="30"/>
  <c r="DJ134" i="30"/>
  <c r="DK134" i="30"/>
  <c r="DL134" i="30"/>
  <c r="DM134" i="30"/>
  <c r="DN134" i="30"/>
  <c r="DO134" i="30"/>
  <c r="DP134" i="30"/>
  <c r="DQ134" i="30"/>
  <c r="DR134" i="30"/>
  <c r="DS134" i="30"/>
  <c r="DT134" i="30"/>
  <c r="DU134" i="30"/>
  <c r="DV134" i="30"/>
  <c r="DW134" i="30"/>
  <c r="DX134" i="30"/>
  <c r="DY134" i="30"/>
  <c r="DZ134" i="30"/>
  <c r="EA134" i="30"/>
  <c r="I135" i="30"/>
  <c r="AK135" i="30"/>
  <c r="AL135" i="30"/>
  <c r="AM135" i="30"/>
  <c r="AN135" i="30"/>
  <c r="AO135" i="30"/>
  <c r="AP135" i="30"/>
  <c r="AQ135" i="30"/>
  <c r="AR135" i="30"/>
  <c r="AS135" i="30"/>
  <c r="AT135" i="30"/>
  <c r="AU135" i="30"/>
  <c r="AV135" i="30"/>
  <c r="AW135" i="30"/>
  <c r="AX135" i="30"/>
  <c r="AY135" i="30"/>
  <c r="AZ135" i="30"/>
  <c r="BA135" i="30"/>
  <c r="BB135" i="30"/>
  <c r="BC135" i="30"/>
  <c r="BD135" i="30"/>
  <c r="BE135" i="30"/>
  <c r="BF135" i="30"/>
  <c r="BG135" i="30"/>
  <c r="BH135" i="30"/>
  <c r="BI135" i="30"/>
  <c r="BJ135" i="30"/>
  <c r="BK135" i="30"/>
  <c r="BL135" i="30"/>
  <c r="BM135" i="30"/>
  <c r="BN135" i="30"/>
  <c r="BO135" i="30"/>
  <c r="BP135" i="30"/>
  <c r="BQ135" i="30"/>
  <c r="BR135" i="30"/>
  <c r="BS135" i="30"/>
  <c r="BT135" i="30"/>
  <c r="BU135" i="30"/>
  <c r="BV135" i="30"/>
  <c r="BW135" i="30"/>
  <c r="BX135" i="30"/>
  <c r="BY135" i="30"/>
  <c r="BZ135" i="30"/>
  <c r="CA135" i="30"/>
  <c r="CB135" i="30"/>
  <c r="CC135" i="30"/>
  <c r="CD135" i="30"/>
  <c r="CE135" i="30"/>
  <c r="CF135" i="30"/>
  <c r="CG135" i="30"/>
  <c r="CH135" i="30"/>
  <c r="CI135" i="30"/>
  <c r="CJ135" i="30"/>
  <c r="CK135" i="30"/>
  <c r="CL135" i="30"/>
  <c r="CM135" i="30"/>
  <c r="CN135" i="30"/>
  <c r="CO135" i="30"/>
  <c r="CP135" i="30"/>
  <c r="CQ135" i="30"/>
  <c r="CR135" i="30"/>
  <c r="CS135" i="30"/>
  <c r="CT135" i="30"/>
  <c r="CU135" i="30"/>
  <c r="CV135" i="30"/>
  <c r="CW135" i="30"/>
  <c r="CX135" i="30"/>
  <c r="CY135" i="30"/>
  <c r="CZ135" i="30"/>
  <c r="DA135" i="30"/>
  <c r="DB135" i="30"/>
  <c r="DC135" i="30"/>
  <c r="DD135" i="30"/>
  <c r="DE135" i="30"/>
  <c r="DF135" i="30"/>
  <c r="DG135" i="30"/>
  <c r="DH135" i="30"/>
  <c r="DI135" i="30"/>
  <c r="DJ135" i="30"/>
  <c r="DK135" i="30"/>
  <c r="DL135" i="30"/>
  <c r="DM135" i="30"/>
  <c r="DN135" i="30"/>
  <c r="DO135" i="30"/>
  <c r="DP135" i="30"/>
  <c r="DQ135" i="30"/>
  <c r="DR135" i="30"/>
  <c r="DS135" i="30"/>
  <c r="DT135" i="30"/>
  <c r="DU135" i="30"/>
  <c r="DV135" i="30"/>
  <c r="DW135" i="30"/>
  <c r="DX135" i="30"/>
  <c r="DY135" i="30"/>
  <c r="DZ135" i="30"/>
  <c r="EA135" i="30"/>
  <c r="I136" i="30"/>
  <c r="L136" i="30"/>
  <c r="M136" i="30"/>
  <c r="N136" i="30"/>
  <c r="O136" i="30"/>
  <c r="P136" i="30"/>
  <c r="Q136" i="30"/>
  <c r="R136" i="30"/>
  <c r="S136" i="30"/>
  <c r="T136" i="30"/>
  <c r="U136" i="30"/>
  <c r="V136" i="30"/>
  <c r="W136" i="30"/>
  <c r="X136" i="30"/>
  <c r="Y136" i="30"/>
  <c r="Z136" i="30"/>
  <c r="AA136" i="30"/>
  <c r="AB136" i="30"/>
  <c r="AC136" i="30"/>
  <c r="AD136" i="30"/>
  <c r="AE136" i="30"/>
  <c r="AF136" i="30"/>
  <c r="AG136" i="30"/>
  <c r="AH136" i="30"/>
  <c r="AI136" i="30"/>
  <c r="AJ136" i="30"/>
  <c r="AK136" i="30"/>
  <c r="AL136" i="30"/>
  <c r="AM136" i="30"/>
  <c r="AN136" i="30"/>
  <c r="AO136" i="30"/>
  <c r="AP136" i="30"/>
  <c r="AQ136" i="30"/>
  <c r="AR136" i="30"/>
  <c r="AS136" i="30"/>
  <c r="AT136" i="30"/>
  <c r="AU136" i="30"/>
  <c r="AV136" i="30"/>
  <c r="AW136" i="30"/>
  <c r="AX136" i="30"/>
  <c r="AY136" i="30"/>
  <c r="AZ136" i="30"/>
  <c r="BA136" i="30"/>
  <c r="BB136" i="30"/>
  <c r="BC136" i="30"/>
  <c r="BD136" i="30"/>
  <c r="BE136" i="30"/>
  <c r="BF136" i="30"/>
  <c r="BG136" i="30"/>
  <c r="BH136" i="30"/>
  <c r="BI136" i="30"/>
  <c r="BJ136" i="30"/>
  <c r="BK136" i="30"/>
  <c r="BL136" i="30"/>
  <c r="BM136" i="30"/>
  <c r="BN136" i="30"/>
  <c r="BO136" i="30"/>
  <c r="BP136" i="30"/>
  <c r="BQ136" i="30"/>
  <c r="BR136" i="30"/>
  <c r="BS136" i="30"/>
  <c r="BT136" i="30"/>
  <c r="BU136" i="30"/>
  <c r="BV136" i="30"/>
  <c r="BW136" i="30"/>
  <c r="BX136" i="30"/>
  <c r="BY136" i="30"/>
  <c r="BZ136" i="30"/>
  <c r="CA136" i="30"/>
  <c r="CB136" i="30"/>
  <c r="CC136" i="30"/>
  <c r="CD136" i="30"/>
  <c r="CE136" i="30"/>
  <c r="CF136" i="30"/>
  <c r="CG136" i="30"/>
  <c r="CH136" i="30"/>
  <c r="CI136" i="30"/>
  <c r="CJ136" i="30"/>
  <c r="CK136" i="30"/>
  <c r="CL136" i="30"/>
  <c r="CM136" i="30"/>
  <c r="CN136" i="30"/>
  <c r="CO136" i="30"/>
  <c r="CP136" i="30"/>
  <c r="CQ136" i="30"/>
  <c r="CR136" i="30"/>
  <c r="CS136" i="30"/>
  <c r="CT136" i="30"/>
  <c r="CU136" i="30"/>
  <c r="CV136" i="30"/>
  <c r="CW136" i="30"/>
  <c r="CX136" i="30"/>
  <c r="CY136" i="30"/>
  <c r="CZ136" i="30"/>
  <c r="DA136" i="30"/>
  <c r="DB136" i="30"/>
  <c r="DC136" i="30"/>
  <c r="DD136" i="30"/>
  <c r="DE136" i="30"/>
  <c r="DF136" i="30"/>
  <c r="DG136" i="30"/>
  <c r="DH136" i="30"/>
  <c r="DI136" i="30"/>
  <c r="DJ136" i="30"/>
  <c r="DK136" i="30"/>
  <c r="DL136" i="30"/>
  <c r="DM136" i="30"/>
  <c r="DN136" i="30"/>
  <c r="DO136" i="30"/>
  <c r="DP136" i="30"/>
  <c r="DQ136" i="30"/>
  <c r="DR136" i="30"/>
  <c r="DS136" i="30"/>
  <c r="DT136" i="30"/>
  <c r="DU136" i="30"/>
  <c r="DV136" i="30"/>
  <c r="DW136" i="30"/>
  <c r="DX136" i="30"/>
  <c r="DY136" i="30"/>
  <c r="DZ136" i="30"/>
  <c r="EA136" i="30"/>
  <c r="I138" i="30"/>
  <c r="L138" i="30"/>
  <c r="M138" i="30"/>
  <c r="N138" i="30"/>
  <c r="O138" i="30"/>
  <c r="P138" i="30"/>
  <c r="Q138" i="30"/>
  <c r="R138" i="30"/>
  <c r="S138" i="30"/>
  <c r="T138" i="30"/>
  <c r="U138" i="30"/>
  <c r="V138" i="30"/>
  <c r="W138" i="30"/>
  <c r="X138" i="30"/>
  <c r="Y138" i="30"/>
  <c r="Z138" i="30"/>
  <c r="AA138" i="30"/>
  <c r="AB138" i="30"/>
  <c r="AC138" i="30"/>
  <c r="AD138" i="30"/>
  <c r="AE138" i="30"/>
  <c r="AF138" i="30"/>
  <c r="AG138" i="30"/>
  <c r="AH138" i="30"/>
  <c r="AI138" i="30"/>
  <c r="AJ138" i="30"/>
  <c r="AK138" i="30"/>
  <c r="AL138" i="30"/>
  <c r="AM138" i="30"/>
  <c r="AN138" i="30"/>
  <c r="AO138" i="30"/>
  <c r="AP138" i="30"/>
  <c r="AQ138" i="30"/>
  <c r="AR138" i="30"/>
  <c r="AS138" i="30"/>
  <c r="AT138" i="30"/>
  <c r="AU138" i="30"/>
  <c r="AV138" i="30"/>
  <c r="AW138" i="30"/>
  <c r="AX138" i="30"/>
  <c r="AY138" i="30"/>
  <c r="AZ138" i="30"/>
  <c r="BA138" i="30"/>
  <c r="BB138" i="30"/>
  <c r="BC138" i="30"/>
  <c r="BD138" i="30"/>
  <c r="BE138" i="30"/>
  <c r="BF138" i="30"/>
  <c r="BG138" i="30"/>
  <c r="BH138" i="30"/>
  <c r="BI138" i="30"/>
  <c r="BJ138" i="30"/>
  <c r="BK138" i="30"/>
  <c r="BL138" i="30"/>
  <c r="BM138" i="30"/>
  <c r="BN138" i="30"/>
  <c r="BO138" i="30"/>
  <c r="BP138" i="30"/>
  <c r="BQ138" i="30"/>
  <c r="BR138" i="30"/>
  <c r="BS138" i="30"/>
  <c r="BT138" i="30"/>
  <c r="BU138" i="30"/>
  <c r="BV138" i="30"/>
  <c r="BW138" i="30"/>
  <c r="BX138" i="30"/>
  <c r="BY138" i="30"/>
  <c r="BZ138" i="30"/>
  <c r="CA138" i="30"/>
  <c r="CB138" i="30"/>
  <c r="CC138" i="30"/>
  <c r="CD138" i="30"/>
  <c r="CE138" i="30"/>
  <c r="CF138" i="30"/>
  <c r="CG138" i="30"/>
  <c r="CH138" i="30"/>
  <c r="CI138" i="30"/>
  <c r="CJ138" i="30"/>
  <c r="CK138" i="30"/>
  <c r="CL138" i="30"/>
  <c r="CM138" i="30"/>
  <c r="CN138" i="30"/>
  <c r="CO138" i="30"/>
  <c r="CP138" i="30"/>
  <c r="CQ138" i="30"/>
  <c r="CR138" i="30"/>
  <c r="CS138" i="30"/>
  <c r="CT138" i="30"/>
  <c r="CU138" i="30"/>
  <c r="CV138" i="30"/>
  <c r="CW138" i="30"/>
  <c r="CX138" i="30"/>
  <c r="CY138" i="30"/>
  <c r="CZ138" i="30"/>
  <c r="DA138" i="30"/>
  <c r="DB138" i="30"/>
  <c r="DC138" i="30"/>
  <c r="DD138" i="30"/>
  <c r="DE138" i="30"/>
  <c r="DF138" i="30"/>
  <c r="DG138" i="30"/>
  <c r="DH138" i="30"/>
  <c r="DI138" i="30"/>
  <c r="DJ138" i="30"/>
  <c r="DK138" i="30"/>
  <c r="DL138" i="30"/>
  <c r="DM138" i="30"/>
  <c r="DN138" i="30"/>
  <c r="DO138" i="30"/>
  <c r="DP138" i="30"/>
  <c r="DQ138" i="30"/>
  <c r="DR138" i="30"/>
  <c r="DS138" i="30"/>
  <c r="DT138" i="30"/>
  <c r="DU138" i="30"/>
  <c r="DV138" i="30"/>
  <c r="DW138" i="30"/>
  <c r="DX138" i="30"/>
  <c r="DY138" i="30"/>
  <c r="DZ138" i="30"/>
  <c r="EA138" i="30"/>
  <c r="E140" i="30"/>
  <c r="E141" i="30"/>
  <c r="B18" i="14"/>
  <c r="G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CN18" i="14"/>
  <c r="CO18" i="14"/>
  <c r="CP18" i="14"/>
  <c r="CQ18" i="14"/>
  <c r="CR18" i="14"/>
  <c r="CS18" i="14"/>
  <c r="CT18" i="14"/>
  <c r="CU18" i="14"/>
  <c r="CV18" i="14"/>
  <c r="CW18" i="14"/>
  <c r="CX18" i="14"/>
  <c r="CY18" i="14"/>
  <c r="CZ18" i="14"/>
  <c r="DA18" i="14"/>
  <c r="DB18" i="14"/>
  <c r="DC18" i="14"/>
  <c r="DD18" i="14"/>
  <c r="DE18" i="14"/>
  <c r="DF18" i="14"/>
  <c r="DG18" i="14"/>
  <c r="DH18" i="14"/>
  <c r="DI18" i="14"/>
  <c r="DJ18" i="14"/>
  <c r="DK18" i="14"/>
  <c r="DL18" i="14"/>
  <c r="DM18" i="14"/>
  <c r="DN18" i="14"/>
  <c r="DO18" i="14"/>
  <c r="DP18" i="14"/>
  <c r="DQ18" i="14"/>
  <c r="DR18" i="14"/>
  <c r="DS18" i="14"/>
  <c r="DT18" i="14"/>
  <c r="DU18" i="14"/>
  <c r="DV18" i="14"/>
  <c r="DW18" i="14"/>
  <c r="DX18" i="14"/>
  <c r="DY18" i="14"/>
  <c r="E19" i="14"/>
  <c r="G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DM22" i="14"/>
  <c r="DN22" i="14"/>
  <c r="DO22" i="14"/>
  <c r="DP22" i="14"/>
  <c r="DQ22" i="14"/>
  <c r="DR22" i="14"/>
  <c r="DS22" i="14"/>
  <c r="DT22" i="14"/>
  <c r="DU22" i="14"/>
  <c r="DV22" i="14"/>
  <c r="DW22" i="14"/>
  <c r="DX22" i="14"/>
  <c r="DY22" i="14"/>
  <c r="G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E24" i="14"/>
  <c r="G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E27" i="14"/>
  <c r="G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E28" i="14"/>
  <c r="G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E29" i="14"/>
  <c r="G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DM29" i="14"/>
  <c r="DN29" i="14"/>
  <c r="DO29" i="14"/>
  <c r="DP29" i="14"/>
  <c r="DQ29" i="14"/>
  <c r="DR29" i="14"/>
  <c r="DS29" i="14"/>
  <c r="DT29" i="14"/>
  <c r="DU29" i="14"/>
  <c r="DV29" i="14"/>
  <c r="DW29" i="14"/>
  <c r="DX29" i="14"/>
  <c r="DY29" i="14"/>
  <c r="G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DM31" i="14"/>
  <c r="DN31" i="14"/>
  <c r="DO31" i="14"/>
  <c r="DP31" i="14"/>
  <c r="DQ31" i="14"/>
  <c r="DR31" i="14"/>
  <c r="DS31" i="14"/>
  <c r="DT31" i="14"/>
  <c r="DU31" i="14"/>
  <c r="DV31" i="14"/>
  <c r="DW31" i="14"/>
  <c r="DX31" i="14"/>
  <c r="DY31" i="14"/>
  <c r="G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G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G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G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DM37" i="14"/>
  <c r="DN37" i="14"/>
  <c r="DO37" i="14"/>
  <c r="DP37" i="14"/>
  <c r="DQ37" i="14"/>
  <c r="DR37" i="14"/>
  <c r="DS37" i="14"/>
  <c r="DT37" i="14"/>
  <c r="DU37" i="14"/>
  <c r="DV37" i="14"/>
  <c r="DW37" i="14"/>
  <c r="DX37" i="14"/>
  <c r="DY37" i="14"/>
  <c r="G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DM39" i="14"/>
  <c r="DN39" i="14"/>
  <c r="DO39" i="14"/>
  <c r="DP39" i="14"/>
  <c r="DQ39" i="14"/>
  <c r="DR39" i="14"/>
  <c r="DS39" i="14"/>
  <c r="DT39" i="14"/>
  <c r="DU39" i="14"/>
  <c r="DV39" i="14"/>
  <c r="DW39" i="14"/>
  <c r="DX39" i="14"/>
  <c r="DY39" i="14"/>
  <c r="G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BQ42" i="14"/>
  <c r="BR42" i="14"/>
  <c r="BS42" i="14"/>
  <c r="BT42" i="14"/>
  <c r="BU42" i="14"/>
  <c r="BV42" i="14"/>
  <c r="BW42" i="14"/>
  <c r="BX42" i="14"/>
  <c r="BY42" i="14"/>
  <c r="BZ42" i="14"/>
  <c r="CA42" i="14"/>
  <c r="CB42" i="14"/>
  <c r="CC42" i="14"/>
  <c r="CD42" i="14"/>
  <c r="CE42" i="14"/>
  <c r="CF42" i="14"/>
  <c r="CG42" i="14"/>
  <c r="CH42" i="14"/>
  <c r="CI42" i="14"/>
  <c r="CJ42" i="14"/>
  <c r="CK42" i="14"/>
  <c r="CL42" i="14"/>
  <c r="CM42" i="14"/>
  <c r="CN42" i="14"/>
  <c r="CO42" i="14"/>
  <c r="CP42" i="14"/>
  <c r="CQ42" i="14"/>
  <c r="CR42" i="14"/>
  <c r="CS42" i="14"/>
  <c r="CT42" i="14"/>
  <c r="CU42" i="14"/>
  <c r="CV42" i="14"/>
  <c r="CW42" i="14"/>
  <c r="CX42" i="14"/>
  <c r="CY42" i="14"/>
  <c r="CZ42" i="14"/>
  <c r="DA42" i="14"/>
  <c r="DB42" i="14"/>
  <c r="DC42" i="14"/>
  <c r="DD42" i="14"/>
  <c r="DE42" i="14"/>
  <c r="DF42" i="14"/>
  <c r="DG42" i="14"/>
  <c r="DH42" i="14"/>
  <c r="DI42" i="14"/>
  <c r="DJ42" i="14"/>
  <c r="DK42" i="14"/>
  <c r="DL42" i="14"/>
  <c r="DM42" i="14"/>
  <c r="DN42" i="14"/>
  <c r="DO42" i="14"/>
  <c r="DP42" i="14"/>
  <c r="DQ42" i="14"/>
  <c r="DR42" i="14"/>
  <c r="DS42" i="14"/>
  <c r="DT42" i="14"/>
  <c r="DU42" i="14"/>
  <c r="DV42" i="14"/>
  <c r="DW42" i="14"/>
  <c r="DX42" i="14"/>
  <c r="DY42" i="14"/>
  <c r="G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W43" i="14"/>
  <c r="BX43" i="14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Q43" i="14"/>
  <c r="CR43" i="14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K43" i="14"/>
  <c r="DL43" i="14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G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BQ44" i="14"/>
  <c r="BR44" i="14"/>
  <c r="BS44" i="14"/>
  <c r="BT44" i="14"/>
  <c r="BU44" i="14"/>
  <c r="BV44" i="14"/>
  <c r="BW44" i="14"/>
  <c r="BX44" i="14"/>
  <c r="BY44" i="14"/>
  <c r="BZ44" i="14"/>
  <c r="CA44" i="14"/>
  <c r="CB44" i="14"/>
  <c r="CC44" i="14"/>
  <c r="CD44" i="14"/>
  <c r="CE44" i="14"/>
  <c r="CF44" i="14"/>
  <c r="CG44" i="14"/>
  <c r="CH44" i="14"/>
  <c r="CI44" i="14"/>
  <c r="CJ44" i="14"/>
  <c r="CK44" i="14"/>
  <c r="CL44" i="14"/>
  <c r="CM44" i="14"/>
  <c r="CN44" i="14"/>
  <c r="CO44" i="14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F44" i="14"/>
  <c r="DG44" i="14"/>
  <c r="DH44" i="14"/>
  <c r="DI44" i="14"/>
  <c r="DJ44" i="14"/>
  <c r="DK44" i="14"/>
  <c r="DL44" i="14"/>
  <c r="DM44" i="14"/>
  <c r="DN44" i="14"/>
  <c r="DO44" i="14"/>
  <c r="DP44" i="14"/>
  <c r="DQ44" i="14"/>
  <c r="DR44" i="14"/>
  <c r="DS44" i="14"/>
  <c r="DT44" i="14"/>
  <c r="DU44" i="14"/>
  <c r="DV44" i="14"/>
  <c r="DW44" i="14"/>
  <c r="DX44" i="14"/>
  <c r="DY44" i="14"/>
  <c r="G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BN45" i="14"/>
  <c r="BO45" i="14"/>
  <c r="BP45" i="14"/>
  <c r="BQ45" i="14"/>
  <c r="BR45" i="14"/>
  <c r="BS45" i="14"/>
  <c r="BT45" i="14"/>
  <c r="BU45" i="14"/>
  <c r="BV45" i="14"/>
  <c r="BW45" i="14"/>
  <c r="BX45" i="14"/>
  <c r="BY45" i="14"/>
  <c r="BZ45" i="14"/>
  <c r="CA45" i="14"/>
  <c r="CB45" i="14"/>
  <c r="CC45" i="14"/>
  <c r="CD45" i="14"/>
  <c r="CE45" i="14"/>
  <c r="CF45" i="14"/>
  <c r="CG45" i="14"/>
  <c r="CH45" i="14"/>
  <c r="CI45" i="14"/>
  <c r="CJ45" i="14"/>
  <c r="CK45" i="14"/>
  <c r="CL45" i="14"/>
  <c r="CM45" i="14"/>
  <c r="CN45" i="14"/>
  <c r="CO45" i="14"/>
  <c r="CP45" i="14"/>
  <c r="CQ45" i="14"/>
  <c r="CR45" i="14"/>
  <c r="CS45" i="14"/>
  <c r="CT45" i="14"/>
  <c r="CU45" i="14"/>
  <c r="CV45" i="14"/>
  <c r="CW45" i="14"/>
  <c r="CX45" i="14"/>
  <c r="CY45" i="14"/>
  <c r="CZ45" i="14"/>
  <c r="DA45" i="14"/>
  <c r="DB45" i="14"/>
  <c r="DC45" i="14"/>
  <c r="DD45" i="14"/>
  <c r="DE45" i="14"/>
  <c r="DF45" i="14"/>
  <c r="DG45" i="14"/>
  <c r="DH45" i="14"/>
  <c r="DI45" i="14"/>
  <c r="DJ45" i="14"/>
  <c r="DK45" i="14"/>
  <c r="DL45" i="14"/>
  <c r="DM45" i="14"/>
  <c r="DN45" i="14"/>
  <c r="DO45" i="14"/>
  <c r="DP45" i="14"/>
  <c r="DQ45" i="14"/>
  <c r="DR45" i="14"/>
  <c r="DS45" i="14"/>
  <c r="DT45" i="14"/>
  <c r="DU45" i="14"/>
  <c r="DV45" i="14"/>
  <c r="DW45" i="14"/>
  <c r="DX45" i="14"/>
  <c r="DY45" i="14"/>
  <c r="G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DM47" i="14"/>
  <c r="DN47" i="14"/>
  <c r="DO47" i="14"/>
  <c r="DP47" i="14"/>
  <c r="DQ47" i="14"/>
  <c r="DR47" i="14"/>
  <c r="DS47" i="14"/>
  <c r="DT47" i="14"/>
  <c r="DU47" i="14"/>
  <c r="DV47" i="14"/>
  <c r="DW47" i="14"/>
  <c r="DX47" i="14"/>
  <c r="DY47" i="14"/>
  <c r="G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BZ50" i="14"/>
  <c r="CA50" i="14"/>
  <c r="CB50" i="14"/>
  <c r="CC50" i="14"/>
  <c r="CD50" i="14"/>
  <c r="CE50" i="14"/>
  <c r="CF50" i="14"/>
  <c r="CG50" i="14"/>
  <c r="CH50" i="14"/>
  <c r="CI50" i="14"/>
  <c r="CJ50" i="14"/>
  <c r="CK50" i="14"/>
  <c r="CL50" i="14"/>
  <c r="CM50" i="14"/>
  <c r="CN50" i="14"/>
  <c r="CO50" i="14"/>
  <c r="CP50" i="14"/>
  <c r="CQ50" i="14"/>
  <c r="CR50" i="14"/>
  <c r="CS50" i="14"/>
  <c r="CT50" i="14"/>
  <c r="CU50" i="14"/>
  <c r="CV50" i="14"/>
  <c r="CW50" i="14"/>
  <c r="CX50" i="14"/>
  <c r="CY50" i="14"/>
  <c r="CZ50" i="14"/>
  <c r="DA50" i="14"/>
  <c r="DB50" i="14"/>
  <c r="DC50" i="14"/>
  <c r="DD50" i="14"/>
  <c r="DE50" i="14"/>
  <c r="DF50" i="14"/>
  <c r="DG50" i="14"/>
  <c r="DH50" i="14"/>
  <c r="DI50" i="14"/>
  <c r="DJ50" i="14"/>
  <c r="DK50" i="14"/>
  <c r="DL50" i="14"/>
  <c r="DM50" i="14"/>
  <c r="DN50" i="14"/>
  <c r="DO50" i="14"/>
  <c r="DP50" i="14"/>
  <c r="DQ50" i="14"/>
  <c r="DR50" i="14"/>
  <c r="DS50" i="14"/>
  <c r="DT50" i="14"/>
  <c r="DU50" i="14"/>
  <c r="DV50" i="14"/>
  <c r="DW50" i="14"/>
  <c r="DX50" i="14"/>
  <c r="DY50" i="14"/>
  <c r="G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L51" i="14"/>
  <c r="BM51" i="14"/>
  <c r="BN51" i="14"/>
  <c r="BO51" i="14"/>
  <c r="BP51" i="14"/>
  <c r="BQ51" i="14"/>
  <c r="BR51" i="14"/>
  <c r="BS51" i="14"/>
  <c r="BT51" i="14"/>
  <c r="BU51" i="14"/>
  <c r="BV51" i="14"/>
  <c r="BW51" i="14"/>
  <c r="BX51" i="14"/>
  <c r="BY51" i="14"/>
  <c r="BZ51" i="14"/>
  <c r="CA51" i="14"/>
  <c r="CB51" i="14"/>
  <c r="CC51" i="14"/>
  <c r="CD51" i="14"/>
  <c r="CE51" i="14"/>
  <c r="CF51" i="14"/>
  <c r="CG51" i="14"/>
  <c r="CH51" i="14"/>
  <c r="CI51" i="14"/>
  <c r="CJ51" i="14"/>
  <c r="CK51" i="14"/>
  <c r="CL51" i="14"/>
  <c r="CM51" i="14"/>
  <c r="CN51" i="14"/>
  <c r="CO51" i="14"/>
  <c r="CP51" i="14"/>
  <c r="CQ51" i="14"/>
  <c r="CR51" i="14"/>
  <c r="CS51" i="14"/>
  <c r="CT51" i="14"/>
  <c r="CU51" i="14"/>
  <c r="CV51" i="14"/>
  <c r="CW51" i="14"/>
  <c r="CX51" i="14"/>
  <c r="CY51" i="14"/>
  <c r="CZ51" i="14"/>
  <c r="DA51" i="14"/>
  <c r="DB51" i="14"/>
  <c r="DC51" i="14"/>
  <c r="DD51" i="14"/>
  <c r="DE51" i="14"/>
  <c r="DF51" i="14"/>
  <c r="DG51" i="14"/>
  <c r="DH51" i="14"/>
  <c r="DI51" i="14"/>
  <c r="DJ51" i="14"/>
  <c r="DK51" i="14"/>
  <c r="DL51" i="14"/>
  <c r="DM51" i="14"/>
  <c r="DN51" i="14"/>
  <c r="DO51" i="14"/>
  <c r="DP51" i="14"/>
  <c r="DQ51" i="14"/>
  <c r="DR51" i="14"/>
  <c r="DS51" i="14"/>
  <c r="DT51" i="14"/>
  <c r="DU51" i="14"/>
  <c r="DV51" i="14"/>
  <c r="DW51" i="14"/>
  <c r="DX51" i="14"/>
  <c r="DY51" i="14"/>
  <c r="G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V52" i="14"/>
  <c r="BW52" i="14"/>
  <c r="BX52" i="14"/>
  <c r="BY52" i="14"/>
  <c r="BZ52" i="14"/>
  <c r="CA52" i="14"/>
  <c r="CB52" i="14"/>
  <c r="CC52" i="14"/>
  <c r="CD52" i="14"/>
  <c r="CE52" i="14"/>
  <c r="CF52" i="14"/>
  <c r="CG52" i="14"/>
  <c r="CH52" i="14"/>
  <c r="CI52" i="14"/>
  <c r="CJ52" i="14"/>
  <c r="CK52" i="14"/>
  <c r="CL52" i="14"/>
  <c r="CM52" i="14"/>
  <c r="CN52" i="14"/>
  <c r="CO52" i="14"/>
  <c r="CP52" i="14"/>
  <c r="CQ52" i="14"/>
  <c r="CR52" i="14"/>
  <c r="CS52" i="14"/>
  <c r="CT52" i="14"/>
  <c r="CU52" i="14"/>
  <c r="CV52" i="14"/>
  <c r="CW52" i="14"/>
  <c r="CX52" i="14"/>
  <c r="CY52" i="14"/>
  <c r="CZ52" i="14"/>
  <c r="DA52" i="14"/>
  <c r="DB52" i="14"/>
  <c r="DC52" i="14"/>
  <c r="DD52" i="14"/>
  <c r="DE52" i="14"/>
  <c r="DF52" i="14"/>
  <c r="DG52" i="14"/>
  <c r="DH52" i="14"/>
  <c r="DI52" i="14"/>
  <c r="DJ52" i="14"/>
  <c r="DK52" i="14"/>
  <c r="DL52" i="14"/>
  <c r="DM52" i="14"/>
  <c r="DN52" i="14"/>
  <c r="DO52" i="14"/>
  <c r="DP52" i="14"/>
  <c r="DQ52" i="14"/>
  <c r="DR52" i="14"/>
  <c r="DS52" i="14"/>
  <c r="DT52" i="14"/>
  <c r="DU52" i="14"/>
  <c r="DV52" i="14"/>
  <c r="DW52" i="14"/>
  <c r="DX52" i="14"/>
  <c r="DY52" i="14"/>
  <c r="G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S53" i="14"/>
  <c r="BT53" i="14"/>
  <c r="BU53" i="14"/>
  <c r="BV53" i="14"/>
  <c r="BW53" i="14"/>
  <c r="BX53" i="14"/>
  <c r="BY53" i="14"/>
  <c r="BZ53" i="14"/>
  <c r="CA53" i="14"/>
  <c r="CB53" i="14"/>
  <c r="CC53" i="14"/>
  <c r="CD53" i="14"/>
  <c r="CE53" i="14"/>
  <c r="CF53" i="14"/>
  <c r="CG53" i="14"/>
  <c r="CH53" i="14"/>
  <c r="CI53" i="14"/>
  <c r="CJ53" i="14"/>
  <c r="CK53" i="14"/>
  <c r="CL53" i="14"/>
  <c r="CM53" i="14"/>
  <c r="CN53" i="14"/>
  <c r="CO53" i="14"/>
  <c r="CP53" i="14"/>
  <c r="CQ53" i="14"/>
  <c r="CR53" i="14"/>
  <c r="CS53" i="14"/>
  <c r="CT53" i="14"/>
  <c r="CU53" i="14"/>
  <c r="CV53" i="14"/>
  <c r="CW53" i="14"/>
  <c r="CX53" i="14"/>
  <c r="CY53" i="14"/>
  <c r="CZ53" i="14"/>
  <c r="DA53" i="14"/>
  <c r="DB53" i="14"/>
  <c r="DC53" i="14"/>
  <c r="DD53" i="14"/>
  <c r="DE53" i="14"/>
  <c r="DF53" i="14"/>
  <c r="DG53" i="14"/>
  <c r="DH53" i="14"/>
  <c r="DI53" i="14"/>
  <c r="DJ53" i="14"/>
  <c r="DK53" i="14"/>
  <c r="DL53" i="14"/>
  <c r="DM53" i="14"/>
  <c r="DN53" i="14"/>
  <c r="DO53" i="14"/>
  <c r="DP53" i="14"/>
  <c r="DQ53" i="14"/>
  <c r="DR53" i="14"/>
  <c r="DS53" i="14"/>
  <c r="DT53" i="14"/>
  <c r="DU53" i="14"/>
  <c r="DV53" i="14"/>
  <c r="DW53" i="14"/>
  <c r="DX53" i="14"/>
  <c r="DY53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B58" i="14"/>
  <c r="E58" i="14"/>
  <c r="G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BZ58" i="14"/>
  <c r="CA58" i="14"/>
  <c r="CB58" i="14"/>
  <c r="CC58" i="14"/>
  <c r="CD58" i="14"/>
  <c r="CE58" i="14"/>
  <c r="CF58" i="14"/>
  <c r="CG58" i="14"/>
  <c r="CH58" i="14"/>
  <c r="CI58" i="14"/>
  <c r="CJ58" i="14"/>
  <c r="CK58" i="14"/>
  <c r="CL58" i="14"/>
  <c r="CM58" i="14"/>
  <c r="CN58" i="14"/>
  <c r="CO58" i="14"/>
  <c r="CP58" i="14"/>
  <c r="CQ58" i="14"/>
  <c r="CR58" i="14"/>
  <c r="CS58" i="14"/>
  <c r="CT58" i="14"/>
  <c r="CU58" i="14"/>
  <c r="CV58" i="14"/>
  <c r="CW58" i="14"/>
  <c r="CX58" i="14"/>
  <c r="CY58" i="14"/>
  <c r="CZ58" i="14"/>
  <c r="DA58" i="14"/>
  <c r="DB58" i="14"/>
  <c r="DC58" i="14"/>
  <c r="DD58" i="14"/>
  <c r="DE58" i="14"/>
  <c r="DF58" i="14"/>
  <c r="DG58" i="14"/>
  <c r="DH5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E59" i="14"/>
  <c r="G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BZ59" i="14"/>
  <c r="CA59" i="14"/>
  <c r="CB59" i="14"/>
  <c r="CC59" i="14"/>
  <c r="CD59" i="14"/>
  <c r="CE59" i="14"/>
  <c r="CF59" i="14"/>
  <c r="CG59" i="14"/>
  <c r="CH59" i="14"/>
  <c r="CI59" i="14"/>
  <c r="CJ59" i="14"/>
  <c r="CK59" i="14"/>
  <c r="CL59" i="14"/>
  <c r="CM59" i="14"/>
  <c r="CN59" i="14"/>
  <c r="CO59" i="14"/>
  <c r="CP59" i="14"/>
  <c r="CQ59" i="14"/>
  <c r="CR59" i="14"/>
  <c r="CS59" i="14"/>
  <c r="CT59" i="14"/>
  <c r="CU59" i="14"/>
  <c r="CV59" i="14"/>
  <c r="CW59" i="14"/>
  <c r="CX59" i="14"/>
  <c r="CY59" i="14"/>
  <c r="CZ59" i="14"/>
  <c r="DA59" i="14"/>
  <c r="DB59" i="14"/>
  <c r="DC59" i="14"/>
  <c r="DD59" i="14"/>
  <c r="DE59" i="14"/>
  <c r="DF59" i="14"/>
  <c r="DG59" i="14"/>
  <c r="DH59" i="14"/>
  <c r="DI59" i="14"/>
  <c r="DJ59" i="14"/>
  <c r="DK59" i="14"/>
  <c r="DL59" i="14"/>
  <c r="DM59" i="14"/>
  <c r="DN59" i="14"/>
  <c r="DO59" i="14"/>
  <c r="DP59" i="14"/>
  <c r="DQ59" i="14"/>
  <c r="DR59" i="14"/>
  <c r="DS59" i="14"/>
  <c r="DT59" i="14"/>
  <c r="DU59" i="14"/>
  <c r="DV59" i="14"/>
  <c r="DW59" i="14"/>
  <c r="DX59" i="14"/>
  <c r="DY59" i="14"/>
  <c r="G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G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BQ61" i="14"/>
  <c r="BR61" i="14"/>
  <c r="BS61" i="14"/>
  <c r="BT61" i="14"/>
  <c r="BU61" i="14"/>
  <c r="BV61" i="14"/>
  <c r="BW61" i="14"/>
  <c r="BX61" i="14"/>
  <c r="BY61" i="14"/>
  <c r="BZ61" i="14"/>
  <c r="CA61" i="14"/>
  <c r="CB61" i="14"/>
  <c r="CC61" i="14"/>
  <c r="CD61" i="14"/>
  <c r="CE61" i="14"/>
  <c r="CF61" i="14"/>
  <c r="CG61" i="14"/>
  <c r="CH61" i="14"/>
  <c r="CI61" i="14"/>
  <c r="CJ61" i="14"/>
  <c r="CK61" i="14"/>
  <c r="CL61" i="14"/>
  <c r="CM61" i="14"/>
  <c r="CN61" i="14"/>
  <c r="CO61" i="14"/>
  <c r="CP61" i="14"/>
  <c r="CQ61" i="14"/>
  <c r="CR61" i="14"/>
  <c r="CS61" i="14"/>
  <c r="CT61" i="14"/>
  <c r="CU61" i="14"/>
  <c r="CV61" i="14"/>
  <c r="CW61" i="14"/>
  <c r="CX61" i="14"/>
  <c r="CY61" i="14"/>
  <c r="CZ61" i="14"/>
  <c r="DA61" i="14"/>
  <c r="DB61" i="14"/>
  <c r="DC61" i="14"/>
  <c r="DD61" i="14"/>
  <c r="DE61" i="14"/>
  <c r="DF61" i="14"/>
  <c r="DG61" i="14"/>
  <c r="DH61" i="14"/>
  <c r="DI61" i="14"/>
  <c r="DJ61" i="14"/>
  <c r="DK61" i="14"/>
  <c r="DL61" i="14"/>
  <c r="DM61" i="14"/>
  <c r="DN61" i="14"/>
  <c r="DO61" i="14"/>
  <c r="DP61" i="14"/>
  <c r="DQ61" i="14"/>
  <c r="DR61" i="14"/>
  <c r="DS61" i="14"/>
  <c r="DT61" i="14"/>
  <c r="DU61" i="14"/>
  <c r="DV61" i="14"/>
  <c r="DW61" i="14"/>
  <c r="DX61" i="14"/>
  <c r="DY61" i="14"/>
  <c r="E62" i="14"/>
  <c r="G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BQ62" i="14"/>
  <c r="BR62" i="14"/>
  <c r="BS62" i="14"/>
  <c r="BT62" i="14"/>
  <c r="BU62" i="14"/>
  <c r="BV62" i="14"/>
  <c r="BW62" i="14"/>
  <c r="BX62" i="14"/>
  <c r="BY62" i="14"/>
  <c r="BZ62" i="14"/>
  <c r="CA62" i="14"/>
  <c r="CB62" i="14"/>
  <c r="CC62" i="14"/>
  <c r="CD62" i="14"/>
  <c r="CE62" i="14"/>
  <c r="CF62" i="14"/>
  <c r="CG62" i="14"/>
  <c r="CH62" i="14"/>
  <c r="CI62" i="14"/>
  <c r="CJ62" i="14"/>
  <c r="CK62" i="14"/>
  <c r="CL62" i="14"/>
  <c r="CM62" i="14"/>
  <c r="CN62" i="14"/>
  <c r="CO62" i="14"/>
  <c r="CP62" i="14"/>
  <c r="CQ62" i="14"/>
  <c r="CR62" i="14"/>
  <c r="CS62" i="14"/>
  <c r="CT62" i="14"/>
  <c r="CU62" i="14"/>
  <c r="CV62" i="14"/>
  <c r="CW62" i="14"/>
  <c r="CX62" i="14"/>
  <c r="CY62" i="14"/>
  <c r="CZ62" i="14"/>
  <c r="DA62" i="14"/>
  <c r="DB62" i="14"/>
  <c r="DC62" i="14"/>
  <c r="DD62" i="14"/>
  <c r="DE62" i="14"/>
  <c r="DF62" i="14"/>
  <c r="DG62" i="14"/>
  <c r="DH62" i="14"/>
  <c r="DI62" i="14"/>
  <c r="DJ62" i="14"/>
  <c r="DK62" i="14"/>
  <c r="DL62" i="14"/>
  <c r="DM62" i="14"/>
  <c r="DN62" i="14"/>
  <c r="DO62" i="14"/>
  <c r="DP62" i="14"/>
  <c r="DQ62" i="14"/>
  <c r="DR62" i="14"/>
  <c r="DS62" i="14"/>
  <c r="DT62" i="14"/>
  <c r="DU62" i="14"/>
  <c r="DV62" i="14"/>
  <c r="DW62" i="14"/>
  <c r="DX62" i="14"/>
  <c r="DY62" i="14"/>
  <c r="E63" i="14"/>
  <c r="G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BQ63" i="14"/>
  <c r="BR63" i="14"/>
  <c r="BS63" i="14"/>
  <c r="BT63" i="14"/>
  <c r="BU63" i="14"/>
  <c r="BV63" i="14"/>
  <c r="BW63" i="14"/>
  <c r="BX63" i="14"/>
  <c r="BY63" i="14"/>
  <c r="BZ63" i="14"/>
  <c r="CA63" i="14"/>
  <c r="CB63" i="14"/>
  <c r="CC63" i="14"/>
  <c r="CD63" i="14"/>
  <c r="CE63" i="14"/>
  <c r="CF63" i="14"/>
  <c r="CG63" i="14"/>
  <c r="CH63" i="14"/>
  <c r="CI63" i="14"/>
  <c r="CJ63" i="14"/>
  <c r="CK63" i="14"/>
  <c r="CL63" i="14"/>
  <c r="CM63" i="14"/>
  <c r="CN63" i="14"/>
  <c r="CO63" i="14"/>
  <c r="CP63" i="14"/>
  <c r="CQ63" i="14"/>
  <c r="CR63" i="14"/>
  <c r="CS63" i="14"/>
  <c r="CT63" i="14"/>
  <c r="CU63" i="14"/>
  <c r="CV63" i="14"/>
  <c r="CW63" i="14"/>
  <c r="CX63" i="14"/>
  <c r="CY63" i="14"/>
  <c r="CZ63" i="14"/>
  <c r="DA63" i="14"/>
  <c r="DB63" i="14"/>
  <c r="DC63" i="14"/>
  <c r="DD63" i="14"/>
  <c r="DE63" i="14"/>
  <c r="DF63" i="14"/>
  <c r="DG63" i="14"/>
  <c r="DH63" i="14"/>
  <c r="DI63" i="14"/>
  <c r="DJ63" i="14"/>
  <c r="DK63" i="14"/>
  <c r="DL63" i="14"/>
  <c r="DM63" i="14"/>
  <c r="DN63" i="14"/>
  <c r="DO63" i="14"/>
  <c r="DP63" i="14"/>
  <c r="DQ63" i="14"/>
  <c r="DR63" i="14"/>
  <c r="DS63" i="14"/>
  <c r="DT63" i="14"/>
  <c r="DU63" i="14"/>
  <c r="DV63" i="14"/>
  <c r="DW63" i="14"/>
  <c r="DX63" i="14"/>
  <c r="DY63" i="14"/>
  <c r="E65" i="14"/>
  <c r="K65" i="14"/>
  <c r="E66" i="14"/>
  <c r="K66" i="14"/>
  <c r="E67" i="14"/>
  <c r="K67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Q73" i="14"/>
  <c r="BR73" i="14"/>
  <c r="BS73" i="14"/>
  <c r="BT73" i="14"/>
  <c r="BU73" i="14"/>
  <c r="BV73" i="14"/>
  <c r="BW73" i="14"/>
  <c r="BX73" i="14"/>
  <c r="BY73" i="14"/>
  <c r="BZ73" i="14"/>
  <c r="CA73" i="14"/>
  <c r="CB73" i="14"/>
  <c r="CC73" i="14"/>
  <c r="CD73" i="14"/>
  <c r="CE73" i="14"/>
  <c r="CF73" i="14"/>
  <c r="CG73" i="14"/>
  <c r="CH73" i="14"/>
  <c r="CI73" i="14"/>
  <c r="CJ73" i="14"/>
  <c r="CK73" i="14"/>
  <c r="CL73" i="14"/>
  <c r="CM73" i="14"/>
  <c r="CN73" i="14"/>
  <c r="CO73" i="14"/>
  <c r="CP73" i="14"/>
  <c r="CQ73" i="14"/>
  <c r="CR73" i="14"/>
  <c r="CS73" i="14"/>
  <c r="CT73" i="14"/>
  <c r="CU73" i="14"/>
  <c r="CV73" i="14"/>
  <c r="CW73" i="14"/>
  <c r="CX73" i="14"/>
  <c r="CY73" i="14"/>
  <c r="CZ73" i="14"/>
  <c r="DA73" i="14"/>
  <c r="DB73" i="14"/>
  <c r="DC73" i="14"/>
  <c r="DD73" i="14"/>
  <c r="DE73" i="14"/>
  <c r="DF73" i="14"/>
  <c r="DG73" i="14"/>
  <c r="DH73" i="14"/>
  <c r="DI73" i="14"/>
  <c r="DJ73" i="14"/>
  <c r="DK73" i="14"/>
  <c r="DL73" i="14"/>
  <c r="DM73" i="14"/>
  <c r="DN73" i="14"/>
  <c r="DO73" i="14"/>
  <c r="DP73" i="14"/>
  <c r="DQ73" i="14"/>
  <c r="DR73" i="14"/>
  <c r="DS73" i="14"/>
  <c r="DT73" i="14"/>
  <c r="DU73" i="14"/>
  <c r="DV73" i="14"/>
  <c r="DW73" i="14"/>
  <c r="DX73" i="14"/>
  <c r="DY73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BO74" i="14"/>
  <c r="BP74" i="14"/>
  <c r="BQ74" i="14"/>
  <c r="BR74" i="14"/>
  <c r="BS74" i="14"/>
  <c r="BT74" i="14"/>
  <c r="BU74" i="14"/>
  <c r="BV74" i="14"/>
  <c r="BW74" i="14"/>
  <c r="BX74" i="14"/>
  <c r="BY74" i="14"/>
  <c r="BZ74" i="14"/>
  <c r="CA74" i="14"/>
  <c r="CB74" i="14"/>
  <c r="CC74" i="14"/>
  <c r="CD74" i="14"/>
  <c r="CE74" i="14"/>
  <c r="CF74" i="14"/>
  <c r="CG74" i="14"/>
  <c r="CH74" i="14"/>
  <c r="CI74" i="14"/>
  <c r="CJ74" i="14"/>
  <c r="CK74" i="14"/>
  <c r="CL74" i="14"/>
  <c r="CM74" i="14"/>
  <c r="CN74" i="14"/>
  <c r="CO74" i="14"/>
  <c r="CP74" i="14"/>
  <c r="CQ74" i="14"/>
  <c r="CR74" i="14"/>
  <c r="CS74" i="14"/>
  <c r="CT74" i="14"/>
  <c r="CU74" i="14"/>
  <c r="CV74" i="14"/>
  <c r="CW74" i="14"/>
  <c r="CX74" i="14"/>
  <c r="CY74" i="14"/>
  <c r="CZ74" i="14"/>
  <c r="DA74" i="14"/>
  <c r="DB74" i="14"/>
  <c r="DC74" i="14"/>
  <c r="DD74" i="14"/>
  <c r="DE74" i="14"/>
  <c r="DF74" i="14"/>
  <c r="DG74" i="14"/>
  <c r="DH74" i="14"/>
  <c r="DI74" i="14"/>
  <c r="DJ74" i="14"/>
  <c r="DK74" i="14"/>
  <c r="DL74" i="14"/>
  <c r="DM74" i="14"/>
  <c r="DN74" i="14"/>
  <c r="DO74" i="14"/>
  <c r="DP74" i="14"/>
  <c r="DQ74" i="14"/>
  <c r="DR74" i="14"/>
  <c r="DS74" i="14"/>
  <c r="DT74" i="14"/>
  <c r="DU74" i="14"/>
  <c r="DV74" i="14"/>
  <c r="DW74" i="14"/>
  <c r="DX74" i="14"/>
  <c r="DY74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BS75" i="14"/>
  <c r="BT75" i="14"/>
  <c r="BU75" i="14"/>
  <c r="BV75" i="14"/>
  <c r="BW75" i="14"/>
  <c r="BX75" i="14"/>
  <c r="BY75" i="14"/>
  <c r="BZ75" i="14"/>
  <c r="CA75" i="14"/>
  <c r="CB75" i="14"/>
  <c r="CC75" i="14"/>
  <c r="CD75" i="14"/>
  <c r="CE75" i="14"/>
  <c r="CF75" i="14"/>
  <c r="CG75" i="14"/>
  <c r="CH75" i="14"/>
  <c r="CI75" i="14"/>
  <c r="CJ75" i="14"/>
  <c r="CK75" i="14"/>
  <c r="CL75" i="14"/>
  <c r="CM75" i="14"/>
  <c r="CN75" i="14"/>
  <c r="CO75" i="14"/>
  <c r="CP75" i="14"/>
  <c r="CQ75" i="14"/>
  <c r="CR75" i="14"/>
  <c r="CS75" i="14"/>
  <c r="CT75" i="14"/>
  <c r="CU75" i="14"/>
  <c r="CV75" i="14"/>
  <c r="CW75" i="14"/>
  <c r="CX75" i="14"/>
  <c r="CY75" i="14"/>
  <c r="CZ75" i="14"/>
  <c r="DA75" i="14"/>
  <c r="DB75" i="14"/>
  <c r="DC75" i="14"/>
  <c r="DD75" i="14"/>
  <c r="DE75" i="14"/>
  <c r="DF75" i="14"/>
  <c r="DG75" i="14"/>
  <c r="DH75" i="14"/>
  <c r="DI75" i="14"/>
  <c r="DJ75" i="14"/>
  <c r="DK75" i="14"/>
  <c r="DL75" i="14"/>
  <c r="DM75" i="14"/>
  <c r="DN75" i="14"/>
  <c r="DO75" i="14"/>
  <c r="DP75" i="14"/>
  <c r="DQ75" i="14"/>
  <c r="DR75" i="14"/>
  <c r="DS75" i="14"/>
  <c r="DT75" i="14"/>
  <c r="DU75" i="14"/>
  <c r="DV75" i="14"/>
  <c r="DW75" i="14"/>
  <c r="DX75" i="14"/>
  <c r="DY75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L76" i="14"/>
  <c r="BM76" i="14"/>
  <c r="BN76" i="14"/>
  <c r="BO76" i="14"/>
  <c r="BP76" i="14"/>
  <c r="BQ76" i="14"/>
  <c r="BR76" i="14"/>
  <c r="BS76" i="14"/>
  <c r="BT76" i="14"/>
  <c r="BU76" i="14"/>
  <c r="BV76" i="14"/>
  <c r="BW76" i="14"/>
  <c r="BX76" i="14"/>
  <c r="BY76" i="14"/>
  <c r="BZ76" i="14"/>
  <c r="CA76" i="14"/>
  <c r="CB76" i="14"/>
  <c r="CC76" i="14"/>
  <c r="CD76" i="14"/>
  <c r="CE76" i="14"/>
  <c r="CF76" i="14"/>
  <c r="CG76" i="14"/>
  <c r="CH76" i="14"/>
  <c r="CI76" i="14"/>
  <c r="CJ76" i="14"/>
  <c r="CK76" i="14"/>
  <c r="CL76" i="14"/>
  <c r="CM76" i="14"/>
  <c r="CN76" i="14"/>
  <c r="CO76" i="14"/>
  <c r="CP76" i="14"/>
  <c r="CQ76" i="14"/>
  <c r="CR76" i="14"/>
  <c r="CS76" i="14"/>
  <c r="CT76" i="14"/>
  <c r="CU76" i="14"/>
  <c r="CV76" i="14"/>
  <c r="CW76" i="14"/>
  <c r="CX76" i="14"/>
  <c r="CY76" i="14"/>
  <c r="CZ76" i="14"/>
  <c r="DA76" i="14"/>
  <c r="DB76" i="14"/>
  <c r="DC76" i="14"/>
  <c r="DD76" i="14"/>
  <c r="DE76" i="14"/>
  <c r="DF76" i="14"/>
  <c r="DG76" i="14"/>
  <c r="DH76" i="14"/>
  <c r="DI76" i="14"/>
  <c r="DJ76" i="14"/>
  <c r="DK76" i="14"/>
  <c r="DL76" i="14"/>
  <c r="DM76" i="14"/>
  <c r="DN76" i="14"/>
  <c r="DO76" i="14"/>
  <c r="DP76" i="14"/>
  <c r="DQ76" i="14"/>
  <c r="DR76" i="14"/>
  <c r="DS76" i="14"/>
  <c r="DT76" i="14"/>
  <c r="DU76" i="14"/>
  <c r="DV76" i="14"/>
  <c r="DW76" i="14"/>
  <c r="DX76" i="14"/>
  <c r="DY76" i="14"/>
  <c r="G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L77" i="14"/>
  <c r="BM77" i="14"/>
  <c r="BN77" i="14"/>
  <c r="BO77" i="14"/>
  <c r="BP77" i="14"/>
  <c r="BQ77" i="14"/>
  <c r="BR77" i="14"/>
  <c r="BS77" i="14"/>
  <c r="BT77" i="14"/>
  <c r="BU77" i="14"/>
  <c r="BV77" i="14"/>
  <c r="BW77" i="14"/>
  <c r="BX77" i="14"/>
  <c r="BY77" i="14"/>
  <c r="BZ77" i="14"/>
  <c r="CA77" i="14"/>
  <c r="CB77" i="14"/>
  <c r="CC77" i="14"/>
  <c r="CD77" i="14"/>
  <c r="CE77" i="14"/>
  <c r="CF77" i="14"/>
  <c r="CG77" i="14"/>
  <c r="CH77" i="14"/>
  <c r="CI77" i="14"/>
  <c r="CJ77" i="14"/>
  <c r="CK77" i="14"/>
  <c r="CL77" i="14"/>
  <c r="CM77" i="14"/>
  <c r="CN77" i="14"/>
  <c r="CO77" i="14"/>
  <c r="CP77" i="14"/>
  <c r="CQ77" i="14"/>
  <c r="CR77" i="14"/>
  <c r="CS77" i="14"/>
  <c r="CT77" i="14"/>
  <c r="CU77" i="14"/>
  <c r="CV77" i="14"/>
  <c r="CW77" i="14"/>
  <c r="CX77" i="14"/>
  <c r="CY77" i="14"/>
  <c r="CZ77" i="14"/>
  <c r="DA77" i="14"/>
  <c r="DB77" i="14"/>
  <c r="DC77" i="14"/>
  <c r="DD77" i="14"/>
  <c r="DE77" i="14"/>
  <c r="DF77" i="14"/>
  <c r="DG77" i="14"/>
  <c r="DH77" i="14"/>
  <c r="DI77" i="14"/>
  <c r="DJ77" i="14"/>
  <c r="DK77" i="14"/>
  <c r="DL77" i="14"/>
  <c r="DM77" i="14"/>
  <c r="DN77" i="14"/>
  <c r="DO77" i="14"/>
  <c r="DP77" i="14"/>
  <c r="DQ77" i="14"/>
  <c r="DR77" i="14"/>
  <c r="DS77" i="14"/>
  <c r="DT77" i="14"/>
  <c r="DU77" i="14"/>
  <c r="DV77" i="14"/>
  <c r="DW77" i="14"/>
  <c r="DX77" i="14"/>
  <c r="DY77" i="14"/>
  <c r="DZ77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BO78" i="14"/>
  <c r="BP78" i="14"/>
  <c r="BQ78" i="14"/>
  <c r="BR78" i="14"/>
  <c r="BS78" i="14"/>
  <c r="BT78" i="14"/>
  <c r="BU78" i="14"/>
  <c r="BV78" i="14"/>
  <c r="BW78" i="14"/>
  <c r="BX78" i="14"/>
  <c r="BY78" i="14"/>
  <c r="BZ78" i="14"/>
  <c r="CA78" i="14"/>
  <c r="CB78" i="14"/>
  <c r="CC78" i="14"/>
  <c r="CD78" i="14"/>
  <c r="CE78" i="14"/>
  <c r="CF78" i="14"/>
  <c r="CG78" i="14"/>
  <c r="CH78" i="14"/>
  <c r="CI78" i="14"/>
  <c r="CJ78" i="14"/>
  <c r="CK78" i="14"/>
  <c r="CL78" i="14"/>
  <c r="CM78" i="14"/>
  <c r="CN78" i="14"/>
  <c r="CO78" i="14"/>
  <c r="CP78" i="14"/>
  <c r="CQ78" i="14"/>
  <c r="CR78" i="14"/>
  <c r="CS78" i="14"/>
  <c r="CT78" i="14"/>
  <c r="CU78" i="14"/>
  <c r="CV78" i="14"/>
  <c r="CW78" i="14"/>
  <c r="CX78" i="14"/>
  <c r="CY78" i="14"/>
  <c r="CZ78" i="14"/>
  <c r="DA78" i="14"/>
  <c r="DB78" i="14"/>
  <c r="DC78" i="14"/>
  <c r="DD78" i="14"/>
  <c r="DE78" i="14"/>
  <c r="DF78" i="14"/>
  <c r="DG78" i="14"/>
  <c r="DH78" i="14"/>
  <c r="DI78" i="14"/>
  <c r="DJ78" i="14"/>
  <c r="DK78" i="14"/>
  <c r="DL78" i="14"/>
  <c r="DM78" i="14"/>
  <c r="DN78" i="14"/>
  <c r="DO78" i="14"/>
  <c r="DP78" i="14"/>
  <c r="DQ78" i="14"/>
  <c r="DR78" i="14"/>
  <c r="DS78" i="14"/>
  <c r="DT78" i="14"/>
  <c r="DU78" i="14"/>
  <c r="DV78" i="14"/>
  <c r="DW78" i="14"/>
  <c r="DX78" i="14"/>
  <c r="DY78" i="14"/>
  <c r="E79" i="14"/>
  <c r="G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BO79" i="14"/>
  <c r="BP79" i="14"/>
  <c r="BQ79" i="14"/>
  <c r="BR79" i="14"/>
  <c r="BS79" i="14"/>
  <c r="BT79" i="14"/>
  <c r="BU79" i="14"/>
  <c r="BV79" i="14"/>
  <c r="BW79" i="14"/>
  <c r="BX79" i="14"/>
  <c r="BY79" i="14"/>
  <c r="BZ79" i="14"/>
  <c r="CA79" i="14"/>
  <c r="CB79" i="14"/>
  <c r="CC79" i="14"/>
  <c r="CD79" i="14"/>
  <c r="CE79" i="14"/>
  <c r="CF79" i="14"/>
  <c r="CG79" i="14"/>
  <c r="CH79" i="14"/>
  <c r="CI79" i="14"/>
  <c r="CJ79" i="14"/>
  <c r="CK79" i="14"/>
  <c r="CL79" i="14"/>
  <c r="CM79" i="14"/>
  <c r="CN79" i="14"/>
  <c r="CO79" i="14"/>
  <c r="CP79" i="14"/>
  <c r="CQ79" i="14"/>
  <c r="CR79" i="14"/>
  <c r="CS79" i="14"/>
  <c r="CT79" i="14"/>
  <c r="CU79" i="14"/>
  <c r="CV79" i="14"/>
  <c r="CW79" i="14"/>
  <c r="CX79" i="14"/>
  <c r="CY79" i="14"/>
  <c r="CZ79" i="14"/>
  <c r="DA79" i="14"/>
  <c r="DB79" i="14"/>
  <c r="DC79" i="14"/>
  <c r="DD79" i="14"/>
  <c r="DE79" i="14"/>
  <c r="DF79" i="14"/>
  <c r="DG79" i="14"/>
  <c r="DH79" i="14"/>
  <c r="DI79" i="14"/>
  <c r="DJ79" i="14"/>
  <c r="DK79" i="14"/>
  <c r="DL79" i="14"/>
  <c r="DM79" i="14"/>
  <c r="DN79" i="14"/>
  <c r="DO79" i="14"/>
  <c r="DP79" i="14"/>
  <c r="DQ79" i="14"/>
  <c r="DR79" i="14"/>
  <c r="DS79" i="14"/>
  <c r="DT79" i="14"/>
  <c r="DU79" i="14"/>
  <c r="DV79" i="14"/>
  <c r="DW79" i="14"/>
  <c r="DX79" i="14"/>
  <c r="DY79" i="14"/>
  <c r="K81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AY82" i="14"/>
  <c r="AZ82" i="14"/>
  <c r="BA82" i="14"/>
  <c r="BB82" i="14"/>
  <c r="BC82" i="14"/>
  <c r="BD82" i="14"/>
  <c r="BE82" i="14"/>
  <c r="BF82" i="14"/>
  <c r="BG82" i="14"/>
  <c r="BH82" i="14"/>
  <c r="BI82" i="14"/>
  <c r="BJ82" i="14"/>
  <c r="BK82" i="14"/>
  <c r="BL82" i="14"/>
  <c r="BM82" i="14"/>
  <c r="BN82" i="14"/>
  <c r="BO82" i="14"/>
  <c r="BP82" i="14"/>
  <c r="BQ82" i="14"/>
  <c r="BR82" i="14"/>
  <c r="BS82" i="14"/>
  <c r="BT82" i="14"/>
  <c r="BU82" i="14"/>
  <c r="BV82" i="14"/>
  <c r="BW82" i="14"/>
  <c r="BX82" i="14"/>
  <c r="BY82" i="14"/>
  <c r="BZ82" i="14"/>
  <c r="CA82" i="14"/>
  <c r="CB82" i="14"/>
  <c r="CC82" i="14"/>
  <c r="CD82" i="14"/>
  <c r="CE82" i="14"/>
  <c r="CF82" i="14"/>
  <c r="CG82" i="14"/>
  <c r="CH82" i="14"/>
  <c r="CI82" i="14"/>
  <c r="CJ82" i="14"/>
  <c r="CK82" i="14"/>
  <c r="CL82" i="14"/>
  <c r="CM82" i="14"/>
  <c r="CN82" i="14"/>
  <c r="CO82" i="14"/>
  <c r="CP82" i="14"/>
  <c r="CQ82" i="14"/>
  <c r="CR82" i="14"/>
  <c r="CS82" i="14"/>
  <c r="CT82" i="14"/>
  <c r="CU82" i="14"/>
  <c r="CV82" i="14"/>
  <c r="CW82" i="14"/>
  <c r="CX82" i="14"/>
  <c r="CY82" i="14"/>
  <c r="CZ82" i="14"/>
  <c r="DA82" i="14"/>
  <c r="DB82" i="14"/>
  <c r="DC82" i="14"/>
  <c r="DD82" i="14"/>
  <c r="DE82" i="14"/>
  <c r="DF82" i="14"/>
  <c r="DG82" i="14"/>
  <c r="DH82" i="14"/>
  <c r="DI82" i="14"/>
  <c r="DJ82" i="14"/>
  <c r="DK82" i="14"/>
  <c r="DL82" i="14"/>
  <c r="DM82" i="14"/>
  <c r="DN82" i="14"/>
  <c r="DO82" i="14"/>
  <c r="DP82" i="14"/>
  <c r="DQ82" i="14"/>
  <c r="DR82" i="14"/>
  <c r="DS82" i="14"/>
  <c r="DT82" i="14"/>
  <c r="DU82" i="14"/>
  <c r="DV82" i="14"/>
  <c r="DW82" i="14"/>
  <c r="DX82" i="14"/>
  <c r="DY82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AZ83" i="14"/>
  <c r="BA83" i="14"/>
  <c r="BB83" i="14"/>
  <c r="BC83" i="14"/>
  <c r="BD83" i="14"/>
  <c r="BE83" i="14"/>
  <c r="BF83" i="14"/>
  <c r="BG83" i="14"/>
  <c r="BH83" i="14"/>
  <c r="BI83" i="14"/>
  <c r="BJ83" i="14"/>
  <c r="BK83" i="14"/>
  <c r="BL83" i="14"/>
  <c r="BM83" i="14"/>
  <c r="BN83" i="14"/>
  <c r="BO83" i="14"/>
  <c r="BP83" i="14"/>
  <c r="BQ83" i="14"/>
  <c r="BR83" i="14"/>
  <c r="BS83" i="14"/>
  <c r="BT83" i="14"/>
  <c r="BU83" i="14"/>
  <c r="BV83" i="14"/>
  <c r="BW83" i="14"/>
  <c r="BX83" i="14"/>
  <c r="BY83" i="14"/>
  <c r="BZ83" i="14"/>
  <c r="CA83" i="14"/>
  <c r="CB83" i="14"/>
  <c r="CC83" i="14"/>
  <c r="CD83" i="14"/>
  <c r="CE83" i="14"/>
  <c r="CF83" i="14"/>
  <c r="CG83" i="14"/>
  <c r="CH83" i="14"/>
  <c r="CI83" i="14"/>
  <c r="CJ83" i="14"/>
  <c r="CK83" i="14"/>
  <c r="CL83" i="14"/>
  <c r="CM83" i="14"/>
  <c r="CN83" i="14"/>
  <c r="CO83" i="14"/>
  <c r="CP83" i="14"/>
  <c r="CQ83" i="14"/>
  <c r="CR83" i="14"/>
  <c r="CS83" i="14"/>
  <c r="CT83" i="14"/>
  <c r="CU83" i="14"/>
  <c r="CV83" i="14"/>
  <c r="CW83" i="14"/>
  <c r="CX83" i="14"/>
  <c r="CY83" i="14"/>
  <c r="CZ83" i="14"/>
  <c r="DA83" i="14"/>
  <c r="DB83" i="14"/>
  <c r="DC83" i="14"/>
  <c r="DD83" i="14"/>
  <c r="DE83" i="14"/>
  <c r="DF83" i="14"/>
  <c r="DG83" i="14"/>
  <c r="DH83" i="14"/>
  <c r="DI83" i="14"/>
  <c r="DJ83" i="14"/>
  <c r="DK83" i="14"/>
  <c r="DL83" i="14"/>
  <c r="DM83" i="14"/>
  <c r="DN83" i="14"/>
  <c r="DO83" i="14"/>
  <c r="DP83" i="14"/>
  <c r="DQ83" i="14"/>
  <c r="DR83" i="14"/>
  <c r="DS83" i="14"/>
  <c r="DT83" i="14"/>
  <c r="DU83" i="14"/>
  <c r="DV83" i="14"/>
  <c r="DW83" i="14"/>
  <c r="DX83" i="14"/>
  <c r="DY83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AZ84" i="14"/>
  <c r="BA84" i="14"/>
  <c r="BB84" i="14"/>
  <c r="BC84" i="14"/>
  <c r="BD84" i="14"/>
  <c r="BE84" i="14"/>
  <c r="BF84" i="14"/>
  <c r="BG84" i="14"/>
  <c r="BH84" i="14"/>
  <c r="BI84" i="14"/>
  <c r="BJ84" i="14"/>
  <c r="BK84" i="14"/>
  <c r="BL84" i="14"/>
  <c r="BM84" i="14"/>
  <c r="BN84" i="14"/>
  <c r="BO84" i="14"/>
  <c r="BP84" i="14"/>
  <c r="BQ84" i="14"/>
  <c r="BR84" i="14"/>
  <c r="BS84" i="14"/>
  <c r="BT84" i="14"/>
  <c r="BU84" i="14"/>
  <c r="BV84" i="14"/>
  <c r="BW84" i="14"/>
  <c r="BX84" i="14"/>
  <c r="BY84" i="14"/>
  <c r="BZ84" i="14"/>
  <c r="CA84" i="14"/>
  <c r="CB84" i="14"/>
  <c r="CC84" i="14"/>
  <c r="CD84" i="14"/>
  <c r="CE84" i="14"/>
  <c r="CF84" i="14"/>
  <c r="CG84" i="14"/>
  <c r="CH84" i="14"/>
  <c r="CI84" i="14"/>
  <c r="CJ84" i="14"/>
  <c r="CK84" i="14"/>
  <c r="CL84" i="14"/>
  <c r="CM84" i="14"/>
  <c r="CN84" i="14"/>
  <c r="CO84" i="14"/>
  <c r="CP84" i="14"/>
  <c r="CQ84" i="14"/>
  <c r="CR84" i="14"/>
  <c r="CS84" i="14"/>
  <c r="CT84" i="14"/>
  <c r="CU84" i="14"/>
  <c r="CV84" i="14"/>
  <c r="CW84" i="14"/>
  <c r="CX84" i="14"/>
  <c r="CY84" i="14"/>
  <c r="CZ84" i="14"/>
  <c r="DA84" i="14"/>
  <c r="DB84" i="14"/>
  <c r="DC84" i="14"/>
  <c r="DD84" i="14"/>
  <c r="DE84" i="14"/>
  <c r="DF84" i="14"/>
  <c r="DG84" i="14"/>
  <c r="DH84" i="14"/>
  <c r="DI84" i="14"/>
  <c r="DJ84" i="14"/>
  <c r="DK84" i="14"/>
  <c r="DL84" i="14"/>
  <c r="DM84" i="14"/>
  <c r="DN84" i="14"/>
  <c r="DO84" i="14"/>
  <c r="DP84" i="14"/>
  <c r="DQ84" i="14"/>
  <c r="DR84" i="14"/>
  <c r="DS84" i="14"/>
  <c r="DT84" i="14"/>
  <c r="DU84" i="14"/>
  <c r="DV84" i="14"/>
  <c r="DW84" i="14"/>
  <c r="DX84" i="14"/>
  <c r="DY84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BO85" i="14"/>
  <c r="BP85" i="14"/>
  <c r="BQ85" i="14"/>
  <c r="BR85" i="14"/>
  <c r="BS85" i="14"/>
  <c r="BT85" i="14"/>
  <c r="BU85" i="14"/>
  <c r="BV85" i="14"/>
  <c r="BW85" i="14"/>
  <c r="BX85" i="14"/>
  <c r="BY85" i="14"/>
  <c r="BZ85" i="14"/>
  <c r="CA85" i="14"/>
  <c r="CB85" i="14"/>
  <c r="CC85" i="14"/>
  <c r="CD85" i="14"/>
  <c r="CE85" i="14"/>
  <c r="CF85" i="14"/>
  <c r="CG85" i="14"/>
  <c r="CH85" i="14"/>
  <c r="CI85" i="14"/>
  <c r="CJ85" i="14"/>
  <c r="CK85" i="14"/>
  <c r="CL85" i="14"/>
  <c r="CM85" i="14"/>
  <c r="CN85" i="14"/>
  <c r="CO85" i="14"/>
  <c r="CP85" i="14"/>
  <c r="CQ85" i="14"/>
  <c r="CR85" i="14"/>
  <c r="CS85" i="14"/>
  <c r="CT85" i="14"/>
  <c r="CU85" i="14"/>
  <c r="CV85" i="14"/>
  <c r="CW85" i="14"/>
  <c r="CX85" i="14"/>
  <c r="CY85" i="14"/>
  <c r="CZ85" i="14"/>
  <c r="DA85" i="14"/>
  <c r="DB85" i="14"/>
  <c r="DC85" i="14"/>
  <c r="DD85" i="14"/>
  <c r="DE85" i="14"/>
  <c r="DF85" i="14"/>
  <c r="DG85" i="14"/>
  <c r="DH85" i="14"/>
  <c r="DI85" i="14"/>
  <c r="DJ85" i="14"/>
  <c r="DK85" i="14"/>
  <c r="DL85" i="14"/>
  <c r="DM85" i="14"/>
  <c r="DN85" i="14"/>
  <c r="DO85" i="14"/>
  <c r="DP85" i="14"/>
  <c r="DQ85" i="14"/>
  <c r="DR85" i="14"/>
  <c r="DS85" i="14"/>
  <c r="DT85" i="14"/>
  <c r="DU85" i="14"/>
  <c r="DV85" i="14"/>
  <c r="DW85" i="14"/>
  <c r="DX85" i="14"/>
  <c r="DY85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L86" i="14"/>
  <c r="BM86" i="14"/>
  <c r="BN86" i="14"/>
  <c r="BO86" i="14"/>
  <c r="BP86" i="14"/>
  <c r="BQ86" i="14"/>
  <c r="BR86" i="14"/>
  <c r="BS86" i="14"/>
  <c r="BT86" i="14"/>
  <c r="BU86" i="14"/>
  <c r="BV86" i="14"/>
  <c r="BW86" i="14"/>
  <c r="BX86" i="14"/>
  <c r="BY86" i="14"/>
  <c r="BZ86" i="14"/>
  <c r="CA86" i="14"/>
  <c r="CB86" i="14"/>
  <c r="CC86" i="14"/>
  <c r="CD86" i="14"/>
  <c r="CE86" i="14"/>
  <c r="CF86" i="14"/>
  <c r="CG86" i="14"/>
  <c r="CH86" i="14"/>
  <c r="CI86" i="14"/>
  <c r="CJ86" i="14"/>
  <c r="CK86" i="14"/>
  <c r="CL86" i="14"/>
  <c r="CM86" i="14"/>
  <c r="CN86" i="14"/>
  <c r="CO86" i="14"/>
  <c r="CP86" i="14"/>
  <c r="CQ86" i="14"/>
  <c r="CR86" i="14"/>
  <c r="CS86" i="14"/>
  <c r="CT86" i="14"/>
  <c r="CU86" i="14"/>
  <c r="CV86" i="14"/>
  <c r="CW86" i="14"/>
  <c r="CX86" i="14"/>
  <c r="CY86" i="14"/>
  <c r="CZ86" i="14"/>
  <c r="DA86" i="14"/>
  <c r="DB86" i="14"/>
  <c r="DC86" i="14"/>
  <c r="DD86" i="14"/>
  <c r="DE86" i="14"/>
  <c r="DF86" i="14"/>
  <c r="DG86" i="14"/>
  <c r="DH86" i="14"/>
  <c r="DI86" i="14"/>
  <c r="DJ86" i="14"/>
  <c r="DK86" i="14"/>
  <c r="DL86" i="14"/>
  <c r="DM86" i="14"/>
  <c r="DN86" i="14"/>
  <c r="DO86" i="14"/>
  <c r="DP86" i="14"/>
  <c r="DQ86" i="14"/>
  <c r="DR86" i="14"/>
  <c r="DS86" i="14"/>
  <c r="DT86" i="14"/>
  <c r="DU86" i="14"/>
  <c r="DV86" i="14"/>
  <c r="DW86" i="14"/>
  <c r="DX86" i="14"/>
  <c r="DY86" i="14"/>
  <c r="G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L87" i="14"/>
  <c r="BM87" i="14"/>
  <c r="BN87" i="14"/>
  <c r="BO87" i="14"/>
  <c r="BP87" i="14"/>
  <c r="BQ87" i="14"/>
  <c r="BR87" i="14"/>
  <c r="BS87" i="14"/>
  <c r="BT87" i="14"/>
  <c r="BU87" i="14"/>
  <c r="BV87" i="14"/>
  <c r="BW87" i="14"/>
  <c r="BX87" i="14"/>
  <c r="BY87" i="14"/>
  <c r="BZ87" i="14"/>
  <c r="CA87" i="14"/>
  <c r="CB87" i="14"/>
  <c r="CC87" i="14"/>
  <c r="CD87" i="14"/>
  <c r="CE87" i="14"/>
  <c r="CF87" i="14"/>
  <c r="CG87" i="14"/>
  <c r="CH87" i="14"/>
  <c r="CI87" i="14"/>
  <c r="CJ87" i="14"/>
  <c r="CK87" i="14"/>
  <c r="CL87" i="14"/>
  <c r="CM87" i="14"/>
  <c r="CN87" i="14"/>
  <c r="CO87" i="14"/>
  <c r="CP87" i="14"/>
  <c r="CQ87" i="14"/>
  <c r="CR87" i="14"/>
  <c r="CS87" i="14"/>
  <c r="CT87" i="14"/>
  <c r="CU87" i="14"/>
  <c r="CV87" i="14"/>
  <c r="CW87" i="14"/>
  <c r="CX87" i="14"/>
  <c r="CY87" i="14"/>
  <c r="CZ87" i="14"/>
  <c r="DA87" i="14"/>
  <c r="DB87" i="14"/>
  <c r="DC87" i="14"/>
  <c r="DD87" i="14"/>
  <c r="DE87" i="14"/>
  <c r="DF87" i="14"/>
  <c r="DG87" i="14"/>
  <c r="DH87" i="14"/>
  <c r="DI87" i="14"/>
  <c r="DJ87" i="14"/>
  <c r="DK87" i="14"/>
  <c r="DL87" i="14"/>
  <c r="DM87" i="14"/>
  <c r="DN87" i="14"/>
  <c r="DO87" i="14"/>
  <c r="DP87" i="14"/>
  <c r="DQ87" i="14"/>
  <c r="DR87" i="14"/>
  <c r="DS87" i="14"/>
  <c r="DT87" i="14"/>
  <c r="DU87" i="14"/>
  <c r="DV87" i="14"/>
  <c r="DW87" i="14"/>
  <c r="DX87" i="14"/>
  <c r="DY87" i="14"/>
  <c r="DZ87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AY88" i="14"/>
  <c r="AZ88" i="14"/>
  <c r="BA88" i="14"/>
  <c r="BB88" i="14"/>
  <c r="BC88" i="14"/>
  <c r="BD88" i="14"/>
  <c r="BE88" i="14"/>
  <c r="BF88" i="14"/>
  <c r="BG88" i="14"/>
  <c r="BH88" i="14"/>
  <c r="BI88" i="14"/>
  <c r="BJ88" i="14"/>
  <c r="BK88" i="14"/>
  <c r="BL88" i="14"/>
  <c r="BM88" i="14"/>
  <c r="BN88" i="14"/>
  <c r="BO88" i="14"/>
  <c r="BP88" i="14"/>
  <c r="BQ88" i="14"/>
  <c r="BR88" i="14"/>
  <c r="BS88" i="14"/>
  <c r="BT88" i="14"/>
  <c r="BU88" i="14"/>
  <c r="BV88" i="14"/>
  <c r="BW88" i="14"/>
  <c r="BX88" i="14"/>
  <c r="BY88" i="14"/>
  <c r="BZ88" i="14"/>
  <c r="CA88" i="14"/>
  <c r="CB88" i="14"/>
  <c r="CC88" i="14"/>
  <c r="CD88" i="14"/>
  <c r="CE88" i="14"/>
  <c r="CF88" i="14"/>
  <c r="CG88" i="14"/>
  <c r="CH88" i="14"/>
  <c r="CI88" i="14"/>
  <c r="CJ88" i="14"/>
  <c r="CK88" i="14"/>
  <c r="CL88" i="14"/>
  <c r="CM88" i="14"/>
  <c r="CN88" i="14"/>
  <c r="CO88" i="14"/>
  <c r="CP88" i="14"/>
  <c r="CQ88" i="14"/>
  <c r="CR88" i="14"/>
  <c r="CS88" i="14"/>
  <c r="CT88" i="14"/>
  <c r="CU88" i="14"/>
  <c r="CV88" i="14"/>
  <c r="CW88" i="14"/>
  <c r="CX88" i="14"/>
  <c r="CY88" i="14"/>
  <c r="CZ88" i="14"/>
  <c r="DA88" i="14"/>
  <c r="DB88" i="14"/>
  <c r="DC88" i="14"/>
  <c r="DD88" i="14"/>
  <c r="DE88" i="14"/>
  <c r="DF88" i="14"/>
  <c r="DG88" i="14"/>
  <c r="DH88" i="14"/>
  <c r="DI88" i="14"/>
  <c r="DJ88" i="14"/>
  <c r="DK88" i="14"/>
  <c r="DL88" i="14"/>
  <c r="DM88" i="14"/>
  <c r="DN88" i="14"/>
  <c r="DO88" i="14"/>
  <c r="DP88" i="14"/>
  <c r="DQ88" i="14"/>
  <c r="DR88" i="14"/>
  <c r="DS88" i="14"/>
  <c r="DT88" i="14"/>
  <c r="DU88" i="14"/>
  <c r="DV88" i="14"/>
  <c r="DW88" i="14"/>
  <c r="DX88" i="14"/>
  <c r="DY88" i="14"/>
  <c r="E89" i="14"/>
  <c r="G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BH89" i="14"/>
  <c r="BI89" i="14"/>
  <c r="BJ89" i="14"/>
  <c r="BK89" i="14"/>
  <c r="BL89" i="14"/>
  <c r="BM89" i="14"/>
  <c r="BN89" i="14"/>
  <c r="BO89" i="14"/>
  <c r="BP89" i="14"/>
  <c r="BQ89" i="14"/>
  <c r="BR89" i="14"/>
  <c r="BS89" i="14"/>
  <c r="BT89" i="14"/>
  <c r="BU89" i="14"/>
  <c r="BV89" i="14"/>
  <c r="BW89" i="14"/>
  <c r="BX89" i="14"/>
  <c r="BY89" i="14"/>
  <c r="BZ89" i="14"/>
  <c r="CA89" i="14"/>
  <c r="CB89" i="14"/>
  <c r="CC89" i="14"/>
  <c r="CD89" i="14"/>
  <c r="CE89" i="14"/>
  <c r="CF89" i="14"/>
  <c r="CG89" i="14"/>
  <c r="CH89" i="14"/>
  <c r="CI89" i="14"/>
  <c r="CJ89" i="14"/>
  <c r="CK89" i="14"/>
  <c r="CL89" i="14"/>
  <c r="CM89" i="14"/>
  <c r="CN89" i="14"/>
  <c r="CO89" i="14"/>
  <c r="CP89" i="14"/>
  <c r="CQ89" i="14"/>
  <c r="CR89" i="14"/>
  <c r="CS89" i="14"/>
  <c r="CT89" i="14"/>
  <c r="CU89" i="14"/>
  <c r="CV89" i="14"/>
  <c r="CW89" i="14"/>
  <c r="CX89" i="14"/>
  <c r="CY89" i="14"/>
  <c r="CZ89" i="14"/>
  <c r="DA89" i="14"/>
  <c r="DB89" i="14"/>
  <c r="DC89" i="14"/>
  <c r="DD89" i="14"/>
  <c r="DE89" i="14"/>
  <c r="DF89" i="14"/>
  <c r="DG89" i="14"/>
  <c r="DH89" i="14"/>
  <c r="DI89" i="14"/>
  <c r="DJ89" i="14"/>
  <c r="DK89" i="14"/>
  <c r="DL89" i="14"/>
  <c r="DM89" i="14"/>
  <c r="DN89" i="14"/>
  <c r="DO89" i="14"/>
  <c r="DP89" i="14"/>
  <c r="DQ89" i="14"/>
  <c r="DR89" i="14"/>
  <c r="DS89" i="14"/>
  <c r="DT89" i="14"/>
  <c r="DU89" i="14"/>
  <c r="DV89" i="14"/>
  <c r="DW89" i="14"/>
  <c r="DX89" i="14"/>
  <c r="DY89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AV92" i="14"/>
  <c r="AW92" i="14"/>
  <c r="AX92" i="14"/>
  <c r="AY92" i="14"/>
  <c r="AZ92" i="14"/>
  <c r="BA92" i="14"/>
  <c r="BB92" i="14"/>
  <c r="BC92" i="14"/>
  <c r="BD92" i="14"/>
  <c r="BE92" i="14"/>
  <c r="BF92" i="14"/>
  <c r="BG92" i="14"/>
  <c r="BH92" i="14"/>
  <c r="BI92" i="14"/>
  <c r="BJ92" i="14"/>
  <c r="BK92" i="14"/>
  <c r="BL92" i="14"/>
  <c r="BM92" i="14"/>
  <c r="BN92" i="14"/>
  <c r="BO92" i="14"/>
  <c r="BP92" i="14"/>
  <c r="BQ92" i="14"/>
  <c r="BR92" i="14"/>
  <c r="BS92" i="14"/>
  <c r="BT92" i="14"/>
  <c r="BU92" i="14"/>
  <c r="BV92" i="14"/>
  <c r="BW92" i="14"/>
  <c r="BX92" i="14"/>
  <c r="BY92" i="14"/>
  <c r="BZ92" i="14"/>
  <c r="CA92" i="14"/>
  <c r="CB92" i="14"/>
  <c r="CC92" i="14"/>
  <c r="CD92" i="14"/>
  <c r="CE92" i="14"/>
  <c r="CF92" i="14"/>
  <c r="CG92" i="14"/>
  <c r="CH92" i="14"/>
  <c r="CI92" i="14"/>
  <c r="CJ92" i="14"/>
  <c r="CK92" i="14"/>
  <c r="CL92" i="14"/>
  <c r="CM92" i="14"/>
  <c r="CN92" i="14"/>
  <c r="CO92" i="14"/>
  <c r="CP92" i="14"/>
  <c r="CQ92" i="14"/>
  <c r="CR92" i="14"/>
  <c r="CS92" i="14"/>
  <c r="CT92" i="14"/>
  <c r="CU92" i="14"/>
  <c r="CV92" i="14"/>
  <c r="CW92" i="14"/>
  <c r="CX92" i="14"/>
  <c r="CY92" i="14"/>
  <c r="CZ92" i="14"/>
  <c r="DA92" i="14"/>
  <c r="DB92" i="14"/>
  <c r="DC92" i="14"/>
  <c r="DD92" i="14"/>
  <c r="DE92" i="14"/>
  <c r="DF92" i="14"/>
  <c r="DG92" i="14"/>
  <c r="DH92" i="14"/>
  <c r="DI92" i="14"/>
  <c r="DJ92" i="14"/>
  <c r="DK92" i="14"/>
  <c r="DL92" i="14"/>
  <c r="DM92" i="14"/>
  <c r="DN92" i="14"/>
  <c r="DO92" i="14"/>
  <c r="DP92" i="14"/>
  <c r="DQ92" i="14"/>
  <c r="DR92" i="14"/>
  <c r="DS92" i="14"/>
  <c r="DT92" i="14"/>
  <c r="DU92" i="14"/>
  <c r="DV92" i="14"/>
  <c r="DW92" i="14"/>
  <c r="DX92" i="14"/>
  <c r="DY92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AW93" i="14"/>
  <c r="AX93" i="14"/>
  <c r="AY93" i="14"/>
  <c r="AZ93" i="14"/>
  <c r="BA93" i="14"/>
  <c r="BB93" i="14"/>
  <c r="BC93" i="14"/>
  <c r="BD93" i="14"/>
  <c r="BE93" i="14"/>
  <c r="BF93" i="14"/>
  <c r="BG93" i="14"/>
  <c r="BH93" i="14"/>
  <c r="BI93" i="14"/>
  <c r="BJ93" i="14"/>
  <c r="BK93" i="14"/>
  <c r="BL93" i="14"/>
  <c r="BM93" i="14"/>
  <c r="BN93" i="14"/>
  <c r="BO93" i="14"/>
  <c r="BP93" i="14"/>
  <c r="BQ93" i="14"/>
  <c r="BR93" i="14"/>
  <c r="BS93" i="14"/>
  <c r="BT93" i="14"/>
  <c r="BU93" i="14"/>
  <c r="BV93" i="14"/>
  <c r="BW93" i="14"/>
  <c r="BX93" i="14"/>
  <c r="BY93" i="14"/>
  <c r="BZ93" i="14"/>
  <c r="CA93" i="14"/>
  <c r="CB93" i="14"/>
  <c r="CC93" i="14"/>
  <c r="CD93" i="14"/>
  <c r="CE93" i="14"/>
  <c r="CF93" i="14"/>
  <c r="CG93" i="14"/>
  <c r="CH93" i="14"/>
  <c r="CI93" i="14"/>
  <c r="CJ93" i="14"/>
  <c r="CK93" i="14"/>
  <c r="CL93" i="14"/>
  <c r="CM93" i="14"/>
  <c r="CN93" i="14"/>
  <c r="CO93" i="14"/>
  <c r="CP93" i="14"/>
  <c r="CQ93" i="14"/>
  <c r="CR93" i="14"/>
  <c r="CS93" i="14"/>
  <c r="CT93" i="14"/>
  <c r="CU93" i="14"/>
  <c r="CV93" i="14"/>
  <c r="CW93" i="14"/>
  <c r="CX93" i="14"/>
  <c r="CY93" i="14"/>
  <c r="CZ93" i="14"/>
  <c r="DA93" i="14"/>
  <c r="DB93" i="14"/>
  <c r="DC93" i="14"/>
  <c r="DD93" i="14"/>
  <c r="DE93" i="14"/>
  <c r="DF93" i="14"/>
  <c r="DG93" i="14"/>
  <c r="DH93" i="14"/>
  <c r="DI93" i="14"/>
  <c r="DJ93" i="14"/>
  <c r="DK93" i="14"/>
  <c r="DL93" i="14"/>
  <c r="DM93" i="14"/>
  <c r="DN93" i="14"/>
  <c r="DO93" i="14"/>
  <c r="DP93" i="14"/>
  <c r="DQ93" i="14"/>
  <c r="DR93" i="14"/>
  <c r="DS93" i="14"/>
  <c r="DT93" i="14"/>
  <c r="DU93" i="14"/>
  <c r="DV93" i="14"/>
  <c r="DW93" i="14"/>
  <c r="DX93" i="14"/>
  <c r="DY93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AW94" i="14"/>
  <c r="AX94" i="14"/>
  <c r="AY94" i="14"/>
  <c r="AZ94" i="14"/>
  <c r="BA94" i="14"/>
  <c r="BB94" i="14"/>
  <c r="BC94" i="14"/>
  <c r="BD94" i="14"/>
  <c r="BE94" i="14"/>
  <c r="BF94" i="14"/>
  <c r="BG94" i="14"/>
  <c r="BH94" i="14"/>
  <c r="BI94" i="14"/>
  <c r="BJ94" i="14"/>
  <c r="BK94" i="14"/>
  <c r="BL94" i="14"/>
  <c r="BM94" i="14"/>
  <c r="BN94" i="14"/>
  <c r="BO94" i="14"/>
  <c r="BP94" i="14"/>
  <c r="BQ94" i="14"/>
  <c r="BR94" i="14"/>
  <c r="BS94" i="14"/>
  <c r="BT94" i="14"/>
  <c r="BU94" i="14"/>
  <c r="BV94" i="14"/>
  <c r="BW94" i="14"/>
  <c r="BX94" i="14"/>
  <c r="BY94" i="14"/>
  <c r="BZ94" i="14"/>
  <c r="CA94" i="14"/>
  <c r="CB94" i="14"/>
  <c r="CC94" i="14"/>
  <c r="CD94" i="14"/>
  <c r="CE94" i="14"/>
  <c r="CF94" i="14"/>
  <c r="CG94" i="14"/>
  <c r="CH94" i="14"/>
  <c r="CI94" i="14"/>
  <c r="CJ94" i="14"/>
  <c r="CK94" i="14"/>
  <c r="CL94" i="14"/>
  <c r="CM94" i="14"/>
  <c r="CN94" i="14"/>
  <c r="CO94" i="14"/>
  <c r="CP94" i="14"/>
  <c r="CQ94" i="14"/>
  <c r="CR94" i="14"/>
  <c r="CS94" i="14"/>
  <c r="CT94" i="14"/>
  <c r="CU94" i="14"/>
  <c r="CV94" i="14"/>
  <c r="CW94" i="14"/>
  <c r="CX94" i="14"/>
  <c r="CY94" i="14"/>
  <c r="CZ94" i="14"/>
  <c r="DA94" i="14"/>
  <c r="DB94" i="14"/>
  <c r="DC94" i="14"/>
  <c r="DD94" i="14"/>
  <c r="DE94" i="14"/>
  <c r="DF94" i="14"/>
  <c r="DG94" i="14"/>
  <c r="DH94" i="14"/>
  <c r="DI94" i="14"/>
  <c r="DJ94" i="14"/>
  <c r="DK94" i="14"/>
  <c r="DL94" i="14"/>
  <c r="DM94" i="14"/>
  <c r="DN94" i="14"/>
  <c r="DO94" i="14"/>
  <c r="DP94" i="14"/>
  <c r="DQ94" i="14"/>
  <c r="DR94" i="14"/>
  <c r="DS94" i="14"/>
  <c r="DT94" i="14"/>
  <c r="DU94" i="14"/>
  <c r="DV94" i="14"/>
  <c r="DW94" i="14"/>
  <c r="DX94" i="14"/>
  <c r="DY94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BC95" i="14"/>
  <c r="BD95" i="14"/>
  <c r="BE95" i="14"/>
  <c r="BF95" i="14"/>
  <c r="BG95" i="14"/>
  <c r="BH95" i="14"/>
  <c r="BI95" i="14"/>
  <c r="BJ95" i="14"/>
  <c r="BK95" i="14"/>
  <c r="BL95" i="14"/>
  <c r="BM95" i="14"/>
  <c r="BN95" i="14"/>
  <c r="BO95" i="14"/>
  <c r="BP95" i="14"/>
  <c r="BQ95" i="14"/>
  <c r="BR95" i="14"/>
  <c r="BS95" i="14"/>
  <c r="BT95" i="14"/>
  <c r="BU95" i="14"/>
  <c r="BV95" i="14"/>
  <c r="BW95" i="14"/>
  <c r="BX95" i="14"/>
  <c r="BY95" i="14"/>
  <c r="BZ95" i="14"/>
  <c r="CA95" i="14"/>
  <c r="CB95" i="14"/>
  <c r="CC95" i="14"/>
  <c r="CD95" i="14"/>
  <c r="CE95" i="14"/>
  <c r="CF95" i="14"/>
  <c r="CG95" i="14"/>
  <c r="CH95" i="14"/>
  <c r="CI95" i="14"/>
  <c r="CJ95" i="14"/>
  <c r="CK95" i="14"/>
  <c r="CL95" i="14"/>
  <c r="CM95" i="14"/>
  <c r="CN95" i="14"/>
  <c r="CO95" i="14"/>
  <c r="CP95" i="14"/>
  <c r="CQ95" i="14"/>
  <c r="CR95" i="14"/>
  <c r="CS95" i="14"/>
  <c r="CT95" i="14"/>
  <c r="CU95" i="14"/>
  <c r="CV95" i="14"/>
  <c r="CW95" i="14"/>
  <c r="CX95" i="14"/>
  <c r="CY95" i="14"/>
  <c r="CZ95" i="14"/>
  <c r="DA95" i="14"/>
  <c r="DB95" i="14"/>
  <c r="DC95" i="14"/>
  <c r="DD95" i="14"/>
  <c r="DE95" i="14"/>
  <c r="DF95" i="14"/>
  <c r="DG95" i="14"/>
  <c r="DH95" i="14"/>
  <c r="DI95" i="14"/>
  <c r="DJ95" i="14"/>
  <c r="DK95" i="14"/>
  <c r="DL95" i="14"/>
  <c r="DM95" i="14"/>
  <c r="DN95" i="14"/>
  <c r="DO95" i="14"/>
  <c r="DP95" i="14"/>
  <c r="DQ95" i="14"/>
  <c r="DR95" i="14"/>
  <c r="DS95" i="14"/>
  <c r="DT95" i="14"/>
  <c r="DU95" i="14"/>
  <c r="DV95" i="14"/>
  <c r="DW95" i="14"/>
  <c r="DX95" i="14"/>
  <c r="DY95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AW96" i="14"/>
  <c r="AX96" i="14"/>
  <c r="AY96" i="14"/>
  <c r="AZ96" i="14"/>
  <c r="BA96" i="14"/>
  <c r="BB96" i="14"/>
  <c r="BC96" i="14"/>
  <c r="BD96" i="14"/>
  <c r="BE96" i="14"/>
  <c r="BF96" i="14"/>
  <c r="BG96" i="14"/>
  <c r="BH96" i="14"/>
  <c r="BI96" i="14"/>
  <c r="BJ96" i="14"/>
  <c r="BK96" i="14"/>
  <c r="BL96" i="14"/>
  <c r="BM96" i="14"/>
  <c r="BN96" i="14"/>
  <c r="BO96" i="14"/>
  <c r="BP96" i="14"/>
  <c r="BQ96" i="14"/>
  <c r="BR96" i="14"/>
  <c r="BS96" i="14"/>
  <c r="BT96" i="14"/>
  <c r="BU96" i="14"/>
  <c r="BV96" i="14"/>
  <c r="BW96" i="14"/>
  <c r="BX96" i="14"/>
  <c r="BY96" i="14"/>
  <c r="BZ96" i="14"/>
  <c r="CA96" i="14"/>
  <c r="CB96" i="14"/>
  <c r="CC96" i="14"/>
  <c r="CD96" i="14"/>
  <c r="CE96" i="14"/>
  <c r="CF96" i="14"/>
  <c r="CG96" i="14"/>
  <c r="CH96" i="14"/>
  <c r="CI96" i="14"/>
  <c r="CJ96" i="14"/>
  <c r="CK96" i="14"/>
  <c r="CL96" i="14"/>
  <c r="CM96" i="14"/>
  <c r="CN96" i="14"/>
  <c r="CO96" i="14"/>
  <c r="CP96" i="14"/>
  <c r="CQ96" i="14"/>
  <c r="CR96" i="14"/>
  <c r="CS96" i="14"/>
  <c r="CT96" i="14"/>
  <c r="CU96" i="14"/>
  <c r="CV96" i="14"/>
  <c r="CW96" i="14"/>
  <c r="CX96" i="14"/>
  <c r="CY96" i="14"/>
  <c r="CZ96" i="14"/>
  <c r="DA96" i="14"/>
  <c r="DB96" i="14"/>
  <c r="DC96" i="14"/>
  <c r="DD96" i="14"/>
  <c r="DE96" i="14"/>
  <c r="DF96" i="14"/>
  <c r="DG96" i="14"/>
  <c r="DH96" i="14"/>
  <c r="DI96" i="14"/>
  <c r="DJ96" i="14"/>
  <c r="DK96" i="14"/>
  <c r="DL96" i="14"/>
  <c r="DM96" i="14"/>
  <c r="DN96" i="14"/>
  <c r="DO96" i="14"/>
  <c r="DP96" i="14"/>
  <c r="DQ96" i="14"/>
  <c r="DR96" i="14"/>
  <c r="DS96" i="14"/>
  <c r="DT96" i="14"/>
  <c r="DU96" i="14"/>
  <c r="DV96" i="14"/>
  <c r="DW96" i="14"/>
  <c r="DX96" i="14"/>
  <c r="DY96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AW97" i="14"/>
  <c r="AX97" i="14"/>
  <c r="AY97" i="14"/>
  <c r="AZ97" i="14"/>
  <c r="BA97" i="14"/>
  <c r="BB97" i="14"/>
  <c r="BC97" i="14"/>
  <c r="BD97" i="14"/>
  <c r="BE97" i="14"/>
  <c r="BF97" i="14"/>
  <c r="BG97" i="14"/>
  <c r="BH97" i="14"/>
  <c r="BI97" i="14"/>
  <c r="BJ97" i="14"/>
  <c r="BK97" i="14"/>
  <c r="BL97" i="14"/>
  <c r="BM97" i="14"/>
  <c r="BN97" i="14"/>
  <c r="BO97" i="14"/>
  <c r="BP97" i="14"/>
  <c r="BQ97" i="14"/>
  <c r="BR97" i="14"/>
  <c r="BS97" i="14"/>
  <c r="BT97" i="14"/>
  <c r="BU97" i="14"/>
  <c r="BV97" i="14"/>
  <c r="BW97" i="14"/>
  <c r="BX97" i="14"/>
  <c r="BY97" i="14"/>
  <c r="BZ97" i="14"/>
  <c r="CA97" i="14"/>
  <c r="CB97" i="14"/>
  <c r="CC97" i="14"/>
  <c r="CD97" i="14"/>
  <c r="CE97" i="14"/>
  <c r="CF97" i="14"/>
  <c r="CG97" i="14"/>
  <c r="CH97" i="14"/>
  <c r="CI97" i="14"/>
  <c r="CJ97" i="14"/>
  <c r="CK97" i="14"/>
  <c r="CL97" i="14"/>
  <c r="CM97" i="14"/>
  <c r="CN97" i="14"/>
  <c r="CO97" i="14"/>
  <c r="CP97" i="14"/>
  <c r="CQ97" i="14"/>
  <c r="CR97" i="14"/>
  <c r="CS97" i="14"/>
  <c r="CT97" i="14"/>
  <c r="CU97" i="14"/>
  <c r="CV97" i="14"/>
  <c r="CW97" i="14"/>
  <c r="CX97" i="14"/>
  <c r="CY97" i="14"/>
  <c r="CZ97" i="14"/>
  <c r="DA97" i="14"/>
  <c r="DB97" i="14"/>
  <c r="DC97" i="14"/>
  <c r="DD97" i="14"/>
  <c r="DE97" i="14"/>
  <c r="DF97" i="14"/>
  <c r="DG97" i="14"/>
  <c r="DH97" i="14"/>
  <c r="DI97" i="14"/>
  <c r="DJ97" i="14"/>
  <c r="DK97" i="14"/>
  <c r="DL97" i="14"/>
  <c r="DM97" i="14"/>
  <c r="DN97" i="14"/>
  <c r="DO97" i="14"/>
  <c r="DP97" i="14"/>
  <c r="DQ97" i="14"/>
  <c r="DR97" i="14"/>
  <c r="DS97" i="14"/>
  <c r="DT97" i="14"/>
  <c r="DU97" i="14"/>
  <c r="DV97" i="14"/>
  <c r="DW97" i="14"/>
  <c r="DX97" i="14"/>
  <c r="DY97" i="14"/>
  <c r="G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AW98" i="14"/>
  <c r="AX98" i="14"/>
  <c r="AY98" i="14"/>
  <c r="AZ98" i="14"/>
  <c r="BA98" i="14"/>
  <c r="BB98" i="14"/>
  <c r="BC98" i="14"/>
  <c r="BD98" i="14"/>
  <c r="BE98" i="14"/>
  <c r="BF98" i="14"/>
  <c r="BG98" i="14"/>
  <c r="BH98" i="14"/>
  <c r="BI98" i="14"/>
  <c r="BJ98" i="14"/>
  <c r="BK98" i="14"/>
  <c r="BL98" i="14"/>
  <c r="BM98" i="14"/>
  <c r="BN98" i="14"/>
  <c r="BO98" i="14"/>
  <c r="BP98" i="14"/>
  <c r="BQ98" i="14"/>
  <c r="BR98" i="14"/>
  <c r="BS98" i="14"/>
  <c r="BT98" i="14"/>
  <c r="BU98" i="14"/>
  <c r="BV98" i="14"/>
  <c r="BW98" i="14"/>
  <c r="BX98" i="14"/>
  <c r="BY98" i="14"/>
  <c r="BZ98" i="14"/>
  <c r="CA98" i="14"/>
  <c r="CB98" i="14"/>
  <c r="CC98" i="14"/>
  <c r="CD98" i="14"/>
  <c r="CE98" i="14"/>
  <c r="CF98" i="14"/>
  <c r="CG98" i="14"/>
  <c r="CH98" i="14"/>
  <c r="CI98" i="14"/>
  <c r="CJ98" i="14"/>
  <c r="CK98" i="14"/>
  <c r="CL98" i="14"/>
  <c r="CM98" i="14"/>
  <c r="CN98" i="14"/>
  <c r="CO98" i="14"/>
  <c r="CP98" i="14"/>
  <c r="CQ98" i="14"/>
  <c r="CR98" i="14"/>
  <c r="CS98" i="14"/>
  <c r="CT98" i="14"/>
  <c r="CU98" i="14"/>
  <c r="CV98" i="14"/>
  <c r="CW98" i="14"/>
  <c r="CX98" i="14"/>
  <c r="CY98" i="14"/>
  <c r="CZ98" i="14"/>
  <c r="DA98" i="14"/>
  <c r="DB98" i="14"/>
  <c r="DC98" i="14"/>
  <c r="DD98" i="14"/>
  <c r="DE98" i="14"/>
  <c r="DF98" i="14"/>
  <c r="DG98" i="14"/>
  <c r="DH98" i="14"/>
  <c r="DI98" i="14"/>
  <c r="DJ98" i="14"/>
  <c r="DK98" i="14"/>
  <c r="DL98" i="14"/>
  <c r="DM98" i="14"/>
  <c r="DN98" i="14"/>
  <c r="DO98" i="14"/>
  <c r="DP98" i="14"/>
  <c r="DQ98" i="14"/>
  <c r="DR98" i="14"/>
  <c r="DS98" i="14"/>
  <c r="DT98" i="14"/>
  <c r="DU98" i="14"/>
  <c r="DV98" i="14"/>
  <c r="DW98" i="14"/>
  <c r="DX98" i="14"/>
  <c r="DY98" i="14"/>
  <c r="DZ98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AW99" i="14"/>
  <c r="AX99" i="14"/>
  <c r="AY99" i="14"/>
  <c r="AZ99" i="14"/>
  <c r="BA99" i="14"/>
  <c r="BB99" i="14"/>
  <c r="BC99" i="14"/>
  <c r="BD99" i="14"/>
  <c r="BE99" i="14"/>
  <c r="BF99" i="14"/>
  <c r="BG99" i="14"/>
  <c r="BH99" i="14"/>
  <c r="BI99" i="14"/>
  <c r="BJ99" i="14"/>
  <c r="BK99" i="14"/>
  <c r="BL99" i="14"/>
  <c r="BM99" i="14"/>
  <c r="BN99" i="14"/>
  <c r="BO99" i="14"/>
  <c r="BP99" i="14"/>
  <c r="BQ99" i="14"/>
  <c r="BR99" i="14"/>
  <c r="BS99" i="14"/>
  <c r="BT99" i="14"/>
  <c r="BU99" i="14"/>
  <c r="BV99" i="14"/>
  <c r="BW99" i="14"/>
  <c r="BX99" i="14"/>
  <c r="BY99" i="14"/>
  <c r="BZ99" i="14"/>
  <c r="CA99" i="14"/>
  <c r="CB99" i="14"/>
  <c r="CC99" i="14"/>
  <c r="CD99" i="14"/>
  <c r="CE99" i="14"/>
  <c r="CF99" i="14"/>
  <c r="CG99" i="14"/>
  <c r="CH99" i="14"/>
  <c r="CI99" i="14"/>
  <c r="CJ99" i="14"/>
  <c r="CK99" i="14"/>
  <c r="CL99" i="14"/>
  <c r="CM99" i="14"/>
  <c r="CN99" i="14"/>
  <c r="CO99" i="14"/>
  <c r="CP99" i="14"/>
  <c r="CQ99" i="14"/>
  <c r="CR99" i="14"/>
  <c r="CS99" i="14"/>
  <c r="CT99" i="14"/>
  <c r="CU99" i="14"/>
  <c r="CV99" i="14"/>
  <c r="CW99" i="14"/>
  <c r="CX99" i="14"/>
  <c r="CY99" i="14"/>
  <c r="CZ99" i="14"/>
  <c r="DA99" i="14"/>
  <c r="DB99" i="14"/>
  <c r="DC99" i="14"/>
  <c r="DD99" i="14"/>
  <c r="DE99" i="14"/>
  <c r="DF99" i="14"/>
  <c r="DG99" i="14"/>
  <c r="DH99" i="14"/>
  <c r="DI99" i="14"/>
  <c r="DJ99" i="14"/>
  <c r="DK99" i="14"/>
  <c r="DL99" i="14"/>
  <c r="DM99" i="14"/>
  <c r="DN99" i="14"/>
  <c r="DO99" i="14"/>
  <c r="DP99" i="14"/>
  <c r="DQ99" i="14"/>
  <c r="DR99" i="14"/>
  <c r="DS99" i="14"/>
  <c r="DT99" i="14"/>
  <c r="DU99" i="14"/>
  <c r="DV99" i="14"/>
  <c r="DW99" i="14"/>
  <c r="DX99" i="14"/>
  <c r="DY99" i="14"/>
  <c r="E100" i="14"/>
  <c r="G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AW100" i="14"/>
  <c r="AX100" i="14"/>
  <c r="AY100" i="14"/>
  <c r="AZ100" i="14"/>
  <c r="BA100" i="14"/>
  <c r="BB100" i="14"/>
  <c r="BC100" i="14"/>
  <c r="BD100" i="14"/>
  <c r="BE100" i="14"/>
  <c r="BF100" i="14"/>
  <c r="BG100" i="14"/>
  <c r="BH100" i="14"/>
  <c r="BI100" i="14"/>
  <c r="BJ100" i="14"/>
  <c r="BK100" i="14"/>
  <c r="BL100" i="14"/>
  <c r="BM100" i="14"/>
  <c r="BN100" i="14"/>
  <c r="BO100" i="14"/>
  <c r="BP100" i="14"/>
  <c r="BQ100" i="14"/>
  <c r="BR100" i="14"/>
  <c r="BS100" i="14"/>
  <c r="BT100" i="14"/>
  <c r="BU100" i="14"/>
  <c r="BV100" i="14"/>
  <c r="BW100" i="14"/>
  <c r="BX100" i="14"/>
  <c r="BY100" i="14"/>
  <c r="BZ100" i="14"/>
  <c r="CA100" i="14"/>
  <c r="CB100" i="14"/>
  <c r="CC100" i="14"/>
  <c r="CD100" i="14"/>
  <c r="CE100" i="14"/>
  <c r="CF100" i="14"/>
  <c r="CG100" i="14"/>
  <c r="CH100" i="14"/>
  <c r="CI100" i="14"/>
  <c r="CJ100" i="14"/>
  <c r="CK100" i="14"/>
  <c r="CL100" i="14"/>
  <c r="CM100" i="14"/>
  <c r="CN100" i="14"/>
  <c r="CO100" i="14"/>
  <c r="CP100" i="14"/>
  <c r="CQ100" i="14"/>
  <c r="CR100" i="14"/>
  <c r="CS100" i="14"/>
  <c r="CT100" i="14"/>
  <c r="CU100" i="14"/>
  <c r="CV100" i="14"/>
  <c r="CW100" i="14"/>
  <c r="CX100" i="14"/>
  <c r="CY100" i="14"/>
  <c r="CZ100" i="14"/>
  <c r="DA100" i="14"/>
  <c r="DB100" i="14"/>
  <c r="DC100" i="14"/>
  <c r="DD100" i="14"/>
  <c r="DE100" i="14"/>
  <c r="DF100" i="14"/>
  <c r="DG100" i="14"/>
  <c r="DH100" i="14"/>
  <c r="DI100" i="14"/>
  <c r="DJ100" i="14"/>
  <c r="DK100" i="14"/>
  <c r="DL100" i="14"/>
  <c r="DM100" i="14"/>
  <c r="DN100" i="14"/>
  <c r="DO100" i="14"/>
  <c r="DP100" i="14"/>
  <c r="DQ100" i="14"/>
  <c r="DR100" i="14"/>
  <c r="DS100" i="14"/>
  <c r="DT100" i="14"/>
  <c r="DU100" i="14"/>
  <c r="DV100" i="14"/>
  <c r="DW100" i="14"/>
  <c r="DX100" i="14"/>
  <c r="DY100" i="14"/>
  <c r="G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AW105" i="14"/>
  <c r="AX105" i="14"/>
  <c r="AY105" i="14"/>
  <c r="AZ105" i="14"/>
  <c r="BA105" i="14"/>
  <c r="BB105" i="14"/>
  <c r="BC105" i="14"/>
  <c r="BD105" i="14"/>
  <c r="BE105" i="14"/>
  <c r="BF105" i="14"/>
  <c r="BG105" i="14"/>
  <c r="BH105" i="14"/>
  <c r="BI105" i="14"/>
  <c r="BJ105" i="14"/>
  <c r="BK105" i="14"/>
  <c r="BL105" i="14"/>
  <c r="BM105" i="14"/>
  <c r="BN105" i="14"/>
  <c r="BO105" i="14"/>
  <c r="BP105" i="14"/>
  <c r="BQ105" i="14"/>
  <c r="BR105" i="14"/>
  <c r="BS105" i="14"/>
  <c r="BT105" i="14"/>
  <c r="BU105" i="14"/>
  <c r="BV105" i="14"/>
  <c r="BW105" i="14"/>
  <c r="BX105" i="14"/>
  <c r="BY105" i="14"/>
  <c r="BZ105" i="14"/>
  <c r="CA105" i="14"/>
  <c r="CB105" i="14"/>
  <c r="CC105" i="14"/>
  <c r="CD105" i="14"/>
  <c r="CE105" i="14"/>
  <c r="CF105" i="14"/>
  <c r="CG105" i="14"/>
  <c r="CH105" i="14"/>
  <c r="CI105" i="14"/>
  <c r="CJ105" i="14"/>
  <c r="CK105" i="14"/>
  <c r="CL105" i="14"/>
  <c r="CM105" i="14"/>
  <c r="CN105" i="14"/>
  <c r="CO105" i="14"/>
  <c r="CP105" i="14"/>
  <c r="CQ105" i="14"/>
  <c r="CR105" i="14"/>
  <c r="CS105" i="14"/>
  <c r="CT105" i="14"/>
  <c r="CU105" i="14"/>
  <c r="CV105" i="14"/>
  <c r="CW105" i="14"/>
  <c r="CX105" i="14"/>
  <c r="CY105" i="14"/>
  <c r="CZ105" i="14"/>
  <c r="DA105" i="14"/>
  <c r="DB105" i="14"/>
  <c r="DC105" i="14"/>
  <c r="DD105" i="14"/>
  <c r="DE105" i="14"/>
  <c r="DF105" i="14"/>
  <c r="DG105" i="14"/>
  <c r="DH105" i="14"/>
  <c r="DI105" i="14"/>
  <c r="DJ105" i="14"/>
  <c r="DK105" i="14"/>
  <c r="DL105" i="14"/>
  <c r="DM105" i="14"/>
  <c r="DN105" i="14"/>
  <c r="DO105" i="14"/>
  <c r="DP105" i="14"/>
  <c r="DQ105" i="14"/>
  <c r="DR105" i="14"/>
  <c r="DS105" i="14"/>
  <c r="DT105" i="14"/>
  <c r="DU105" i="14"/>
  <c r="DV105" i="14"/>
  <c r="DW105" i="14"/>
  <c r="DX105" i="14"/>
  <c r="DY105" i="14"/>
  <c r="G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BA106" i="14"/>
  <c r="BB106" i="14"/>
  <c r="BC106" i="14"/>
  <c r="BD106" i="14"/>
  <c r="BE106" i="14"/>
  <c r="BF106" i="14"/>
  <c r="BG106" i="14"/>
  <c r="BH106" i="14"/>
  <c r="BI106" i="14"/>
  <c r="BJ106" i="14"/>
  <c r="BK106" i="14"/>
  <c r="BL106" i="14"/>
  <c r="BM106" i="14"/>
  <c r="BN106" i="14"/>
  <c r="BO106" i="14"/>
  <c r="BP106" i="14"/>
  <c r="BQ106" i="14"/>
  <c r="BR106" i="14"/>
  <c r="BS106" i="14"/>
  <c r="BT106" i="14"/>
  <c r="BU106" i="14"/>
  <c r="BV106" i="14"/>
  <c r="BW106" i="14"/>
  <c r="BX106" i="14"/>
  <c r="BY106" i="14"/>
  <c r="BZ106" i="14"/>
  <c r="CA106" i="14"/>
  <c r="CB106" i="14"/>
  <c r="CC106" i="14"/>
  <c r="CD106" i="14"/>
  <c r="CE106" i="14"/>
  <c r="CF106" i="14"/>
  <c r="CG106" i="14"/>
  <c r="CH106" i="14"/>
  <c r="CI106" i="14"/>
  <c r="CJ106" i="14"/>
  <c r="CK106" i="14"/>
  <c r="CL106" i="14"/>
  <c r="CM106" i="14"/>
  <c r="CN106" i="14"/>
  <c r="CO106" i="14"/>
  <c r="CP106" i="14"/>
  <c r="CQ106" i="14"/>
  <c r="CR106" i="14"/>
  <c r="CS106" i="14"/>
  <c r="CT106" i="14"/>
  <c r="CU106" i="14"/>
  <c r="CV106" i="14"/>
  <c r="CW106" i="14"/>
  <c r="CX106" i="14"/>
  <c r="CY106" i="14"/>
  <c r="CZ106" i="14"/>
  <c r="DA106" i="14"/>
  <c r="DB106" i="14"/>
  <c r="DC106" i="14"/>
  <c r="DD106" i="14"/>
  <c r="DE106" i="14"/>
  <c r="DF106" i="14"/>
  <c r="DG106" i="14"/>
  <c r="DH106" i="14"/>
  <c r="DI106" i="14"/>
  <c r="DJ106" i="14"/>
  <c r="DK106" i="14"/>
  <c r="DL106" i="14"/>
  <c r="DM106" i="14"/>
  <c r="DN106" i="14"/>
  <c r="DO106" i="14"/>
  <c r="DP106" i="14"/>
  <c r="DQ106" i="14"/>
  <c r="DR106" i="14"/>
  <c r="DS106" i="14"/>
  <c r="DT106" i="14"/>
  <c r="DU106" i="14"/>
  <c r="DV106" i="14"/>
  <c r="DW106" i="14"/>
  <c r="DX106" i="14"/>
  <c r="DY106" i="14"/>
  <c r="G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AW107" i="14"/>
  <c r="AX107" i="14"/>
  <c r="AY107" i="14"/>
  <c r="AZ107" i="14"/>
  <c r="BA107" i="14"/>
  <c r="BB107" i="14"/>
  <c r="BC107" i="14"/>
  <c r="BD107" i="14"/>
  <c r="BE107" i="14"/>
  <c r="BF107" i="14"/>
  <c r="BG107" i="14"/>
  <c r="BH107" i="14"/>
  <c r="BI107" i="14"/>
  <c r="BJ107" i="14"/>
  <c r="BK107" i="14"/>
  <c r="BL107" i="14"/>
  <c r="BM107" i="14"/>
  <c r="BN107" i="14"/>
  <c r="BO107" i="14"/>
  <c r="BP107" i="14"/>
  <c r="BQ107" i="14"/>
  <c r="BR107" i="14"/>
  <c r="BS107" i="14"/>
  <c r="BT107" i="14"/>
  <c r="BU107" i="14"/>
  <c r="BV107" i="14"/>
  <c r="BW107" i="14"/>
  <c r="BX107" i="14"/>
  <c r="BY107" i="14"/>
  <c r="BZ107" i="14"/>
  <c r="CA107" i="14"/>
  <c r="CB107" i="14"/>
  <c r="CC107" i="14"/>
  <c r="CD107" i="14"/>
  <c r="CE107" i="14"/>
  <c r="CF107" i="14"/>
  <c r="CG107" i="14"/>
  <c r="CH107" i="14"/>
  <c r="CI107" i="14"/>
  <c r="CJ107" i="14"/>
  <c r="CK107" i="14"/>
  <c r="CL107" i="14"/>
  <c r="CM107" i="14"/>
  <c r="CN107" i="14"/>
  <c r="CO107" i="14"/>
  <c r="CP107" i="14"/>
  <c r="CQ107" i="14"/>
  <c r="CR107" i="14"/>
  <c r="CS107" i="14"/>
  <c r="CT107" i="14"/>
  <c r="CU107" i="14"/>
  <c r="CV107" i="14"/>
  <c r="CW107" i="14"/>
  <c r="CX107" i="14"/>
  <c r="CY107" i="14"/>
  <c r="CZ107" i="14"/>
  <c r="DA107" i="14"/>
  <c r="DB107" i="14"/>
  <c r="DC107" i="14"/>
  <c r="DD107" i="14"/>
  <c r="DE107" i="14"/>
  <c r="DF107" i="14"/>
  <c r="DG107" i="14"/>
  <c r="DH107" i="14"/>
  <c r="DI107" i="14"/>
  <c r="DJ107" i="14"/>
  <c r="DK107" i="14"/>
  <c r="DL107" i="14"/>
  <c r="DM107" i="14"/>
  <c r="DN107" i="14"/>
  <c r="DO107" i="14"/>
  <c r="DP107" i="14"/>
  <c r="DQ107" i="14"/>
  <c r="DR107" i="14"/>
  <c r="DS107" i="14"/>
  <c r="DT107" i="14"/>
  <c r="DU107" i="14"/>
  <c r="DV107" i="14"/>
  <c r="DW107" i="14"/>
  <c r="DX107" i="14"/>
  <c r="DY107" i="14"/>
  <c r="H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V113" i="14"/>
  <c r="AW113" i="14"/>
  <c r="AX113" i="14"/>
  <c r="AY113" i="14"/>
  <c r="AZ113" i="14"/>
  <c r="BA113" i="14"/>
  <c r="BB113" i="14"/>
  <c r="BC113" i="14"/>
  <c r="BD113" i="14"/>
  <c r="BE113" i="14"/>
  <c r="BF113" i="14"/>
  <c r="BG113" i="14"/>
  <c r="BH113" i="14"/>
  <c r="BI113" i="14"/>
  <c r="BJ113" i="14"/>
  <c r="BK113" i="14"/>
  <c r="BL113" i="14"/>
  <c r="BM113" i="14"/>
  <c r="BN113" i="14"/>
  <c r="BO113" i="14"/>
  <c r="BP113" i="14"/>
  <c r="BQ113" i="14"/>
  <c r="BR113" i="14"/>
  <c r="BS113" i="14"/>
  <c r="BT113" i="14"/>
  <c r="BU113" i="14"/>
  <c r="BV113" i="14"/>
  <c r="BW113" i="14"/>
  <c r="BX113" i="14"/>
  <c r="BY113" i="14"/>
  <c r="BZ113" i="14"/>
  <c r="CA113" i="14"/>
  <c r="CB113" i="14"/>
  <c r="CC113" i="14"/>
  <c r="CD113" i="14"/>
  <c r="CE113" i="14"/>
  <c r="CF113" i="14"/>
  <c r="CG113" i="14"/>
  <c r="CH113" i="14"/>
  <c r="CI113" i="14"/>
  <c r="CJ113" i="14"/>
  <c r="CK113" i="14"/>
  <c r="CL113" i="14"/>
  <c r="CM113" i="14"/>
  <c r="CN113" i="14"/>
  <c r="CO113" i="14"/>
  <c r="CP113" i="14"/>
  <c r="CQ113" i="14"/>
  <c r="CR113" i="14"/>
  <c r="CS113" i="14"/>
  <c r="CT113" i="14"/>
  <c r="CU113" i="14"/>
  <c r="CV113" i="14"/>
  <c r="CW113" i="14"/>
  <c r="CX113" i="14"/>
  <c r="CY113" i="14"/>
  <c r="CZ113" i="14"/>
  <c r="DA113" i="14"/>
  <c r="DB113" i="14"/>
  <c r="DC113" i="14"/>
  <c r="DD113" i="14"/>
  <c r="DE113" i="14"/>
  <c r="DF113" i="14"/>
  <c r="DG113" i="14"/>
  <c r="DH113" i="14"/>
  <c r="DI113" i="14"/>
  <c r="DJ113" i="14"/>
  <c r="DK113" i="14"/>
  <c r="DL113" i="14"/>
  <c r="DM113" i="14"/>
  <c r="DN113" i="14"/>
  <c r="DO113" i="14"/>
  <c r="DP113" i="14"/>
  <c r="DQ113" i="14"/>
  <c r="DR113" i="14"/>
  <c r="DS113" i="14"/>
  <c r="DT113" i="14"/>
  <c r="DU113" i="14"/>
  <c r="DV113" i="14"/>
  <c r="DW113" i="14"/>
  <c r="DX113" i="14"/>
  <c r="DY113" i="14"/>
  <c r="G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S114" i="14"/>
  <c r="AT114" i="14"/>
  <c r="AU114" i="14"/>
  <c r="AV114" i="14"/>
  <c r="AW114" i="14"/>
  <c r="AX114" i="14"/>
  <c r="AY114" i="14"/>
  <c r="AZ114" i="14"/>
  <c r="BA114" i="14"/>
  <c r="BB114" i="14"/>
  <c r="BC114" i="14"/>
  <c r="BD114" i="14"/>
  <c r="BE114" i="14"/>
  <c r="BF114" i="14"/>
  <c r="BG114" i="14"/>
  <c r="BH114" i="14"/>
  <c r="BI114" i="14"/>
  <c r="BJ114" i="14"/>
  <c r="BK114" i="14"/>
  <c r="BL114" i="14"/>
  <c r="BM114" i="14"/>
  <c r="BN114" i="14"/>
  <c r="BO114" i="14"/>
  <c r="BP114" i="14"/>
  <c r="BQ114" i="14"/>
  <c r="BR114" i="14"/>
  <c r="BS114" i="14"/>
  <c r="BT114" i="14"/>
  <c r="BU114" i="14"/>
  <c r="BV114" i="14"/>
  <c r="BW114" i="14"/>
  <c r="BX114" i="14"/>
  <c r="BY114" i="14"/>
  <c r="BZ114" i="14"/>
  <c r="CA114" i="14"/>
  <c r="CB114" i="14"/>
  <c r="CC114" i="14"/>
  <c r="CD114" i="14"/>
  <c r="CE114" i="14"/>
  <c r="CF114" i="14"/>
  <c r="CG114" i="14"/>
  <c r="CH114" i="14"/>
  <c r="CI114" i="14"/>
  <c r="CJ114" i="14"/>
  <c r="CK114" i="14"/>
  <c r="CL114" i="14"/>
  <c r="CM114" i="14"/>
  <c r="CN114" i="14"/>
  <c r="CO114" i="14"/>
  <c r="CP114" i="14"/>
  <c r="CQ114" i="14"/>
  <c r="CR114" i="14"/>
  <c r="CS114" i="14"/>
  <c r="CT114" i="14"/>
  <c r="CU114" i="14"/>
  <c r="CV114" i="14"/>
  <c r="CW114" i="14"/>
  <c r="CX114" i="14"/>
  <c r="CY114" i="14"/>
  <c r="CZ114" i="14"/>
  <c r="DA114" i="14"/>
  <c r="DB114" i="14"/>
  <c r="DC114" i="14"/>
  <c r="DD114" i="14"/>
  <c r="DE114" i="14"/>
  <c r="DF114" i="14"/>
  <c r="DG114" i="14"/>
  <c r="DH114" i="14"/>
  <c r="DI114" i="14"/>
  <c r="DJ114" i="14"/>
  <c r="DK114" i="14"/>
  <c r="DL114" i="14"/>
  <c r="DM114" i="14"/>
  <c r="DN114" i="14"/>
  <c r="DO114" i="14"/>
  <c r="DP114" i="14"/>
  <c r="DQ114" i="14"/>
  <c r="DR114" i="14"/>
  <c r="DS114" i="14"/>
  <c r="DT114" i="14"/>
  <c r="DU114" i="14"/>
  <c r="DV114" i="14"/>
  <c r="DW114" i="14"/>
  <c r="DX114" i="14"/>
  <c r="DY114" i="14"/>
  <c r="G115" i="14"/>
  <c r="H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S115" i="14"/>
  <c r="AT115" i="14"/>
  <c r="AU115" i="14"/>
  <c r="AV115" i="14"/>
  <c r="AW115" i="14"/>
  <c r="AX115" i="14"/>
  <c r="AY115" i="14"/>
  <c r="AZ115" i="14"/>
  <c r="BA115" i="14"/>
  <c r="BB115" i="14"/>
  <c r="BC115" i="14"/>
  <c r="BD115" i="14"/>
  <c r="BE115" i="14"/>
  <c r="BF115" i="14"/>
  <c r="BG115" i="14"/>
  <c r="BH115" i="14"/>
  <c r="BI115" i="14"/>
  <c r="BJ115" i="14"/>
  <c r="BK115" i="14"/>
  <c r="BL115" i="14"/>
  <c r="BM115" i="14"/>
  <c r="BN115" i="14"/>
  <c r="BO115" i="14"/>
  <c r="BP115" i="14"/>
  <c r="BQ115" i="14"/>
  <c r="BR115" i="14"/>
  <c r="BS115" i="14"/>
  <c r="BT115" i="14"/>
  <c r="BU115" i="14"/>
  <c r="BV115" i="14"/>
  <c r="BW115" i="14"/>
  <c r="BX115" i="14"/>
  <c r="BY115" i="14"/>
  <c r="BZ115" i="14"/>
  <c r="CA115" i="14"/>
  <c r="CB115" i="14"/>
  <c r="CC115" i="14"/>
  <c r="CD115" i="14"/>
  <c r="CE115" i="14"/>
  <c r="CF115" i="14"/>
  <c r="CG115" i="14"/>
  <c r="CH115" i="14"/>
  <c r="CI115" i="14"/>
  <c r="CJ115" i="14"/>
  <c r="CK115" i="14"/>
  <c r="CL115" i="14"/>
  <c r="CM115" i="14"/>
  <c r="CN115" i="14"/>
  <c r="CO115" i="14"/>
  <c r="CP115" i="14"/>
  <c r="CQ115" i="14"/>
  <c r="CR115" i="14"/>
  <c r="CS115" i="14"/>
  <c r="CT115" i="14"/>
  <c r="CU115" i="14"/>
  <c r="CV115" i="14"/>
  <c r="CW115" i="14"/>
  <c r="CX115" i="14"/>
  <c r="CY115" i="14"/>
  <c r="CZ115" i="14"/>
  <c r="DA115" i="14"/>
  <c r="DB115" i="14"/>
  <c r="DC115" i="14"/>
  <c r="DD115" i="14"/>
  <c r="DE115" i="14"/>
  <c r="DF115" i="14"/>
  <c r="DG115" i="14"/>
  <c r="DH115" i="14"/>
  <c r="DI115" i="14"/>
  <c r="DJ115" i="14"/>
  <c r="DK115" i="14"/>
  <c r="DL115" i="14"/>
  <c r="DM115" i="14"/>
  <c r="DN115" i="14"/>
  <c r="DO115" i="14"/>
  <c r="DP115" i="14"/>
  <c r="DQ115" i="14"/>
  <c r="DR115" i="14"/>
  <c r="DS115" i="14"/>
  <c r="DT115" i="14"/>
  <c r="DU115" i="14"/>
  <c r="DV115" i="14"/>
  <c r="DW115" i="14"/>
  <c r="DX115" i="14"/>
  <c r="DY115" i="14"/>
  <c r="G116" i="14"/>
  <c r="H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S116" i="14"/>
  <c r="AT116" i="14"/>
  <c r="AU116" i="14"/>
  <c r="AV116" i="14"/>
  <c r="AW116" i="14"/>
  <c r="AX116" i="14"/>
  <c r="AY116" i="14"/>
  <c r="AZ116" i="14"/>
  <c r="BA116" i="14"/>
  <c r="BB116" i="14"/>
  <c r="BC116" i="14"/>
  <c r="BD116" i="14"/>
  <c r="BE116" i="14"/>
  <c r="BF116" i="14"/>
  <c r="BG116" i="14"/>
  <c r="BH116" i="14"/>
  <c r="BI116" i="14"/>
  <c r="BJ116" i="14"/>
  <c r="BK116" i="14"/>
  <c r="BL116" i="14"/>
  <c r="BM116" i="14"/>
  <c r="BN116" i="14"/>
  <c r="BO116" i="14"/>
  <c r="BP116" i="14"/>
  <c r="BQ116" i="14"/>
  <c r="BR116" i="14"/>
  <c r="BS116" i="14"/>
  <c r="BT116" i="14"/>
  <c r="BU116" i="14"/>
  <c r="BV116" i="14"/>
  <c r="BW116" i="14"/>
  <c r="BX116" i="14"/>
  <c r="BY116" i="14"/>
  <c r="BZ116" i="14"/>
  <c r="CA116" i="14"/>
  <c r="CB116" i="14"/>
  <c r="CC116" i="14"/>
  <c r="CD116" i="14"/>
  <c r="CE116" i="14"/>
  <c r="CF116" i="14"/>
  <c r="CG116" i="14"/>
  <c r="CH116" i="14"/>
  <c r="CI116" i="14"/>
  <c r="CJ116" i="14"/>
  <c r="CK116" i="14"/>
  <c r="CL116" i="14"/>
  <c r="CM116" i="14"/>
  <c r="CN116" i="14"/>
  <c r="CO116" i="14"/>
  <c r="CP116" i="14"/>
  <c r="CQ116" i="14"/>
  <c r="CR116" i="14"/>
  <c r="CS116" i="14"/>
  <c r="CT116" i="14"/>
  <c r="CU116" i="14"/>
  <c r="CV116" i="14"/>
  <c r="CW116" i="14"/>
  <c r="CX116" i="14"/>
  <c r="CY116" i="14"/>
  <c r="CZ116" i="14"/>
  <c r="DA116" i="14"/>
  <c r="DB116" i="14"/>
  <c r="DC116" i="14"/>
  <c r="DD116" i="14"/>
  <c r="DE116" i="14"/>
  <c r="DF116" i="14"/>
  <c r="DG116" i="14"/>
  <c r="DH116" i="14"/>
  <c r="DI116" i="14"/>
  <c r="DJ116" i="14"/>
  <c r="DK116" i="14"/>
  <c r="DL116" i="14"/>
  <c r="DM116" i="14"/>
  <c r="DN116" i="14"/>
  <c r="DO116" i="14"/>
  <c r="DP116" i="14"/>
  <c r="DQ116" i="14"/>
  <c r="DR116" i="14"/>
  <c r="DS116" i="14"/>
  <c r="DT116" i="14"/>
  <c r="DU116" i="14"/>
  <c r="DV116" i="14"/>
  <c r="DW116" i="14"/>
  <c r="DX116" i="14"/>
  <c r="DY116" i="14"/>
  <c r="G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U117" i="14"/>
  <c r="AV117" i="14"/>
  <c r="AW117" i="14"/>
  <c r="AX117" i="14"/>
  <c r="AY117" i="14"/>
  <c r="AZ117" i="14"/>
  <c r="BA117" i="14"/>
  <c r="BB117" i="14"/>
  <c r="BC117" i="14"/>
  <c r="BD117" i="14"/>
  <c r="BE117" i="14"/>
  <c r="BF117" i="14"/>
  <c r="BG117" i="14"/>
  <c r="BH117" i="14"/>
  <c r="BI117" i="14"/>
  <c r="BJ117" i="14"/>
  <c r="BK117" i="14"/>
  <c r="BL117" i="14"/>
  <c r="BM117" i="14"/>
  <c r="BN117" i="14"/>
  <c r="BO117" i="14"/>
  <c r="BP117" i="14"/>
  <c r="BQ117" i="14"/>
  <c r="BR117" i="14"/>
  <c r="BS117" i="14"/>
  <c r="BT117" i="14"/>
  <c r="BU117" i="14"/>
  <c r="BV117" i="14"/>
  <c r="BW117" i="14"/>
  <c r="BX117" i="14"/>
  <c r="BY117" i="14"/>
  <c r="BZ117" i="14"/>
  <c r="CA117" i="14"/>
  <c r="CB117" i="14"/>
  <c r="CC117" i="14"/>
  <c r="CD117" i="14"/>
  <c r="CE117" i="14"/>
  <c r="CF117" i="14"/>
  <c r="CG117" i="14"/>
  <c r="CH117" i="14"/>
  <c r="CI117" i="14"/>
  <c r="CJ117" i="14"/>
  <c r="CK117" i="14"/>
  <c r="CL117" i="14"/>
  <c r="CM117" i="14"/>
  <c r="CN117" i="14"/>
  <c r="CO117" i="14"/>
  <c r="CP117" i="14"/>
  <c r="CQ117" i="14"/>
  <c r="CR117" i="14"/>
  <c r="CS117" i="14"/>
  <c r="CT117" i="14"/>
  <c r="CU117" i="14"/>
  <c r="CV117" i="14"/>
  <c r="CW117" i="14"/>
  <c r="CX117" i="14"/>
  <c r="CY117" i="14"/>
  <c r="CZ117" i="14"/>
  <c r="DA117" i="14"/>
  <c r="DB117" i="14"/>
  <c r="DC117" i="14"/>
  <c r="DD117" i="14"/>
  <c r="DE117" i="14"/>
  <c r="DF117" i="14"/>
  <c r="DG117" i="14"/>
  <c r="DH117" i="14"/>
  <c r="DI117" i="14"/>
  <c r="DJ117" i="14"/>
  <c r="DK117" i="14"/>
  <c r="DL117" i="14"/>
  <c r="DM117" i="14"/>
  <c r="DN117" i="14"/>
  <c r="DO117" i="14"/>
  <c r="DP117" i="14"/>
  <c r="DQ117" i="14"/>
  <c r="DR117" i="14"/>
  <c r="DS117" i="14"/>
  <c r="DT117" i="14"/>
  <c r="DU117" i="14"/>
  <c r="DV117" i="14"/>
  <c r="DW117" i="14"/>
  <c r="DX117" i="14"/>
  <c r="DY117" i="14"/>
  <c r="G118" i="14"/>
  <c r="H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S118" i="14"/>
  <c r="AT118" i="14"/>
  <c r="AU118" i="14"/>
  <c r="AV118" i="14"/>
  <c r="AW118" i="14"/>
  <c r="AX118" i="14"/>
  <c r="AY118" i="14"/>
  <c r="AZ118" i="14"/>
  <c r="BA118" i="14"/>
  <c r="BB118" i="14"/>
  <c r="BC118" i="14"/>
  <c r="BD118" i="14"/>
  <c r="BE118" i="14"/>
  <c r="BF118" i="14"/>
  <c r="BG118" i="14"/>
  <c r="BH118" i="14"/>
  <c r="BI118" i="14"/>
  <c r="BJ118" i="14"/>
  <c r="BK118" i="14"/>
  <c r="BL118" i="14"/>
  <c r="BM118" i="14"/>
  <c r="BN118" i="14"/>
  <c r="BO118" i="14"/>
  <c r="BP118" i="14"/>
  <c r="BQ118" i="14"/>
  <c r="BR118" i="14"/>
  <c r="BS118" i="14"/>
  <c r="BT118" i="14"/>
  <c r="BU118" i="14"/>
  <c r="BV118" i="14"/>
  <c r="BW118" i="14"/>
  <c r="BX118" i="14"/>
  <c r="BY118" i="14"/>
  <c r="BZ118" i="14"/>
  <c r="CA118" i="14"/>
  <c r="CB118" i="14"/>
  <c r="CC118" i="14"/>
  <c r="CD118" i="14"/>
  <c r="CE118" i="14"/>
  <c r="CF118" i="14"/>
  <c r="CG118" i="14"/>
  <c r="CH118" i="14"/>
  <c r="CI118" i="14"/>
  <c r="CJ118" i="14"/>
  <c r="CK118" i="14"/>
  <c r="CL118" i="14"/>
  <c r="CM118" i="14"/>
  <c r="CN118" i="14"/>
  <c r="CO118" i="14"/>
  <c r="CP118" i="14"/>
  <c r="CQ118" i="14"/>
  <c r="CR118" i="14"/>
  <c r="CS118" i="14"/>
  <c r="CT118" i="14"/>
  <c r="CU118" i="14"/>
  <c r="CV118" i="14"/>
  <c r="CW118" i="14"/>
  <c r="CX118" i="14"/>
  <c r="CY118" i="14"/>
  <c r="CZ118" i="14"/>
  <c r="DA118" i="14"/>
  <c r="DB118" i="14"/>
  <c r="DC118" i="14"/>
  <c r="DD118" i="14"/>
  <c r="DE118" i="14"/>
  <c r="DF118" i="14"/>
  <c r="DG118" i="14"/>
  <c r="DH118" i="14"/>
  <c r="DI118" i="14"/>
  <c r="DJ118" i="14"/>
  <c r="DK118" i="14"/>
  <c r="DL118" i="14"/>
  <c r="DM118" i="14"/>
  <c r="DN118" i="14"/>
  <c r="DO118" i="14"/>
  <c r="DP118" i="14"/>
  <c r="DQ118" i="14"/>
  <c r="DR118" i="14"/>
  <c r="DS118" i="14"/>
  <c r="DT118" i="14"/>
  <c r="DU118" i="14"/>
  <c r="DV118" i="14"/>
  <c r="DW118" i="14"/>
  <c r="DX118" i="14"/>
  <c r="DY118" i="14"/>
  <c r="E119" i="14"/>
  <c r="G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S119" i="14"/>
  <c r="AT119" i="14"/>
  <c r="AU119" i="14"/>
  <c r="AV119" i="14"/>
  <c r="AW119" i="14"/>
  <c r="AX119" i="14"/>
  <c r="AY119" i="14"/>
  <c r="AZ119" i="14"/>
  <c r="BA119" i="14"/>
  <c r="BB119" i="14"/>
  <c r="BC119" i="14"/>
  <c r="BD119" i="14"/>
  <c r="BE119" i="14"/>
  <c r="BF119" i="14"/>
  <c r="BG119" i="14"/>
  <c r="BH119" i="14"/>
  <c r="BI119" i="14"/>
  <c r="BJ119" i="14"/>
  <c r="BK119" i="14"/>
  <c r="BL119" i="14"/>
  <c r="BM119" i="14"/>
  <c r="BN119" i="14"/>
  <c r="BO119" i="14"/>
  <c r="BP119" i="14"/>
  <c r="BQ119" i="14"/>
  <c r="BR119" i="14"/>
  <c r="BS119" i="14"/>
  <c r="BT119" i="14"/>
  <c r="BU119" i="14"/>
  <c r="BV119" i="14"/>
  <c r="BW119" i="14"/>
  <c r="BX119" i="14"/>
  <c r="BY119" i="14"/>
  <c r="BZ119" i="14"/>
  <c r="CA119" i="14"/>
  <c r="CB119" i="14"/>
  <c r="CC119" i="14"/>
  <c r="CD119" i="14"/>
  <c r="CE119" i="14"/>
  <c r="CF119" i="14"/>
  <c r="CG119" i="14"/>
  <c r="CH119" i="14"/>
  <c r="CI119" i="14"/>
  <c r="CJ119" i="14"/>
  <c r="CK119" i="14"/>
  <c r="CL119" i="14"/>
  <c r="CM119" i="14"/>
  <c r="CN119" i="14"/>
  <c r="CO119" i="14"/>
  <c r="CP119" i="14"/>
  <c r="CQ119" i="14"/>
  <c r="CR119" i="14"/>
  <c r="CS119" i="14"/>
  <c r="CT119" i="14"/>
  <c r="CU119" i="14"/>
  <c r="CV119" i="14"/>
  <c r="CW119" i="14"/>
  <c r="CX119" i="14"/>
  <c r="CY119" i="14"/>
  <c r="CZ119" i="14"/>
  <c r="DA119" i="14"/>
  <c r="DB119" i="14"/>
  <c r="DC119" i="14"/>
  <c r="DD119" i="14"/>
  <c r="DE119" i="14"/>
  <c r="DF119" i="14"/>
  <c r="DG119" i="14"/>
  <c r="DH119" i="14"/>
  <c r="DI119" i="14"/>
  <c r="DJ119" i="14"/>
  <c r="DK119" i="14"/>
  <c r="DL119" i="14"/>
  <c r="DM119" i="14"/>
  <c r="DN119" i="14"/>
  <c r="DO119" i="14"/>
  <c r="DP119" i="14"/>
  <c r="DQ119" i="14"/>
  <c r="DR119" i="14"/>
  <c r="DS119" i="14"/>
  <c r="DT119" i="14"/>
  <c r="DU119" i="14"/>
  <c r="DV119" i="14"/>
  <c r="DW119" i="14"/>
  <c r="DX119" i="14"/>
  <c r="DY119" i="14"/>
  <c r="G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AI121" i="14"/>
  <c r="AJ121" i="14"/>
  <c r="AK121" i="14"/>
  <c r="AL121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AZ121" i="14"/>
  <c r="BA121" i="14"/>
  <c r="BB121" i="14"/>
  <c r="BC121" i="14"/>
  <c r="BD121" i="14"/>
  <c r="BE121" i="14"/>
  <c r="BF121" i="14"/>
  <c r="BG121" i="14"/>
  <c r="BH121" i="14"/>
  <c r="BI121" i="14"/>
  <c r="BJ121" i="14"/>
  <c r="BK121" i="14"/>
  <c r="BL121" i="14"/>
  <c r="BM121" i="14"/>
  <c r="BN121" i="14"/>
  <c r="BO121" i="14"/>
  <c r="BP121" i="14"/>
  <c r="BQ121" i="14"/>
  <c r="BR121" i="14"/>
  <c r="BS121" i="14"/>
  <c r="BT121" i="14"/>
  <c r="BU121" i="14"/>
  <c r="BV121" i="14"/>
  <c r="BW121" i="14"/>
  <c r="BX121" i="14"/>
  <c r="BY121" i="14"/>
  <c r="BZ121" i="14"/>
  <c r="CA121" i="14"/>
  <c r="CB121" i="14"/>
  <c r="CC121" i="14"/>
  <c r="CD121" i="14"/>
  <c r="CE121" i="14"/>
  <c r="CF121" i="14"/>
  <c r="CG121" i="14"/>
  <c r="CH121" i="14"/>
  <c r="CI121" i="14"/>
  <c r="CJ121" i="14"/>
  <c r="CK121" i="14"/>
  <c r="CL121" i="14"/>
  <c r="CM121" i="14"/>
  <c r="CN121" i="14"/>
  <c r="CO121" i="14"/>
  <c r="CP121" i="14"/>
  <c r="CQ121" i="14"/>
  <c r="CR121" i="14"/>
  <c r="CS121" i="14"/>
  <c r="CT121" i="14"/>
  <c r="CU121" i="14"/>
  <c r="CV121" i="14"/>
  <c r="CW121" i="14"/>
  <c r="CX121" i="14"/>
  <c r="CY121" i="14"/>
  <c r="CZ121" i="14"/>
  <c r="DA121" i="14"/>
  <c r="DB121" i="14"/>
  <c r="DC121" i="14"/>
  <c r="DD121" i="14"/>
  <c r="DE121" i="14"/>
  <c r="DF121" i="14"/>
  <c r="DG121" i="14"/>
  <c r="DH121" i="14"/>
  <c r="DI121" i="14"/>
  <c r="DJ121" i="14"/>
  <c r="DK121" i="14"/>
  <c r="DL121" i="14"/>
  <c r="DM121" i="14"/>
  <c r="DN121" i="14"/>
  <c r="DO121" i="14"/>
  <c r="DP121" i="14"/>
  <c r="DQ121" i="14"/>
  <c r="DR121" i="14"/>
  <c r="DS121" i="14"/>
  <c r="DT121" i="14"/>
  <c r="DU121" i="14"/>
  <c r="DV121" i="14"/>
  <c r="DW121" i="14"/>
  <c r="DX121" i="14"/>
  <c r="DY121" i="14"/>
  <c r="G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AB122" i="14"/>
  <c r="AC122" i="14"/>
  <c r="AD122" i="14"/>
  <c r="AE122" i="14"/>
  <c r="AF122" i="14"/>
  <c r="AG122" i="14"/>
  <c r="AH122" i="14"/>
  <c r="AI122" i="14"/>
  <c r="AJ122" i="14"/>
  <c r="AK122" i="14"/>
  <c r="AL122" i="14"/>
  <c r="AM122" i="14"/>
  <c r="AN122" i="14"/>
  <c r="AO122" i="14"/>
  <c r="AP122" i="14"/>
  <c r="AQ122" i="14"/>
  <c r="AR122" i="14"/>
  <c r="AS122" i="14"/>
  <c r="AT122" i="14"/>
  <c r="AU122" i="14"/>
  <c r="AV122" i="14"/>
  <c r="AW122" i="14"/>
  <c r="AX122" i="14"/>
  <c r="AY122" i="14"/>
  <c r="AZ122" i="14"/>
  <c r="BA122" i="14"/>
  <c r="BB122" i="14"/>
  <c r="BC122" i="14"/>
  <c r="BD122" i="14"/>
  <c r="BE122" i="14"/>
  <c r="BF122" i="14"/>
  <c r="BG122" i="14"/>
  <c r="BH122" i="14"/>
  <c r="BI122" i="14"/>
  <c r="BJ122" i="14"/>
  <c r="BK122" i="14"/>
  <c r="BL122" i="14"/>
  <c r="BM122" i="14"/>
  <c r="BN122" i="14"/>
  <c r="BO122" i="14"/>
  <c r="BP122" i="14"/>
  <c r="BQ122" i="14"/>
  <c r="BR122" i="14"/>
  <c r="BS122" i="14"/>
  <c r="BT122" i="14"/>
  <c r="BU122" i="14"/>
  <c r="BV122" i="14"/>
  <c r="BW122" i="14"/>
  <c r="BX122" i="14"/>
  <c r="BY122" i="14"/>
  <c r="BZ122" i="14"/>
  <c r="CA122" i="14"/>
  <c r="CB122" i="14"/>
  <c r="CC122" i="14"/>
  <c r="CD122" i="14"/>
  <c r="CE122" i="14"/>
  <c r="CF122" i="14"/>
  <c r="CG122" i="14"/>
  <c r="CH122" i="14"/>
  <c r="CI122" i="14"/>
  <c r="CJ122" i="14"/>
  <c r="CK122" i="14"/>
  <c r="CL122" i="14"/>
  <c r="CM122" i="14"/>
  <c r="CN122" i="14"/>
  <c r="CO122" i="14"/>
  <c r="CP122" i="14"/>
  <c r="CQ122" i="14"/>
  <c r="CR122" i="14"/>
  <c r="CS122" i="14"/>
  <c r="CT122" i="14"/>
  <c r="CU122" i="14"/>
  <c r="CV122" i="14"/>
  <c r="CW122" i="14"/>
  <c r="CX122" i="14"/>
  <c r="CY122" i="14"/>
  <c r="CZ122" i="14"/>
  <c r="DA122" i="14"/>
  <c r="DB122" i="14"/>
  <c r="DC122" i="14"/>
  <c r="DD122" i="14"/>
  <c r="DE122" i="14"/>
  <c r="DF122" i="14"/>
  <c r="DG122" i="14"/>
  <c r="DH122" i="14"/>
  <c r="DI122" i="14"/>
  <c r="DJ122" i="14"/>
  <c r="DK122" i="14"/>
  <c r="DL122" i="14"/>
  <c r="DM122" i="14"/>
  <c r="DN122" i="14"/>
  <c r="DO122" i="14"/>
  <c r="DP122" i="14"/>
  <c r="DQ122" i="14"/>
  <c r="DR122" i="14"/>
  <c r="DS122" i="14"/>
  <c r="DT122" i="14"/>
  <c r="DU122" i="14"/>
  <c r="DV122" i="14"/>
  <c r="DW122" i="14"/>
  <c r="DX122" i="14"/>
  <c r="DY122" i="14"/>
  <c r="G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AB124" i="14"/>
  <c r="AC124" i="14"/>
  <c r="AD124" i="14"/>
  <c r="AE124" i="14"/>
  <c r="AF124" i="14"/>
  <c r="AG124" i="14"/>
  <c r="AH124" i="14"/>
  <c r="AI124" i="14"/>
  <c r="AJ124" i="14"/>
  <c r="AK124" i="14"/>
  <c r="AL124" i="14"/>
  <c r="AM124" i="14"/>
  <c r="AN124" i="14"/>
  <c r="AO124" i="14"/>
  <c r="AP124" i="14"/>
  <c r="AQ124" i="14"/>
  <c r="AR124" i="14"/>
  <c r="AS124" i="14"/>
  <c r="AT124" i="14"/>
  <c r="AU124" i="14"/>
  <c r="AV124" i="14"/>
  <c r="AW124" i="14"/>
  <c r="AX124" i="14"/>
  <c r="AY124" i="14"/>
  <c r="AZ124" i="14"/>
  <c r="BA124" i="14"/>
  <c r="BB124" i="14"/>
  <c r="BC124" i="14"/>
  <c r="BD124" i="14"/>
  <c r="BE124" i="14"/>
  <c r="BF124" i="14"/>
  <c r="BG124" i="14"/>
  <c r="BH124" i="14"/>
  <c r="BI124" i="14"/>
  <c r="BJ124" i="14"/>
  <c r="BK124" i="14"/>
  <c r="BL124" i="14"/>
  <c r="BM124" i="14"/>
  <c r="BN124" i="14"/>
  <c r="BO124" i="14"/>
  <c r="BP124" i="14"/>
  <c r="BQ124" i="14"/>
  <c r="BR124" i="14"/>
  <c r="BS124" i="14"/>
  <c r="BT124" i="14"/>
  <c r="BU124" i="14"/>
  <c r="BV124" i="14"/>
  <c r="BW124" i="14"/>
  <c r="BX124" i="14"/>
  <c r="BY124" i="14"/>
  <c r="BZ124" i="14"/>
  <c r="CA124" i="14"/>
  <c r="CB124" i="14"/>
  <c r="CC124" i="14"/>
  <c r="CD124" i="14"/>
  <c r="CE124" i="14"/>
  <c r="CF124" i="14"/>
  <c r="CG124" i="14"/>
  <c r="CH124" i="14"/>
  <c r="CI124" i="14"/>
  <c r="CJ124" i="14"/>
  <c r="CK124" i="14"/>
  <c r="CL124" i="14"/>
  <c r="CM124" i="14"/>
  <c r="CN124" i="14"/>
  <c r="CO124" i="14"/>
  <c r="CP124" i="14"/>
  <c r="CQ124" i="14"/>
  <c r="CR124" i="14"/>
  <c r="CS124" i="14"/>
  <c r="CT124" i="14"/>
  <c r="CU124" i="14"/>
  <c r="CV124" i="14"/>
  <c r="CW124" i="14"/>
  <c r="CX124" i="14"/>
  <c r="CY124" i="14"/>
  <c r="CZ124" i="14"/>
  <c r="DA124" i="14"/>
  <c r="DB124" i="14"/>
  <c r="DC124" i="14"/>
  <c r="DD124" i="14"/>
  <c r="DE124" i="14"/>
  <c r="DF124" i="14"/>
  <c r="DG124" i="14"/>
  <c r="DH124" i="14"/>
  <c r="DI124" i="14"/>
  <c r="DJ124" i="14"/>
  <c r="DK124" i="14"/>
  <c r="DL124" i="14"/>
  <c r="DM124" i="14"/>
  <c r="DN124" i="14"/>
  <c r="DO124" i="14"/>
  <c r="DP124" i="14"/>
  <c r="DQ124" i="14"/>
  <c r="DR124" i="14"/>
  <c r="DS124" i="14"/>
  <c r="DT124" i="14"/>
  <c r="DU124" i="14"/>
  <c r="DV124" i="14"/>
  <c r="DW124" i="14"/>
  <c r="DX124" i="14"/>
  <c r="DY124" i="14"/>
  <c r="G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S127" i="14"/>
  <c r="AT127" i="14"/>
  <c r="AU127" i="14"/>
  <c r="AV127" i="14"/>
  <c r="AW127" i="14"/>
  <c r="AX127" i="14"/>
  <c r="AY127" i="14"/>
  <c r="AZ127" i="14"/>
  <c r="BA127" i="14"/>
  <c r="BB127" i="14"/>
  <c r="BC127" i="14"/>
  <c r="BD127" i="14"/>
  <c r="BE127" i="14"/>
  <c r="BF127" i="14"/>
  <c r="BG127" i="14"/>
  <c r="BH127" i="14"/>
  <c r="BI127" i="14"/>
  <c r="BJ127" i="14"/>
  <c r="BK127" i="14"/>
  <c r="BL127" i="14"/>
  <c r="BM127" i="14"/>
  <c r="BN127" i="14"/>
  <c r="BO127" i="14"/>
  <c r="BP127" i="14"/>
  <c r="BQ127" i="14"/>
  <c r="BR127" i="14"/>
  <c r="BS127" i="14"/>
  <c r="BT127" i="14"/>
  <c r="BU127" i="14"/>
  <c r="BV127" i="14"/>
  <c r="BW127" i="14"/>
  <c r="BX127" i="14"/>
  <c r="BY127" i="14"/>
  <c r="BZ127" i="14"/>
  <c r="CA127" i="14"/>
  <c r="CB127" i="14"/>
  <c r="CC127" i="14"/>
  <c r="CD127" i="14"/>
  <c r="CE127" i="14"/>
  <c r="CF127" i="14"/>
  <c r="CG127" i="14"/>
  <c r="CH127" i="14"/>
  <c r="CI127" i="14"/>
  <c r="CJ127" i="14"/>
  <c r="CK127" i="14"/>
  <c r="CL127" i="14"/>
  <c r="CM127" i="14"/>
  <c r="CN127" i="14"/>
  <c r="CO127" i="14"/>
  <c r="CP127" i="14"/>
  <c r="CQ127" i="14"/>
  <c r="CR127" i="14"/>
  <c r="CS127" i="14"/>
  <c r="CT127" i="14"/>
  <c r="CU127" i="14"/>
  <c r="CV127" i="14"/>
  <c r="CW127" i="14"/>
  <c r="CX127" i="14"/>
  <c r="CY127" i="14"/>
  <c r="CZ127" i="14"/>
  <c r="DA127" i="14"/>
  <c r="DB127" i="14"/>
  <c r="DC127" i="14"/>
  <c r="DD127" i="14"/>
  <c r="DE127" i="14"/>
  <c r="DF127" i="14"/>
  <c r="DG127" i="14"/>
  <c r="DH127" i="14"/>
  <c r="DI127" i="14"/>
  <c r="DJ127" i="14"/>
  <c r="DK127" i="14"/>
  <c r="DL127" i="14"/>
  <c r="DM127" i="14"/>
  <c r="DN127" i="14"/>
  <c r="DO127" i="14"/>
  <c r="DP127" i="14"/>
  <c r="DQ127" i="14"/>
  <c r="DR127" i="14"/>
  <c r="DS127" i="14"/>
  <c r="DT127" i="14"/>
  <c r="DU127" i="14"/>
  <c r="DV127" i="14"/>
  <c r="DW127" i="14"/>
  <c r="DX127" i="14"/>
  <c r="DY127" i="14"/>
  <c r="G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AB128" i="14"/>
  <c r="AC128" i="14"/>
  <c r="AD128" i="14"/>
  <c r="AE128" i="14"/>
  <c r="AF128" i="14"/>
  <c r="AG128" i="14"/>
  <c r="AH128" i="14"/>
  <c r="AI128" i="14"/>
  <c r="AJ128" i="14"/>
  <c r="AK128" i="14"/>
  <c r="AL128" i="14"/>
  <c r="AM128" i="14"/>
  <c r="AN128" i="14"/>
  <c r="AO128" i="14"/>
  <c r="AP128" i="14"/>
  <c r="AQ128" i="14"/>
  <c r="AR128" i="14"/>
  <c r="AS128" i="14"/>
  <c r="AT128" i="14"/>
  <c r="AU128" i="14"/>
  <c r="AV128" i="14"/>
  <c r="AW128" i="14"/>
  <c r="AX128" i="14"/>
  <c r="AY128" i="14"/>
  <c r="AZ128" i="14"/>
  <c r="BA128" i="14"/>
  <c r="BB128" i="14"/>
  <c r="BC128" i="14"/>
  <c r="BD128" i="14"/>
  <c r="BE128" i="14"/>
  <c r="BF128" i="14"/>
  <c r="BG128" i="14"/>
  <c r="BH128" i="14"/>
  <c r="BI128" i="14"/>
  <c r="BJ128" i="14"/>
  <c r="BK128" i="14"/>
  <c r="BL128" i="14"/>
  <c r="BM128" i="14"/>
  <c r="BN128" i="14"/>
  <c r="BO128" i="14"/>
  <c r="BP128" i="14"/>
  <c r="BQ128" i="14"/>
  <c r="BR128" i="14"/>
  <c r="BS128" i="14"/>
  <c r="BT128" i="14"/>
  <c r="BU128" i="14"/>
  <c r="BV128" i="14"/>
  <c r="BW128" i="14"/>
  <c r="BX128" i="14"/>
  <c r="BY128" i="14"/>
  <c r="BZ128" i="14"/>
  <c r="CA128" i="14"/>
  <c r="CB128" i="14"/>
  <c r="CC128" i="14"/>
  <c r="CD128" i="14"/>
  <c r="CE128" i="14"/>
  <c r="CF128" i="14"/>
  <c r="CG128" i="14"/>
  <c r="CH128" i="14"/>
  <c r="CI128" i="14"/>
  <c r="CJ128" i="14"/>
  <c r="CK128" i="14"/>
  <c r="CL128" i="14"/>
  <c r="CM128" i="14"/>
  <c r="CN128" i="14"/>
  <c r="CO128" i="14"/>
  <c r="CP128" i="14"/>
  <c r="CQ128" i="14"/>
  <c r="CR128" i="14"/>
  <c r="CS128" i="14"/>
  <c r="CT128" i="14"/>
  <c r="CU128" i="14"/>
  <c r="CV128" i="14"/>
  <c r="CW128" i="14"/>
  <c r="CX128" i="14"/>
  <c r="CY128" i="14"/>
  <c r="CZ128" i="14"/>
  <c r="DA128" i="14"/>
  <c r="DB128" i="14"/>
  <c r="DC128" i="14"/>
  <c r="DD128" i="14"/>
  <c r="DE128" i="14"/>
  <c r="DF128" i="14"/>
  <c r="DG128" i="14"/>
  <c r="DH128" i="14"/>
  <c r="DI128" i="14"/>
  <c r="DJ128" i="14"/>
  <c r="DK128" i="14"/>
  <c r="DL128" i="14"/>
  <c r="DM128" i="14"/>
  <c r="DN128" i="14"/>
  <c r="DO128" i="14"/>
  <c r="DP128" i="14"/>
  <c r="DQ128" i="14"/>
  <c r="DR128" i="14"/>
  <c r="DS128" i="14"/>
  <c r="DT128" i="14"/>
  <c r="DU128" i="14"/>
  <c r="DV128" i="14"/>
  <c r="DW128" i="14"/>
  <c r="DX128" i="14"/>
  <c r="DY128" i="14"/>
  <c r="G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W131" i="14"/>
  <c r="X131" i="14"/>
  <c r="Y131" i="14"/>
  <c r="Z131" i="14"/>
  <c r="AA131" i="14"/>
  <c r="AB131" i="14"/>
  <c r="AC131" i="14"/>
  <c r="AD131" i="14"/>
  <c r="AE131" i="14"/>
  <c r="AF131" i="14"/>
  <c r="AG131" i="14"/>
  <c r="AH131" i="14"/>
  <c r="AI131" i="14"/>
  <c r="AJ131" i="14"/>
  <c r="AK131" i="14"/>
  <c r="AL131" i="14"/>
  <c r="AM131" i="14"/>
  <c r="AN131" i="14"/>
  <c r="AO131" i="14"/>
  <c r="AP131" i="14"/>
  <c r="AQ131" i="14"/>
  <c r="AR131" i="14"/>
  <c r="AS131" i="14"/>
  <c r="AT131" i="14"/>
  <c r="AU131" i="14"/>
  <c r="AV131" i="14"/>
  <c r="AW131" i="14"/>
  <c r="AX131" i="14"/>
  <c r="AY131" i="14"/>
  <c r="AZ131" i="14"/>
  <c r="BA131" i="14"/>
  <c r="BB131" i="14"/>
  <c r="BC131" i="14"/>
  <c r="BD131" i="14"/>
  <c r="BE131" i="14"/>
  <c r="BF131" i="14"/>
  <c r="BG131" i="14"/>
  <c r="BH131" i="14"/>
  <c r="BI131" i="14"/>
  <c r="BJ131" i="14"/>
  <c r="BK131" i="14"/>
  <c r="BL131" i="14"/>
  <c r="BM131" i="14"/>
  <c r="BN131" i="14"/>
  <c r="BO131" i="14"/>
  <c r="BP131" i="14"/>
  <c r="BQ131" i="14"/>
  <c r="BR131" i="14"/>
  <c r="BS131" i="14"/>
  <c r="BT131" i="14"/>
  <c r="BU131" i="14"/>
  <c r="BV131" i="14"/>
  <c r="BW131" i="14"/>
  <c r="BX131" i="14"/>
  <c r="BY131" i="14"/>
  <c r="BZ131" i="14"/>
  <c r="CA131" i="14"/>
  <c r="CB131" i="14"/>
  <c r="CC131" i="14"/>
  <c r="CD131" i="14"/>
  <c r="CE131" i="14"/>
  <c r="CF131" i="14"/>
  <c r="CG131" i="14"/>
  <c r="CH131" i="14"/>
  <c r="CI131" i="14"/>
  <c r="CJ131" i="14"/>
  <c r="CK131" i="14"/>
  <c r="CL131" i="14"/>
  <c r="CM131" i="14"/>
  <c r="CN131" i="14"/>
  <c r="CO131" i="14"/>
  <c r="CP131" i="14"/>
  <c r="CQ131" i="14"/>
  <c r="CR131" i="14"/>
  <c r="CS131" i="14"/>
  <c r="CT131" i="14"/>
  <c r="CU131" i="14"/>
  <c r="CV131" i="14"/>
  <c r="CW131" i="14"/>
  <c r="CX131" i="14"/>
  <c r="CY131" i="14"/>
  <c r="CZ131" i="14"/>
  <c r="DA131" i="14"/>
  <c r="DB131" i="14"/>
  <c r="DC131" i="14"/>
  <c r="DD131" i="14"/>
  <c r="DE131" i="14"/>
  <c r="DF131" i="14"/>
  <c r="DG131" i="14"/>
  <c r="DH131" i="14"/>
  <c r="DI131" i="14"/>
  <c r="DJ131" i="14"/>
  <c r="DK131" i="14"/>
  <c r="DL131" i="14"/>
  <c r="DM131" i="14"/>
  <c r="DN131" i="14"/>
  <c r="DO131" i="14"/>
  <c r="DP131" i="14"/>
  <c r="DQ131" i="14"/>
  <c r="DR131" i="14"/>
  <c r="DS131" i="14"/>
  <c r="DT131" i="14"/>
  <c r="DU131" i="14"/>
  <c r="DV131" i="14"/>
  <c r="DW131" i="14"/>
  <c r="DX131" i="14"/>
  <c r="DY131" i="14"/>
  <c r="G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W132" i="14"/>
  <c r="X132" i="14"/>
  <c r="Y132" i="14"/>
  <c r="Z132" i="14"/>
  <c r="AA132" i="14"/>
  <c r="AB132" i="14"/>
  <c r="AC132" i="14"/>
  <c r="AD132" i="14"/>
  <c r="AE132" i="14"/>
  <c r="AF132" i="14"/>
  <c r="AG132" i="14"/>
  <c r="AH132" i="14"/>
  <c r="AI132" i="14"/>
  <c r="AJ132" i="14"/>
  <c r="AK132" i="14"/>
  <c r="AL132" i="14"/>
  <c r="AM132" i="14"/>
  <c r="AN132" i="14"/>
  <c r="AO132" i="14"/>
  <c r="AP132" i="14"/>
  <c r="AQ132" i="14"/>
  <c r="AR132" i="14"/>
  <c r="AS132" i="14"/>
  <c r="AT132" i="14"/>
  <c r="AU132" i="14"/>
  <c r="AV132" i="14"/>
  <c r="AW132" i="14"/>
  <c r="AX132" i="14"/>
  <c r="AY132" i="14"/>
  <c r="AZ132" i="14"/>
  <c r="BA132" i="14"/>
  <c r="BB132" i="14"/>
  <c r="BC132" i="14"/>
  <c r="BD132" i="14"/>
  <c r="BE132" i="14"/>
  <c r="BF132" i="14"/>
  <c r="BG132" i="14"/>
  <c r="BH132" i="14"/>
  <c r="BI132" i="14"/>
  <c r="BJ132" i="14"/>
  <c r="BK132" i="14"/>
  <c r="BL132" i="14"/>
  <c r="BM132" i="14"/>
  <c r="BN132" i="14"/>
  <c r="BO132" i="14"/>
  <c r="BP132" i="14"/>
  <c r="BQ132" i="14"/>
  <c r="BR132" i="14"/>
  <c r="BS132" i="14"/>
  <c r="BT132" i="14"/>
  <c r="BU132" i="14"/>
  <c r="BV132" i="14"/>
  <c r="BW132" i="14"/>
  <c r="BX132" i="14"/>
  <c r="BY132" i="14"/>
  <c r="BZ132" i="14"/>
  <c r="CA132" i="14"/>
  <c r="CB132" i="14"/>
  <c r="CC132" i="14"/>
  <c r="CD132" i="14"/>
  <c r="CE132" i="14"/>
  <c r="CF132" i="14"/>
  <c r="CG132" i="14"/>
  <c r="CH132" i="14"/>
  <c r="CI132" i="14"/>
  <c r="CJ132" i="14"/>
  <c r="CK132" i="14"/>
  <c r="CL132" i="14"/>
  <c r="CM132" i="14"/>
  <c r="CN132" i="14"/>
  <c r="CO132" i="14"/>
  <c r="CP132" i="14"/>
  <c r="CQ132" i="14"/>
  <c r="CR132" i="14"/>
  <c r="CS132" i="14"/>
  <c r="CT132" i="14"/>
  <c r="CU132" i="14"/>
  <c r="CV132" i="14"/>
  <c r="CW132" i="14"/>
  <c r="CX132" i="14"/>
  <c r="CY132" i="14"/>
  <c r="CZ132" i="14"/>
  <c r="DA132" i="14"/>
  <c r="DB132" i="14"/>
  <c r="DC132" i="14"/>
  <c r="DD132" i="14"/>
  <c r="DE132" i="14"/>
  <c r="DF132" i="14"/>
  <c r="DG132" i="14"/>
  <c r="DH132" i="14"/>
  <c r="DI132" i="14"/>
  <c r="DJ132" i="14"/>
  <c r="DK132" i="14"/>
  <c r="DL132" i="14"/>
  <c r="DM132" i="14"/>
  <c r="DN132" i="14"/>
  <c r="DO132" i="14"/>
  <c r="DP132" i="14"/>
  <c r="DQ132" i="14"/>
  <c r="DR132" i="14"/>
  <c r="DS132" i="14"/>
  <c r="DT132" i="14"/>
  <c r="DU132" i="14"/>
  <c r="DV132" i="14"/>
  <c r="DW132" i="14"/>
  <c r="DX132" i="14"/>
  <c r="DY132" i="14"/>
  <c r="G133" i="14"/>
  <c r="G134" i="14"/>
  <c r="E135" i="14"/>
  <c r="E136" i="14"/>
  <c r="E138" i="14"/>
  <c r="E139" i="14"/>
  <c r="D141" i="14"/>
  <c r="E141" i="14"/>
  <c r="D142" i="14"/>
  <c r="E142" i="14"/>
  <c r="E6" i="19"/>
  <c r="F6" i="19"/>
  <c r="G6" i="19"/>
  <c r="H6" i="19"/>
  <c r="I6" i="19"/>
  <c r="J6" i="19"/>
  <c r="K6" i="19"/>
  <c r="L6" i="19"/>
  <c r="M6" i="19"/>
  <c r="N6" i="19"/>
  <c r="E8" i="19"/>
  <c r="F8" i="19"/>
  <c r="G8" i="19"/>
  <c r="H8" i="19"/>
  <c r="I8" i="19"/>
  <c r="J8" i="19"/>
  <c r="K8" i="19"/>
  <c r="L8" i="19"/>
  <c r="M8" i="19"/>
  <c r="N8" i="19"/>
  <c r="E10" i="19"/>
  <c r="F10" i="19"/>
  <c r="G10" i="19"/>
  <c r="H10" i="19"/>
  <c r="I10" i="19"/>
  <c r="J10" i="19"/>
  <c r="K10" i="19"/>
  <c r="L10" i="19"/>
  <c r="M10" i="19"/>
  <c r="N10" i="19"/>
  <c r="E13" i="19"/>
  <c r="F13" i="19"/>
  <c r="G13" i="19"/>
  <c r="H13" i="19"/>
  <c r="I13" i="19"/>
  <c r="J13" i="19"/>
  <c r="K13" i="19"/>
  <c r="L13" i="19"/>
  <c r="M13" i="19"/>
  <c r="N13" i="19"/>
  <c r="E14" i="19"/>
  <c r="F14" i="19"/>
  <c r="G14" i="19"/>
  <c r="H14" i="19"/>
  <c r="I14" i="19"/>
  <c r="J14" i="19"/>
  <c r="K14" i="19"/>
  <c r="L14" i="19"/>
  <c r="M14" i="19"/>
  <c r="N14" i="19"/>
  <c r="E16" i="19"/>
  <c r="F16" i="19"/>
  <c r="G16" i="19"/>
  <c r="H16" i="19"/>
  <c r="I16" i="19"/>
  <c r="J16" i="19"/>
  <c r="K16" i="19"/>
  <c r="L16" i="19"/>
  <c r="M16" i="19"/>
  <c r="N16" i="19"/>
  <c r="E19" i="19"/>
  <c r="F19" i="19"/>
  <c r="G19" i="19"/>
  <c r="H19" i="19"/>
  <c r="I19" i="19"/>
  <c r="J19" i="19"/>
  <c r="K19" i="19"/>
  <c r="L19" i="19"/>
  <c r="M19" i="19"/>
  <c r="N19" i="19"/>
  <c r="E20" i="19"/>
  <c r="F20" i="19"/>
  <c r="G20" i="19"/>
  <c r="H20" i="19"/>
  <c r="I20" i="19"/>
  <c r="J20" i="19"/>
  <c r="K20" i="19"/>
  <c r="L20" i="19"/>
  <c r="M20" i="19"/>
  <c r="N20" i="19"/>
  <c r="E22" i="19"/>
  <c r="F22" i="19"/>
  <c r="G22" i="19"/>
  <c r="H22" i="19"/>
  <c r="I22" i="19"/>
  <c r="J22" i="19"/>
  <c r="K22" i="19"/>
  <c r="L22" i="19"/>
  <c r="M22" i="19"/>
  <c r="N22" i="19"/>
  <c r="E23" i="19"/>
  <c r="F23" i="19"/>
  <c r="G23" i="19"/>
  <c r="H23" i="19"/>
  <c r="I23" i="19"/>
  <c r="J23" i="19"/>
  <c r="K23" i="19"/>
  <c r="L23" i="19"/>
  <c r="M23" i="19"/>
  <c r="N23" i="19"/>
  <c r="E24" i="19"/>
  <c r="F24" i="19"/>
  <c r="G24" i="19"/>
  <c r="H24" i="19"/>
  <c r="I24" i="19"/>
  <c r="J24" i="19"/>
  <c r="K24" i="19"/>
  <c r="L24" i="19"/>
  <c r="M24" i="19"/>
  <c r="N24" i="19"/>
  <c r="E27" i="19"/>
  <c r="F27" i="19"/>
  <c r="G27" i="19"/>
  <c r="H27" i="19"/>
  <c r="I27" i="19"/>
  <c r="J27" i="19"/>
  <c r="K27" i="19"/>
  <c r="L27" i="19"/>
  <c r="M27" i="19"/>
  <c r="N27" i="19"/>
  <c r="C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R23" i="28"/>
  <c r="C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R25" i="28"/>
  <c r="C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R27" i="28"/>
  <c r="R29" i="28"/>
  <c r="D81" i="45"/>
  <c r="E81" i="45"/>
  <c r="F81" i="45"/>
  <c r="G81" i="45"/>
  <c r="H81" i="45"/>
  <c r="I81" i="45"/>
  <c r="J81" i="45"/>
  <c r="K81" i="45"/>
  <c r="L81" i="45"/>
  <c r="M81" i="45"/>
  <c r="D7" i="40"/>
  <c r="G17" i="40"/>
  <c r="H17" i="40"/>
  <c r="G18" i="40"/>
  <c r="H18" i="40"/>
  <c r="G19" i="40"/>
  <c r="H19" i="40"/>
  <c r="G20" i="40"/>
  <c r="H20" i="40"/>
  <c r="I20" i="40"/>
  <c r="J20" i="40"/>
  <c r="K20" i="40"/>
  <c r="L20" i="40"/>
  <c r="M20" i="40"/>
  <c r="N20" i="40"/>
  <c r="O20" i="40"/>
  <c r="P20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H26" i="40"/>
  <c r="I26" i="40"/>
  <c r="J26" i="40"/>
  <c r="K26" i="40"/>
  <c r="L26" i="40"/>
  <c r="M26" i="40"/>
  <c r="N26" i="40"/>
  <c r="O26" i="40"/>
  <c r="P26" i="40"/>
  <c r="G28" i="40"/>
  <c r="H28" i="40"/>
  <c r="I28" i="40"/>
  <c r="J28" i="40"/>
  <c r="K28" i="40"/>
  <c r="L28" i="40"/>
  <c r="M28" i="40"/>
  <c r="N28" i="40"/>
  <c r="O28" i="40"/>
  <c r="P28" i="40"/>
  <c r="G32" i="40"/>
  <c r="H32" i="40"/>
  <c r="I32" i="40"/>
  <c r="J32" i="40"/>
  <c r="K32" i="40"/>
  <c r="L32" i="40"/>
  <c r="M32" i="40"/>
  <c r="N32" i="40"/>
  <c r="O32" i="40"/>
  <c r="P32" i="40"/>
  <c r="G34" i="40"/>
  <c r="H34" i="40"/>
  <c r="I34" i="40"/>
  <c r="J34" i="40"/>
  <c r="K34" i="40"/>
  <c r="L34" i="40"/>
  <c r="M34" i="40"/>
  <c r="N34" i="40"/>
  <c r="O34" i="40"/>
  <c r="P34" i="40"/>
  <c r="H36" i="40"/>
  <c r="I36" i="40"/>
  <c r="J36" i="40"/>
  <c r="K36" i="40"/>
  <c r="L36" i="40"/>
  <c r="M36" i="40"/>
  <c r="N36" i="40"/>
  <c r="O36" i="40"/>
  <c r="P36" i="40"/>
  <c r="H37" i="40"/>
  <c r="I37" i="40"/>
  <c r="J37" i="40"/>
  <c r="K37" i="40"/>
  <c r="L37" i="40"/>
  <c r="M37" i="40"/>
  <c r="N37" i="40"/>
  <c r="O37" i="40"/>
  <c r="P37" i="40"/>
  <c r="H39" i="40"/>
  <c r="I39" i="40"/>
  <c r="J39" i="40"/>
  <c r="K39" i="40"/>
  <c r="L39" i="40"/>
  <c r="M39" i="40"/>
  <c r="N39" i="40"/>
  <c r="O39" i="40"/>
  <c r="P39" i="40"/>
  <c r="H43" i="40"/>
  <c r="I43" i="40"/>
  <c r="J43" i="40"/>
  <c r="K43" i="40"/>
  <c r="L43" i="40"/>
  <c r="M43" i="40"/>
  <c r="N43" i="40"/>
  <c r="O43" i="40"/>
  <c r="P43" i="40"/>
  <c r="H44" i="40"/>
  <c r="I44" i="40"/>
  <c r="J44" i="40"/>
  <c r="K44" i="40"/>
  <c r="L44" i="40"/>
  <c r="M44" i="40"/>
  <c r="N44" i="40"/>
  <c r="O44" i="40"/>
  <c r="P44" i="40"/>
  <c r="J29" i="16"/>
  <c r="K29" i="16"/>
  <c r="L29" i="16"/>
  <c r="O29" i="16"/>
  <c r="F5" i="39"/>
  <c r="F7" i="39"/>
  <c r="C12" i="39"/>
  <c r="C14" i="39"/>
  <c r="E15" i="39"/>
  <c r="C6" i="37"/>
  <c r="C8" i="37"/>
  <c r="C11" i="37"/>
  <c r="F91" i="48"/>
  <c r="G91" i="48"/>
  <c r="F93" i="48"/>
  <c r="H93" i="48"/>
  <c r="I93" i="48"/>
  <c r="M95" i="48"/>
  <c r="O95" i="48"/>
  <c r="M96" i="48"/>
  <c r="O96" i="48"/>
  <c r="M97" i="48"/>
  <c r="B20" i="27"/>
  <c r="F20" i="27"/>
  <c r="B21" i="27"/>
  <c r="F22" i="27"/>
  <c r="B23" i="27"/>
  <c r="C23" i="27"/>
  <c r="B26" i="27"/>
  <c r="F26" i="27"/>
  <c r="B27" i="27"/>
  <c r="F28" i="27"/>
  <c r="B29" i="27"/>
  <c r="C29" i="27"/>
  <c r="B32" i="27"/>
  <c r="F32" i="27"/>
  <c r="B33" i="27"/>
  <c r="F34" i="27"/>
  <c r="B35" i="27"/>
  <c r="C35" i="27"/>
  <c r="B38" i="27"/>
  <c r="B39" i="27"/>
  <c r="B41" i="27"/>
  <c r="C41" i="27"/>
  <c r="B44" i="27"/>
  <c r="B45" i="27"/>
  <c r="B47" i="27"/>
  <c r="C47" i="27"/>
  <c r="B50" i="27"/>
  <c r="B51" i="27"/>
  <c r="B5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Stranix</author>
    <author>Ean Weaver</author>
  </authors>
  <commentList>
    <comment ref="H6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Chris Stranix:</t>
        </r>
        <r>
          <rPr>
            <sz val="9"/>
            <color indexed="81"/>
            <rFont val="Tahoma"/>
            <family val="2"/>
          </rPr>
          <t xml:space="preserve">
35% utlization, $60 per unit / mo</t>
        </r>
      </text>
    </comment>
    <comment ref="J66" authorId="1" shapeId="0" xr:uid="{69EC8184-D9E5-407B-83AC-A1CAB5C5FF68}">
      <text>
        <r>
          <rPr>
            <b/>
            <sz val="9"/>
            <color indexed="81"/>
            <rFont val="Tahoma"/>
            <family val="2"/>
          </rPr>
          <t>Ean Weaver:</t>
        </r>
        <r>
          <rPr>
            <sz val="9"/>
            <color indexed="81"/>
            <rFont val="Tahoma"/>
            <family val="2"/>
          </rPr>
          <t xml:space="preserve">
Only 23 storage Units </t>
        </r>
      </text>
    </comment>
    <comment ref="H6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Chris Stranix:</t>
        </r>
        <r>
          <rPr>
            <sz val="9"/>
            <color indexed="81"/>
            <rFont val="Tahoma"/>
            <family val="2"/>
          </rPr>
          <t xml:space="preserve">
$50 per month for app fees, late fees, etc. </t>
        </r>
      </text>
    </comment>
    <comment ref="H68" authorId="0" shapeId="0" xr:uid="{33EC307B-750B-4616-8695-14306E0EB787}">
      <text>
        <r>
          <rPr>
            <b/>
            <sz val="9"/>
            <color indexed="81"/>
            <rFont val="Tahoma"/>
            <family val="2"/>
          </rPr>
          <t>Chris Stranix:</t>
        </r>
        <r>
          <rPr>
            <sz val="9"/>
            <color indexed="81"/>
            <rFont val="Tahoma"/>
            <family val="2"/>
          </rPr>
          <t xml:space="preserve">
Assumes $60 for first spot allocated to each unit
</t>
        </r>
      </text>
    </comment>
    <comment ref="H69" authorId="0" shapeId="0" xr:uid="{180B82B4-E074-466F-98BA-376DA2402DA0}">
      <text>
        <r>
          <rPr>
            <b/>
            <sz val="9"/>
            <color indexed="81"/>
            <rFont val="Tahoma"/>
            <family val="2"/>
          </rPr>
          <t>Chris Stranix:</t>
        </r>
        <r>
          <rPr>
            <sz val="9"/>
            <color indexed="81"/>
            <rFont val="Tahoma"/>
            <family val="2"/>
          </rPr>
          <t xml:space="preserve">
Assumes $100 for spots reserved in excess of first spot</t>
        </r>
      </text>
    </comment>
    <comment ref="J7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Chris Stranix:</t>
        </r>
        <r>
          <rPr>
            <sz val="9"/>
            <color indexed="81"/>
            <rFont val="Tahoma"/>
            <family val="2"/>
          </rPr>
          <t xml:space="preserve">
Per 910 8th U/W</t>
        </r>
      </text>
    </comment>
    <comment ref="I82" authorId="1" shapeId="0" xr:uid="{CA7AFF9C-D2B2-4FB5-BD7C-6A37DD4CF56A}">
      <text>
        <r>
          <rPr>
            <b/>
            <sz val="9"/>
            <color indexed="81"/>
            <rFont val="Tahoma"/>
            <family val="2"/>
          </rPr>
          <t>Ean Weaver:</t>
        </r>
        <r>
          <rPr>
            <sz val="9"/>
            <color indexed="81"/>
            <rFont val="Tahoma"/>
            <family val="2"/>
          </rPr>
          <t xml:space="preserve">
$ Unit/Month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Ean Weaver</author>
  </authors>
  <commentList>
    <comment ref="D48" authorId="0" shapeId="0" xr:uid="{88AF6E36-B3FC-41BA-85F2-7B6E97A8CBFA}">
      <text>
        <r>
          <rPr>
            <b/>
            <sz val="9"/>
            <color indexed="81"/>
            <rFont val="Tahoma"/>
            <family val="2"/>
          </rPr>
          <t>Ean Weaver:</t>
        </r>
        <r>
          <rPr>
            <sz val="9"/>
            <color indexed="81"/>
            <rFont val="Tahoma"/>
            <family val="2"/>
          </rPr>
          <t xml:space="preserve">
need formula for lease-up and stabalized occupancy</t>
        </r>
      </text>
    </comment>
  </commentList>
</comments>
</file>

<file path=xl/sharedStrings.xml><?xml version="1.0" encoding="utf-8"?>
<sst xmlns="http://schemas.openxmlformats.org/spreadsheetml/2006/main" count="3500" uniqueCount="1229">
  <si>
    <t>LTC</t>
  </si>
  <si>
    <t>Opening fee</t>
  </si>
  <si>
    <t>Annual Interests</t>
  </si>
  <si>
    <t>Selling Costs</t>
  </si>
  <si>
    <t>Selling Year</t>
  </si>
  <si>
    <t>TOTAL</t>
  </si>
  <si>
    <t>Revenue</t>
  </si>
  <si>
    <t>% of Rev</t>
  </si>
  <si>
    <t>Construction - Soft Costs</t>
  </si>
  <si>
    <t>Total investment acquisition</t>
  </si>
  <si>
    <t xml:space="preserve">Land </t>
  </si>
  <si>
    <t>Total</t>
  </si>
  <si>
    <t>LSF</t>
  </si>
  <si>
    <t>$ / SQFT</t>
  </si>
  <si>
    <t>NAME</t>
  </si>
  <si>
    <t>TYPE</t>
  </si>
  <si>
    <t>Total Budget w/ Loan</t>
  </si>
  <si>
    <t>Profit</t>
  </si>
  <si>
    <t>IRR</t>
  </si>
  <si>
    <t>EQMx</t>
  </si>
  <si>
    <t>Soft Costs</t>
  </si>
  <si>
    <t>Hard Costs</t>
  </si>
  <si>
    <t>Dev Costs / SF</t>
  </si>
  <si>
    <t>Type</t>
  </si>
  <si>
    <t>Commissions</t>
  </si>
  <si>
    <t>Commissions (%)</t>
  </si>
  <si>
    <t>Exit Cap Rate</t>
  </si>
  <si>
    <t>Gross Rental Income</t>
  </si>
  <si>
    <t>Rent Concessions</t>
  </si>
  <si>
    <t>Operating Income</t>
  </si>
  <si>
    <t>Capital Reserve</t>
  </si>
  <si>
    <t>Rent Escalator</t>
  </si>
  <si>
    <t>Annual Expense Increase</t>
  </si>
  <si>
    <t>Net Revenue</t>
  </si>
  <si>
    <t>Operating Cash flow</t>
  </si>
  <si>
    <t>% of Tot.</t>
  </si>
  <si>
    <t>Detail</t>
  </si>
  <si>
    <t>Amount</t>
  </si>
  <si>
    <t>Architect / Engineer</t>
  </si>
  <si>
    <t>Developer Fee</t>
  </si>
  <si>
    <t>Other Soft Costs</t>
  </si>
  <si>
    <t>Start</t>
  </si>
  <si>
    <t>End</t>
  </si>
  <si>
    <t>Land</t>
  </si>
  <si>
    <t>Construction Costs + Contingency</t>
  </si>
  <si>
    <t>Soft Costs + Contingency</t>
  </si>
  <si>
    <t>TI</t>
  </si>
  <si>
    <t>LC</t>
  </si>
  <si>
    <t>Total before Interest</t>
  </si>
  <si>
    <t>Financing Costs</t>
  </si>
  <si>
    <t>Const. Interest Reserve</t>
  </si>
  <si>
    <t>Op Inc Loss</t>
  </si>
  <si>
    <t>Total Costs</t>
  </si>
  <si>
    <t>Stab. Interest Exp</t>
  </si>
  <si>
    <t>Costs + Stab Interest</t>
  </si>
  <si>
    <t>Construction Contingency</t>
  </si>
  <si>
    <t>$/SF</t>
  </si>
  <si>
    <t>SF</t>
  </si>
  <si>
    <t>ACRES</t>
  </si>
  <si>
    <t>Construction - Hard Costs</t>
  </si>
  <si>
    <t>SUMMARY</t>
  </si>
  <si>
    <t>DATE</t>
  </si>
  <si>
    <t>STABILIZED SALE</t>
  </si>
  <si>
    <t>$ / LSQFT</t>
  </si>
  <si>
    <t>Leaseable</t>
  </si>
  <si>
    <t>x</t>
  </si>
  <si>
    <t>Leaseable SF</t>
  </si>
  <si>
    <t>Rent Concessions (Mths)</t>
  </si>
  <si>
    <t>Amortization</t>
  </si>
  <si>
    <t>EQUITY</t>
  </si>
  <si>
    <t>LOAN</t>
  </si>
  <si>
    <t>LTV</t>
  </si>
  <si>
    <t>Cap Rate</t>
  </si>
  <si>
    <t>Valuation</t>
  </si>
  <si>
    <t>Equity</t>
  </si>
  <si>
    <t>Debt</t>
  </si>
  <si>
    <t>Capital Reserves (PSF)</t>
  </si>
  <si>
    <t>Open Yr</t>
  </si>
  <si>
    <t>Construction Financing</t>
  </si>
  <si>
    <t>Lease Commissions</t>
  </si>
  <si>
    <t>Interest</t>
  </si>
  <si>
    <t>Debt Details</t>
  </si>
  <si>
    <t>Paydown</t>
  </si>
  <si>
    <t>Interior Built SF</t>
  </si>
  <si>
    <t>Unit Size</t>
  </si>
  <si>
    <t>Unit Count</t>
  </si>
  <si>
    <t>Op Exp  ($ / Unit)</t>
  </si>
  <si>
    <t>Marketing</t>
  </si>
  <si>
    <t>Insurance</t>
  </si>
  <si>
    <t>Taxes</t>
  </si>
  <si>
    <t>Yr -1 Op Inc Loss</t>
  </si>
  <si>
    <t>Occupancy</t>
  </si>
  <si>
    <t>Sources &amp; Uses</t>
  </si>
  <si>
    <t>Real Estate Taxes</t>
  </si>
  <si>
    <t>TI / SF</t>
  </si>
  <si>
    <t>Project Manager</t>
  </si>
  <si>
    <t>Count</t>
  </si>
  <si>
    <t>Total SF</t>
  </si>
  <si>
    <t>Total Soft Costs</t>
  </si>
  <si>
    <t>Hurdle Rate</t>
  </si>
  <si>
    <t>Outside Investor</t>
  </si>
  <si>
    <t>Sponsor Investors</t>
  </si>
  <si>
    <t>Sponsor</t>
  </si>
  <si>
    <t>(up to)</t>
  </si>
  <si>
    <t>Pro Rata</t>
  </si>
  <si>
    <t>Promote</t>
  </si>
  <si>
    <t>1.  Preferred Return</t>
  </si>
  <si>
    <t>2.  First Tier</t>
  </si>
  <si>
    <t>3.  Second Tier</t>
  </si>
  <si>
    <t>4.  Third Tier</t>
  </si>
  <si>
    <t>Initial</t>
  </si>
  <si>
    <t>Leveraged Cash Flows</t>
  </si>
  <si>
    <t>Equity Draws</t>
  </si>
  <si>
    <t>Remaining Cash Flow</t>
  </si>
  <si>
    <t>TOTAL NET CASH FLOWS</t>
  </si>
  <si>
    <t>Subtotal</t>
  </si>
  <si>
    <t>Sponsor Total</t>
  </si>
  <si>
    <t>Outside Investor IRR</t>
  </si>
  <si>
    <t>ROI Multiple on Equity Investment</t>
  </si>
  <si>
    <t>Total Promote</t>
  </si>
  <si>
    <t>Deal IRR</t>
  </si>
  <si>
    <t>Deal-Level  ROI Multiple</t>
  </si>
  <si>
    <t>Promote to Landowner</t>
  </si>
  <si>
    <t>CAPITAL DISTRIBUTIONS:</t>
  </si>
  <si>
    <t>Beginning Balance</t>
  </si>
  <si>
    <t>Accrual</t>
  </si>
  <si>
    <t>Preferred Return</t>
  </si>
  <si>
    <t>Ending Balance</t>
  </si>
  <si>
    <t>Check</t>
  </si>
  <si>
    <t>Preferred Return Paid</t>
  </si>
  <si>
    <t>First Tier Paid</t>
  </si>
  <si>
    <t>Second Tier Paid</t>
  </si>
  <si>
    <t>Equity Waterfall</t>
  </si>
  <si>
    <t>BOP</t>
  </si>
  <si>
    <t>EOP</t>
  </si>
  <si>
    <t>Refinance</t>
  </si>
  <si>
    <t>Sale (incl sales cost)</t>
  </si>
  <si>
    <t>Borrow</t>
  </si>
  <si>
    <t>Monthly Check</t>
  </si>
  <si>
    <t>Property</t>
  </si>
  <si>
    <t>Location</t>
  </si>
  <si>
    <t>Date Sold</t>
  </si>
  <si>
    <t>Year Built</t>
  </si>
  <si>
    <t>Units</t>
  </si>
  <si>
    <t>Avg Unit Size</t>
  </si>
  <si>
    <t>Sales Price</t>
  </si>
  <si>
    <t>Price Per Unit</t>
  </si>
  <si>
    <t>Price PSF</t>
  </si>
  <si>
    <t>Buyer</t>
  </si>
  <si>
    <t>Seller</t>
  </si>
  <si>
    <t>Nashville</t>
  </si>
  <si>
    <t>Pacific Life / Security</t>
  </si>
  <si>
    <t>Alliance Residential</t>
  </si>
  <si>
    <t>N/A</t>
  </si>
  <si>
    <t>MMP</t>
  </si>
  <si>
    <t>MetLife</t>
  </si>
  <si>
    <t>Dinerstein Companies</t>
  </si>
  <si>
    <t>Crescent Communities</t>
  </si>
  <si>
    <t>TriBridge Residential</t>
  </si>
  <si>
    <t>HG Hill Realty JV Southeast Venture</t>
  </si>
  <si>
    <t>Totals / Average</t>
  </si>
  <si>
    <t>Address</t>
  </si>
  <si>
    <t>City, State</t>
  </si>
  <si>
    <t>Nashville, TN</t>
  </si>
  <si>
    <t>Average SF</t>
  </si>
  <si>
    <t>Studio</t>
  </si>
  <si>
    <t>One Bedroom</t>
  </si>
  <si>
    <t>Two Bedroom</t>
  </si>
  <si>
    <t>Average Rent Per Unit</t>
  </si>
  <si>
    <t>Average Rent Per SF</t>
  </si>
  <si>
    <t>Market Rent</t>
  </si>
  <si>
    <t>n/a</t>
  </si>
  <si>
    <t>SQ FT</t>
  </si>
  <si>
    <t>Rent PSF</t>
  </si>
  <si>
    <t>1 bed</t>
  </si>
  <si>
    <t>2 bed</t>
  </si>
  <si>
    <t>Yr1</t>
  </si>
  <si>
    <t>Yr2</t>
  </si>
  <si>
    <t>Yr3</t>
  </si>
  <si>
    <t>Yr4</t>
  </si>
  <si>
    <t>Yr5</t>
  </si>
  <si>
    <t>Yr6</t>
  </si>
  <si>
    <t>Yr7</t>
  </si>
  <si>
    <t>Yr8</t>
  </si>
  <si>
    <t>Yr9</t>
  </si>
  <si>
    <t>Yr10</t>
  </si>
  <si>
    <t>Multi-Family</t>
  </si>
  <si>
    <t>Unit %</t>
  </si>
  <si>
    <t xml:space="preserve">1 bed </t>
  </si>
  <si>
    <t>2 Bed</t>
  </si>
  <si>
    <t>3 Bed</t>
  </si>
  <si>
    <t>Ancillary Fees</t>
  </si>
  <si>
    <t>Annual Amt</t>
  </si>
  <si>
    <t>Utilization</t>
  </si>
  <si>
    <t>Pet Fee</t>
  </si>
  <si>
    <t>CAM</t>
  </si>
  <si>
    <t>Lease Up Costs</t>
  </si>
  <si>
    <t>Bedrooms</t>
  </si>
  <si>
    <t>Sq. Ft.</t>
  </si>
  <si>
    <t>Price</t>
  </si>
  <si>
    <t>Contact:</t>
  </si>
  <si>
    <t>Email:</t>
  </si>
  <si>
    <t>Phone:</t>
  </si>
  <si>
    <t>Traffic:</t>
  </si>
  <si>
    <t>Admin Fee:</t>
  </si>
  <si>
    <t>Parking Fee:</t>
  </si>
  <si>
    <t>Pet Fee:</t>
  </si>
  <si>
    <t>Pet Rent:</t>
  </si>
  <si>
    <t>Specials:</t>
  </si>
  <si>
    <t>Total / Averages</t>
  </si>
  <si>
    <t>Total Rent</t>
  </si>
  <si>
    <t>Last Updated</t>
  </si>
  <si>
    <t># of Units</t>
  </si>
  <si>
    <t>Occupancy:</t>
  </si>
  <si>
    <t xml:space="preserve">Leased %: </t>
  </si>
  <si>
    <t>Application Fee:</t>
  </si>
  <si>
    <t>Security Deposit:</t>
  </si>
  <si>
    <t>Multifamily</t>
  </si>
  <si>
    <t>Gross Leases:</t>
  </si>
  <si>
    <t>Cancels/Denials:</t>
  </si>
  <si>
    <t>Op Ex (Margin)</t>
  </si>
  <si>
    <t>Cost PSF / Mo</t>
  </si>
  <si>
    <t>Amortization Period</t>
  </si>
  <si>
    <t>Misc. Other Income</t>
  </si>
  <si>
    <t>Misc. Other Income / Unit</t>
  </si>
  <si>
    <t>Parking / Unit</t>
  </si>
  <si>
    <t>0x1</t>
  </si>
  <si>
    <t>Net Leases</t>
  </si>
  <si>
    <t>Special:</t>
  </si>
  <si>
    <t>Multifamily Rent Comps</t>
  </si>
  <si>
    <t>Total Market Value</t>
  </si>
  <si>
    <t>Value Per Unit</t>
  </si>
  <si>
    <t>Tax Rate</t>
  </si>
  <si>
    <t>Assesed Value</t>
  </si>
  <si>
    <t>Property Tax Estimate</t>
  </si>
  <si>
    <t>Est. Property Taxes Payable</t>
  </si>
  <si>
    <t>Est. Payable during Constr. Period</t>
  </si>
  <si>
    <t>Est. Valuation Haircut</t>
  </si>
  <si>
    <t>Development Budget Assumptions</t>
  </si>
  <si>
    <t>Cash Flow Assumptions</t>
  </si>
  <si>
    <t>Asset Assumptions</t>
  </si>
  <si>
    <t>Financing Assumptions</t>
  </si>
  <si>
    <t>Expense Assumptions</t>
  </si>
  <si>
    <t>Sale Assumptions</t>
  </si>
  <si>
    <t>Investment Summary</t>
  </si>
  <si>
    <t>Ancillary Fee Assumptions</t>
  </si>
  <si>
    <t>Recap Financing</t>
  </si>
  <si>
    <t>Residential Summary</t>
  </si>
  <si>
    <t>Total Op Exp.</t>
  </si>
  <si>
    <t>Exp. Inc.</t>
  </si>
  <si>
    <t>Escalator</t>
  </si>
  <si>
    <t>Uses</t>
  </si>
  <si>
    <t>Sources</t>
  </si>
  <si>
    <t>Returns</t>
  </si>
  <si>
    <t>Schedule</t>
  </si>
  <si>
    <t xml:space="preserve"> </t>
  </si>
  <si>
    <t>COPY &amp; PASTE INFO INTO CELLS BELOW THIS HEADER</t>
  </si>
  <si>
    <t/>
  </si>
  <si>
    <t>Preliminary</t>
  </si>
  <si>
    <t>CA South Development</t>
  </si>
  <si>
    <t>SF% Allocation</t>
  </si>
  <si>
    <t>MF Unit Mix Assumptions</t>
  </si>
  <si>
    <t>Commercial</t>
  </si>
  <si>
    <t>CATEGORY CODE</t>
  </si>
  <si>
    <t>CATEGORY NAME</t>
  </si>
  <si>
    <t>100</t>
  </si>
  <si>
    <t>Land / Project Purchase</t>
  </si>
  <si>
    <t>110</t>
  </si>
  <si>
    <t>Project Purchase</t>
  </si>
  <si>
    <t>Survey</t>
  </si>
  <si>
    <t>Title</t>
  </si>
  <si>
    <t>Geotechnical</t>
  </si>
  <si>
    <t>Environmental</t>
  </si>
  <si>
    <t>Due Diligence - Other</t>
  </si>
  <si>
    <t>Total Land / Project Purchase</t>
  </si>
  <si>
    <t>Finance</t>
  </si>
  <si>
    <t>Loan Interest</t>
  </si>
  <si>
    <t>Accounting</t>
  </si>
  <si>
    <t>Entity Expenses</t>
  </si>
  <si>
    <t>Operating Expense Loss</t>
  </si>
  <si>
    <t>Financing Fees - Other</t>
  </si>
  <si>
    <t>Total Finance</t>
  </si>
  <si>
    <t>Consultants</t>
  </si>
  <si>
    <t>Architectural</t>
  </si>
  <si>
    <t>Landscape Architecture</t>
  </si>
  <si>
    <t>Interior Design</t>
  </si>
  <si>
    <t>Civil Engineering</t>
  </si>
  <si>
    <t>Project Management / Coordination</t>
  </si>
  <si>
    <t>Consultants - Other</t>
  </si>
  <si>
    <t>Total Consultants</t>
  </si>
  <si>
    <t>Model / Staging</t>
  </si>
  <si>
    <t>Testing / Special Inspections</t>
  </si>
  <si>
    <t>Soft Costs - Other</t>
  </si>
  <si>
    <t>Building Permits / Fees</t>
  </si>
  <si>
    <t>Construction</t>
  </si>
  <si>
    <t>Construction Retainage Holding Account</t>
  </si>
  <si>
    <t>Utilities</t>
  </si>
  <si>
    <t>Signage / Graphics</t>
  </si>
  <si>
    <t>AV / Security</t>
  </si>
  <si>
    <t>Tenant Improvements</t>
  </si>
  <si>
    <t>Hard Costs - Other</t>
  </si>
  <si>
    <t>Total Hard Costs</t>
  </si>
  <si>
    <t>Other Hard Costs</t>
  </si>
  <si>
    <t>$ / Unit</t>
  </si>
  <si>
    <t>GSF Residential</t>
  </si>
  <si>
    <t>Total Gross SF</t>
  </si>
  <si>
    <t>Total Leasable SF</t>
  </si>
  <si>
    <t>Garage SF</t>
  </si>
  <si>
    <t>Garage Spaces</t>
  </si>
  <si>
    <t>Garage</t>
  </si>
  <si>
    <t>Parking - Reserved</t>
  </si>
  <si>
    <t>Parking - First Spot</t>
  </si>
  <si>
    <t>Monthly Op Exp ($ / SF)</t>
  </si>
  <si>
    <t>Annual Op Exp  ($ / SF)</t>
  </si>
  <si>
    <t>1</t>
  </si>
  <si>
    <t>2</t>
  </si>
  <si>
    <t>Unit Type</t>
  </si>
  <si>
    <t>Build Tools COA</t>
  </si>
  <si>
    <t>Development Budget</t>
  </si>
  <si>
    <t>Total Sources &amp; Uses</t>
  </si>
  <si>
    <t>Amenity / Unleaseable Space</t>
  </si>
  <si>
    <t>Market Rents</t>
  </si>
  <si>
    <t>Land SF</t>
  </si>
  <si>
    <t>FF&amp;E</t>
  </si>
  <si>
    <t>Amenity Area</t>
  </si>
  <si>
    <t>YIELDSTAR PRICING</t>
  </si>
  <si>
    <t>Loan Origination Fee</t>
  </si>
  <si>
    <t xml:space="preserve"> / Unit</t>
  </si>
  <si>
    <t xml:space="preserve">Debt Placement Fee </t>
  </si>
  <si>
    <t>Appraisal</t>
  </si>
  <si>
    <t>Station 40</t>
  </si>
  <si>
    <t>Retail Area</t>
  </si>
  <si>
    <t>Acquisition Fee</t>
  </si>
  <si>
    <t>Broker Fee</t>
  </si>
  <si>
    <t>Transfer Taxes</t>
  </si>
  <si>
    <t>Realty transfer tax:  $0.37 per $100 of purchase price for the realty transfer; Mortgage tax:  $0.115 per $100 of indebtedness.  (The first $2,000 of the debt is exempt from taxation.)</t>
  </si>
  <si>
    <t>Notes:</t>
  </si>
  <si>
    <t>Taxes per Unit</t>
  </si>
  <si>
    <t>200 Madison</t>
  </si>
  <si>
    <t>G.W Williams</t>
  </si>
  <si>
    <t>Delray Ventures</t>
  </si>
  <si>
    <t>Nicol Investment</t>
  </si>
  <si>
    <t>Operating Cash Flow (Pre-Lease Up Costs)</t>
  </si>
  <si>
    <t>Unlevered Cash Flows</t>
  </si>
  <si>
    <t xml:space="preserve">Unlevered IRR </t>
  </si>
  <si>
    <t>Unlevered EQM</t>
  </si>
  <si>
    <t>Capital Sources:</t>
  </si>
  <si>
    <t xml:space="preserve">Levered IRR </t>
  </si>
  <si>
    <t>Levered EQM</t>
  </si>
  <si>
    <t>Construction Period</t>
  </si>
  <si>
    <t>Exit</t>
  </si>
  <si>
    <t>% Total</t>
  </si>
  <si>
    <t>Total Sources</t>
  </si>
  <si>
    <t>Stabilized Occupancy</t>
  </si>
  <si>
    <t xml:space="preserve">Projected 2028 Taxes </t>
  </si>
  <si>
    <t>2021 Tax Rate w/2% increase each consecutive Year</t>
  </si>
  <si>
    <t>Assessment</t>
  </si>
  <si>
    <t>1/1/2028 Projected Appraised</t>
  </si>
  <si>
    <t xml:space="preserve">Projected 2027 Taxes </t>
  </si>
  <si>
    <t>2021 Tax Rate w/2% increase each subsequent year</t>
  </si>
  <si>
    <t>1/1/2027 Projected Appraised</t>
  </si>
  <si>
    <t xml:space="preserve">Projected 2026 Taxes </t>
  </si>
  <si>
    <t>1/1/2026 Projected Appraised</t>
  </si>
  <si>
    <t xml:space="preserve">Projected 2025 Taxes </t>
  </si>
  <si>
    <t>1/1/2025 Projected Appraised</t>
  </si>
  <si>
    <t xml:space="preserve">Projected 2024 Taxes </t>
  </si>
  <si>
    <t>1/1/2024 Projected Appraised</t>
  </si>
  <si>
    <t xml:space="preserve">Projected 2023 Taxes </t>
  </si>
  <si>
    <t>1/1/2023 Projected Appraised</t>
  </si>
  <si>
    <t xml:space="preserve">Projected 2022 Taxes </t>
  </si>
  <si>
    <t>2021 Tax Rate w/2% increase</t>
  </si>
  <si>
    <t>1/1/2022 Projected Appraised</t>
  </si>
  <si>
    <t>2021 Taxes</t>
  </si>
  <si>
    <t>CA South</t>
  </si>
  <si>
    <t>Parcels</t>
  </si>
  <si>
    <t>Parcel #</t>
  </si>
  <si>
    <t>2021 Cert Value</t>
  </si>
  <si>
    <t>Acres</t>
  </si>
  <si>
    <t>County</t>
  </si>
  <si>
    <t>Multiuse</t>
  </si>
  <si>
    <t>City</t>
  </si>
  <si>
    <t>CBID</t>
  </si>
  <si>
    <t>Assessor Land Value PSF</t>
  </si>
  <si>
    <t>Purchase Price</t>
  </si>
  <si>
    <t>Land PP</t>
  </si>
  <si>
    <t>Purchase Price PSF</t>
  </si>
  <si>
    <t>Taxes due Feb 2022</t>
  </si>
  <si>
    <t>Date Construction Begins 1/1/2022</t>
  </si>
  <si>
    <t>Land only</t>
  </si>
  <si>
    <t>Land at Certified Value</t>
  </si>
  <si>
    <t>Taxes due Feb 2023</t>
  </si>
  <si>
    <t>70% Complete 1/1/2023</t>
  </si>
  <si>
    <t>50% Hard Costs @ 70% Completion</t>
  </si>
  <si>
    <t>Taxes due Feb 2024</t>
  </si>
  <si>
    <t>94% Complete 1/1/2024 (ONLY TI Remains)</t>
  </si>
  <si>
    <t>100% Hard Costs - due to statute</t>
  </si>
  <si>
    <t>Taxes due Feb 2025</t>
  </si>
  <si>
    <t>100 % Complete 1/1/2025</t>
  </si>
  <si>
    <t>Hard Costs @ 100% Completion</t>
  </si>
  <si>
    <t>Reappraisal year</t>
  </si>
  <si>
    <t>Land - Assumed 10% Increase for Reappraisal Year</t>
  </si>
  <si>
    <t>Taxes due Feb 2026</t>
  </si>
  <si>
    <t>Taxes due Feb 2027</t>
  </si>
  <si>
    <t>Taxes due Feb 2028</t>
  </si>
  <si>
    <t>Taxes due Feb 2029</t>
  </si>
  <si>
    <t>% EST.</t>
  </si>
  <si>
    <t>Leasing Office</t>
  </si>
  <si>
    <t>Business Lounge</t>
  </si>
  <si>
    <t xml:space="preserve">Fitness </t>
  </si>
  <si>
    <t>Pet Washing Area</t>
  </si>
  <si>
    <t>Pool Deck Area</t>
  </si>
  <si>
    <t>Window Treatments</t>
  </si>
  <si>
    <t>Corridor Art</t>
  </si>
  <si>
    <t>Total Project Budget</t>
  </si>
  <si>
    <t>Janitorial/Storage</t>
  </si>
  <si>
    <t>Lobby</t>
  </si>
  <si>
    <t>INPUTS: Operating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</si>
  <si>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</si>
  <si>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</si>
  <si>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</si>
  <si>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</si>
  <si>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</si>
  <si>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</si>
  <si>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</si>
  <si>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</si>
  <si>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</si>
  <si>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</si>
  <si>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</si>
  <si>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</si>
  <si>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CONTROLLABLE EXPENSES</t>
  </si>
  <si>
    <t>ANNUAL PER UNIT</t>
  </si>
  <si>
    <t>Personnel</t>
  </si>
  <si>
    <t xml:space="preserve">     TOTAL CONTROLLABLE EXPENSES</t>
  </si>
  <si>
    <t>UNCONTROLLABLE EXPENSES</t>
  </si>
  <si>
    <t>Management Fee</t>
  </si>
  <si>
    <t xml:space="preserve">     TOTAL EXPENSES</t>
  </si>
  <si>
    <t>Summary</t>
  </si>
  <si>
    <t>Total Units</t>
  </si>
  <si>
    <t>Total LSF</t>
  </si>
  <si>
    <t>Avg. SF / Unit</t>
  </si>
  <si>
    <t>Unleaseable Area</t>
  </si>
  <si>
    <t>Int Res (Ramp Mths)</t>
  </si>
  <si>
    <r>
      <t xml:space="preserve">     </t>
    </r>
    <r>
      <rPr>
        <b/>
        <sz val="10"/>
        <rFont val="Overpass"/>
      </rPr>
      <t>Total</t>
    </r>
  </si>
  <si>
    <t>$ Var.</t>
  </si>
  <si>
    <t>% Var.</t>
  </si>
  <si>
    <t>Notes/Comments</t>
  </si>
  <si>
    <t>Developer Fee - CAS</t>
  </si>
  <si>
    <t>Exit Assumptions</t>
  </si>
  <si>
    <t>Terminal Value</t>
  </si>
  <si>
    <t>(1) Assumes end-of-year sale</t>
  </si>
  <si>
    <t>Rent/Unit</t>
  </si>
  <si>
    <r>
      <t>Total Development Costs</t>
    </r>
    <r>
      <rPr>
        <vertAlign val="superscript"/>
        <sz val="11"/>
        <rFont val="Overpass"/>
      </rPr>
      <t>(2)</t>
    </r>
  </si>
  <si>
    <r>
      <t>Exit Year</t>
    </r>
    <r>
      <rPr>
        <vertAlign val="superscript"/>
        <sz val="11"/>
        <rFont val="Overpass"/>
      </rPr>
      <t>(1)</t>
    </r>
  </si>
  <si>
    <t>LP Equity</t>
  </si>
  <si>
    <t>GP / Sponsor Equity</t>
  </si>
  <si>
    <t>Name</t>
  </si>
  <si>
    <t>Leasable / Saleable SF</t>
  </si>
  <si>
    <t>Asset Class</t>
  </si>
  <si>
    <t>Asset Disposition</t>
  </si>
  <si>
    <t>Stabilized Sale</t>
  </si>
  <si>
    <t>Lease-Up Costs</t>
  </si>
  <si>
    <t>LSF %</t>
  </si>
  <si>
    <t>Rent/LSF</t>
  </si>
  <si>
    <t>Rent/Bedroom</t>
  </si>
  <si>
    <t>Comp Avg.</t>
  </si>
  <si>
    <t>Size - LSF</t>
  </si>
  <si>
    <t>Lease-Up Period</t>
  </si>
  <si>
    <t>Project Un-Levered</t>
  </si>
  <si>
    <t>Project Levered</t>
  </si>
  <si>
    <t>Limited Partner</t>
  </si>
  <si>
    <t>General Partner</t>
  </si>
  <si>
    <t>Gross Annual Rent</t>
  </si>
  <si>
    <t>$/LSF</t>
  </si>
  <si>
    <t>Residential Program Summary</t>
  </si>
  <si>
    <t>Leased SF</t>
  </si>
  <si>
    <t>Rent PSF / Mo</t>
  </si>
  <si>
    <t>Dur.</t>
  </si>
  <si>
    <t>Phase 1</t>
  </si>
  <si>
    <t>Phase 2</t>
  </si>
  <si>
    <t>Phase 1 Development Costs</t>
  </si>
  <si>
    <t>Phase 2 Development Costs</t>
  </si>
  <si>
    <t>Budget</t>
  </si>
  <si>
    <t>Equity %</t>
  </si>
  <si>
    <t>Equity $</t>
  </si>
  <si>
    <t>Monthly Cash Flow</t>
  </si>
  <si>
    <t>Loan Fees</t>
  </si>
  <si>
    <t>Occ - Multi-Family</t>
  </si>
  <si>
    <t>Occ - Commercial</t>
  </si>
  <si>
    <t>Occ - Ancillary Fees</t>
  </si>
  <si>
    <t>Rent/Occupancy  Assumptions</t>
  </si>
  <si>
    <t>Lease-up %</t>
  </si>
  <si>
    <t>Project Costs Phase 1:</t>
  </si>
  <si>
    <t>Project Costs Phase 2:</t>
  </si>
  <si>
    <t>Project Costs Combined:</t>
  </si>
  <si>
    <t xml:space="preserve">Equity Ph.1 </t>
  </si>
  <si>
    <t>Equity Ph.2</t>
  </si>
  <si>
    <t>Construction Debt Ph. 1</t>
  </si>
  <si>
    <t>Exit Date</t>
  </si>
  <si>
    <t>Total Operating Expenses</t>
  </si>
  <si>
    <t>Occ - Multi-Family Ph.1</t>
  </si>
  <si>
    <t>Occ - Multi-Family Ph.2</t>
  </si>
  <si>
    <t>PSF - Multi-Family Ph.1</t>
  </si>
  <si>
    <t>PSF - Multi-Family Ph.2</t>
  </si>
  <si>
    <t>Revenue - Multi-Family Ph.1</t>
  </si>
  <si>
    <t>Revenue - Multi-Family Ph.2</t>
  </si>
  <si>
    <t>Construction Debt Ph. 2</t>
  </si>
  <si>
    <t>Total Equity</t>
  </si>
  <si>
    <t>Total Project Costs</t>
  </si>
  <si>
    <t>Refi - Date</t>
  </si>
  <si>
    <t xml:space="preserve">Op Exp - Multi-Family Ph.1 </t>
  </si>
  <si>
    <t>Op Exp - Multi-Family Ph. 2</t>
  </si>
  <si>
    <t>Soft Costs (Excl. D/S)</t>
  </si>
  <si>
    <t>Annual Cash Flow</t>
  </si>
  <si>
    <t>Loan Fee</t>
  </si>
  <si>
    <t>Dev Fess</t>
  </si>
  <si>
    <t>Dev Fees</t>
  </si>
  <si>
    <t>Key for CF</t>
  </si>
  <si>
    <t>Total Development Costs</t>
  </si>
  <si>
    <t>Bed/Unit</t>
  </si>
  <si>
    <t>From Monthly CF</t>
  </si>
  <si>
    <t>Equity Source</t>
  </si>
  <si>
    <t>DSCR</t>
  </si>
  <si>
    <t>Construction Loan D/S</t>
  </si>
  <si>
    <t>Trended Sale / Unit</t>
  </si>
  <si>
    <t>Trended Price/SF</t>
  </si>
  <si>
    <t>Sensitivity Analysis: Leveraged IRR</t>
  </si>
  <si>
    <t>Purchase 
Price $/SF</t>
  </si>
  <si>
    <t>Increments - Row</t>
  </si>
  <si>
    <t>Increments - Column</t>
  </si>
  <si>
    <t>&lt;--- IRR Check</t>
  </si>
  <si>
    <t>Leveraged Cash Flows (Linked to Monthly CF)</t>
  </si>
  <si>
    <t>Total Budget</t>
  </si>
  <si>
    <t>Level</t>
  </si>
  <si>
    <t>Area</t>
  </si>
  <si>
    <t>ID</t>
  </si>
  <si>
    <t>LEVEL 1</t>
  </si>
  <si>
    <t>ELEC</t>
  </si>
  <si>
    <t>Unleaseble</t>
  </si>
  <si>
    <t>ELEV</t>
  </si>
  <si>
    <t>LOBBY</t>
  </si>
  <si>
    <t>1BR</t>
  </si>
  <si>
    <t>PUMP &amp; RISER ROOM</t>
  </si>
  <si>
    <t>2BR</t>
  </si>
  <si>
    <t>RETAIL AREA</t>
  </si>
  <si>
    <t>Retail</t>
  </si>
  <si>
    <t>3BR</t>
  </si>
  <si>
    <t>STAIR 1</t>
  </si>
  <si>
    <t>Amenity</t>
  </si>
  <si>
    <t>STAIR 2</t>
  </si>
  <si>
    <t>TRASH CHUTE 2</t>
  </si>
  <si>
    <t>Common</t>
  </si>
  <si>
    <t>TRASH ROOM</t>
  </si>
  <si>
    <t>LEVEL 2</t>
  </si>
  <si>
    <t>A</t>
  </si>
  <si>
    <t>B</t>
  </si>
  <si>
    <t>Total GSF</t>
  </si>
  <si>
    <t>C</t>
  </si>
  <si>
    <t>CLUBHOUSE</t>
  </si>
  <si>
    <t>COMMON AREA</t>
  </si>
  <si>
    <t>D</t>
  </si>
  <si>
    <t>FITNESS</t>
  </si>
  <si>
    <t>LEVEL 3</t>
  </si>
  <si>
    <t>LEVEL 4</t>
  </si>
  <si>
    <t>LEVEL 5</t>
  </si>
  <si>
    <t>LEVEL 6</t>
  </si>
  <si>
    <t>Annual Growth Rate</t>
  </si>
  <si>
    <t>Exit Year</t>
  </si>
  <si>
    <t>Commercial Summary</t>
  </si>
  <si>
    <t>Operating Cash Flow - Commercial</t>
  </si>
  <si>
    <t>Operating Cash flow - Residential</t>
  </si>
  <si>
    <t>Residential</t>
  </si>
  <si>
    <t>Interest Post Reserve</t>
  </si>
  <si>
    <t>Residential Operations</t>
  </si>
  <si>
    <t>Commercial Operations</t>
  </si>
  <si>
    <t>$/Unit</t>
  </si>
  <si>
    <t>1) Sales price and SF net of commercial Component</t>
  </si>
  <si>
    <t>&lt;--- Profit Margin</t>
  </si>
  <si>
    <t>Knox at MetroCenter</t>
  </si>
  <si>
    <t>The Duke</t>
  </si>
  <si>
    <t>Novel West Nashville</t>
  </si>
  <si>
    <t>Flats at Silo Bend</t>
  </si>
  <si>
    <t>Millennium Music Row</t>
  </si>
  <si>
    <t>Summit West Nashville</t>
  </si>
  <si>
    <t>Stacks on Main</t>
  </si>
  <si>
    <t>Camden Music Row</t>
  </si>
  <si>
    <t>Atlas Germantown</t>
  </si>
  <si>
    <t>Tapestry at Brentwood Town Center</t>
  </si>
  <si>
    <t>Village Green Hills</t>
  </si>
  <si>
    <t>Franklin</t>
  </si>
  <si>
    <t>Brentwood</t>
  </si>
  <si>
    <t>1910/2015</t>
  </si>
  <si>
    <t>Land Loan / Carry Costs</t>
  </si>
  <si>
    <t xml:space="preserve">Allowance </t>
  </si>
  <si>
    <t>Est Cost for model unit staging</t>
  </si>
  <si>
    <t>Soft cost contingency</t>
  </si>
  <si>
    <t>LC Sobro</t>
  </si>
  <si>
    <t>The Octave</t>
  </si>
  <si>
    <t>Crossroads at the Gulch</t>
  </si>
  <si>
    <t>1425 4th Avenue South</t>
  </si>
  <si>
    <t>Common Area / Courtyard</t>
  </si>
  <si>
    <t>Revenue - Ancillary Fees</t>
  </si>
  <si>
    <t>Operating Expense Budget</t>
  </si>
  <si>
    <t>Rent Growth at Stabilization</t>
  </si>
  <si>
    <t>Expense Growth at Stabilization</t>
  </si>
  <si>
    <t>(2) Inclusive of lease-up costs &amp; interest reserve</t>
  </si>
  <si>
    <t>Unit Mix Chart</t>
  </si>
  <si>
    <t>1425 4th Ave</t>
  </si>
  <si>
    <t xml:space="preserve">Net Exit Proceeds </t>
  </si>
  <si>
    <t>Stabilized Year</t>
  </si>
  <si>
    <t>Res SF/Unit</t>
  </si>
  <si>
    <t>Total Res SF</t>
  </si>
  <si>
    <t>Balcony SF</t>
  </si>
  <si>
    <t>Gross Balcany SF/Unit</t>
  </si>
  <si>
    <t xml:space="preserve">Studio </t>
  </si>
  <si>
    <t>1-Bedroom</t>
  </si>
  <si>
    <t>1BR (1A)</t>
  </si>
  <si>
    <t>1BR (1B)</t>
  </si>
  <si>
    <t>1BR (1C)</t>
  </si>
  <si>
    <t>2-Bedroom</t>
  </si>
  <si>
    <t>2BR (2A)</t>
  </si>
  <si>
    <t>2BR (2C)</t>
  </si>
  <si>
    <t>2BR (2D)</t>
  </si>
  <si>
    <t>2BR Flex (.5A)</t>
  </si>
  <si>
    <t>3-Bedroom</t>
  </si>
  <si>
    <t>3BR (3A)</t>
  </si>
  <si>
    <t>Lofted Unit</t>
  </si>
  <si>
    <t>Loft (1L)</t>
  </si>
  <si>
    <t>SF/Unit</t>
  </si>
  <si>
    <t>Gross Building SF (Includes Balconies)</t>
  </si>
  <si>
    <t>Gross Building SF (Excludes Balconies)</t>
  </si>
  <si>
    <t>Interior Amenity</t>
  </si>
  <si>
    <t>Outdoor Amenity</t>
  </si>
  <si>
    <t>Rooftop Amnity</t>
  </si>
  <si>
    <t>Mad Dog</t>
  </si>
  <si>
    <t>Charlotte</t>
  </si>
  <si>
    <t>Hard cost</t>
  </si>
  <si>
    <t>$/GSF</t>
  </si>
  <si>
    <t>2-Bedroom Flex</t>
  </si>
  <si>
    <t>2+</t>
  </si>
  <si>
    <t>2 Bed Plus</t>
  </si>
  <si>
    <t>Two Bedroom +</t>
  </si>
  <si>
    <t>2 bed +</t>
  </si>
  <si>
    <t>Storage</t>
  </si>
  <si>
    <t>Term SOFR Forward Curve</t>
  </si>
  <si>
    <t>Spred</t>
  </si>
  <si>
    <t>Total Borrowing Cost</t>
  </si>
  <si>
    <t>Total Borrowing Cost %</t>
  </si>
  <si>
    <t>Date</t>
  </si>
  <si>
    <t>Elliston 23</t>
  </si>
  <si>
    <t>Midtown Apartments</t>
  </si>
  <si>
    <t>12South Flats</t>
  </si>
  <si>
    <t>The Sobro</t>
  </si>
  <si>
    <t>The Harper Apartments</t>
  </si>
  <si>
    <t>Banner Lofts on 3rd (3)</t>
  </si>
  <si>
    <t>Avenida Cool Springs (4)</t>
  </si>
  <si>
    <t>NA</t>
  </si>
  <si>
    <t>3) Banner lofts development is a short-term rental property</t>
  </si>
  <si>
    <t>4) Avenida Cool Springs is a 55+ adult community</t>
  </si>
  <si>
    <t>2) Comps adjusted for 3% annual inflation to be comparable with  sales forecast</t>
  </si>
  <si>
    <t>DO NOT DELETE</t>
  </si>
  <si>
    <t>Repairs &amp; Maint</t>
  </si>
  <si>
    <t>Contracts &amp; Landscaping</t>
  </si>
  <si>
    <t>Marketing &amp; Advertising</t>
  </si>
  <si>
    <t>Leasing Commissions</t>
  </si>
  <si>
    <t>Administrative</t>
  </si>
  <si>
    <t>Turnover/Make-Ready</t>
  </si>
  <si>
    <t>&lt;--- Based on C&amp;W Budget</t>
  </si>
  <si>
    <t>&lt;--- C&amp;W Fee (Min of 2.75% of EGR or $5k)</t>
  </si>
  <si>
    <t>ARGENT FUND CALC</t>
  </si>
  <si>
    <t>Total GP Cash Flow</t>
  </si>
  <si>
    <t>Fund Investors Cont.</t>
  </si>
  <si>
    <t>Sponsor Cont.</t>
  </si>
  <si>
    <t>Promote to Sponsor</t>
  </si>
  <si>
    <t>Waterfall:</t>
  </si>
  <si>
    <t>Fund Investors</t>
  </si>
  <si>
    <t>2. Promoted Interests</t>
  </si>
  <si>
    <t xml:space="preserve">Fund Investors </t>
  </si>
  <si>
    <t>Net Cash Flow:</t>
  </si>
  <si>
    <t>MOIC</t>
  </si>
  <si>
    <t>DO NOT DELETE ---&gt;</t>
  </si>
  <si>
    <t>1BR (1D)</t>
  </si>
  <si>
    <t>1BR (1E)</t>
  </si>
  <si>
    <t>2BR (2B)-1</t>
  </si>
  <si>
    <t>2BR (2B)-2</t>
  </si>
  <si>
    <t>Input</t>
  </si>
  <si>
    <t>Loft</t>
  </si>
  <si>
    <t>Standard Assembly</t>
  </si>
  <si>
    <t>Braxton Music City</t>
  </si>
  <si>
    <t>Legal Fees</t>
  </si>
  <si>
    <t>Sewer Capacity fees ($218,500) + Water Capacity Fees ($130,625)</t>
  </si>
  <si>
    <t>Third party tax prep / accounting services</t>
  </si>
  <si>
    <t>Live/Work</t>
  </si>
  <si>
    <t>Assessment Ratio</t>
  </si>
  <si>
    <t>Hard Cost Comparison</t>
  </si>
  <si>
    <t>O'Neil Budget</t>
  </si>
  <si>
    <t>O'Neil Budget (Ben's Revisions)</t>
  </si>
  <si>
    <t>1425 Budget Last Sent to Argosy</t>
  </si>
  <si>
    <t>1425 Budget Current Update to Acieve 5.5% ROC</t>
  </si>
  <si>
    <t>Gross SF</t>
  </si>
  <si>
    <t>405 40th Budget</t>
  </si>
  <si>
    <t>Terracon invoices / infiltration testing</t>
  </si>
  <si>
    <t>Paid $4,542 through 11.15.2022 / Raegan Smith survey included in Civil line</t>
  </si>
  <si>
    <t>Pie Town at $97K / increased to reflect current cost environment</t>
  </si>
  <si>
    <t>2BR (2E)</t>
  </si>
  <si>
    <t>KVD Landscape Contract</t>
  </si>
  <si>
    <t>Allowance</t>
  </si>
  <si>
    <t>Multi-Family Summary</t>
  </si>
  <si>
    <t>Residential SF</t>
  </si>
  <si>
    <t>Commercial SF</t>
  </si>
  <si>
    <t>Year</t>
  </si>
  <si>
    <t>Lien Date</t>
  </si>
  <si>
    <t>Valuation Method</t>
  </si>
  <si>
    <t>Cost</t>
  </si>
  <si>
    <t>Income</t>
  </si>
  <si>
    <t>Revaluation Bump</t>
  </si>
  <si>
    <t>Cost Method Summary</t>
  </si>
  <si>
    <t>Cumulative Costs</t>
  </si>
  <si>
    <t>% Complete</t>
  </si>
  <si>
    <t>Total RE Market Value - Cost</t>
  </si>
  <si>
    <t>Income Method Summary</t>
  </si>
  <si>
    <t>Income - Residential</t>
  </si>
  <si>
    <t>Income - Commercial</t>
  </si>
  <si>
    <t>Residential Cap Rate</t>
  </si>
  <si>
    <t>Commercial Valuation Metric</t>
  </si>
  <si>
    <t>Value Residential</t>
  </si>
  <si>
    <t>Value Commercial</t>
  </si>
  <si>
    <t>Total RE Market Value - Income</t>
  </si>
  <si>
    <t>Total RE Market Value Used for Calc</t>
  </si>
  <si>
    <t>RE Assessed Value</t>
  </si>
  <si>
    <t>Tax rate YoY Change</t>
  </si>
  <si>
    <t>Total Real Estate Taxes</t>
  </si>
  <si>
    <t>Total Real Estate Taxes/Unit</t>
  </si>
  <si>
    <t>See "RE Tax" tab for detail</t>
  </si>
  <si>
    <t>Line Item</t>
  </si>
  <si>
    <t>Per Month</t>
  </si>
  <si>
    <t>Annual Total</t>
  </si>
  <si>
    <t>Flowers &amp; Mulch</t>
  </si>
  <si>
    <t>Landscape Contract</t>
  </si>
  <si>
    <t>Office Alarm</t>
  </si>
  <si>
    <t>Pest Control</t>
  </si>
  <si>
    <t>24/7 Concierge Contract</t>
  </si>
  <si>
    <t>Janitorial Contract</t>
  </si>
  <si>
    <t>Elevator Contract</t>
  </si>
  <si>
    <t>Shuttle Contract</t>
  </si>
  <si>
    <t>Night Security Patrol</t>
  </si>
  <si>
    <t>Pool Contract</t>
  </si>
  <si>
    <t>Snow Removal</t>
  </si>
  <si>
    <t>Security Cameras</t>
  </si>
  <si>
    <t>HOA Fee</t>
  </si>
  <si>
    <t>Total Contracts &amp; Landscaping</t>
  </si>
  <si>
    <t>Total Per Unit</t>
  </si>
  <si>
    <t>Stabilized Staffing Plan</t>
  </si>
  <si>
    <t>Position</t>
  </si>
  <si>
    <t>Hourly Rate</t>
  </si>
  <si>
    <t>Annual Base</t>
  </si>
  <si>
    <t>Salary Bonus</t>
  </si>
  <si>
    <t>Tax Burden</t>
  </si>
  <si>
    <t>Health Insurance</t>
  </si>
  <si>
    <t>Allocation</t>
  </si>
  <si>
    <t>Total Administrative</t>
  </si>
  <si>
    <t>Total Maintenance</t>
  </si>
  <si>
    <t>Total Personnel:</t>
  </si>
  <si>
    <t>Per Unit:</t>
  </si>
  <si>
    <t>Total Leasing Commissions*:</t>
  </si>
  <si>
    <t>Personnel Plus Leasing Commissions (without Housing):</t>
  </si>
  <si>
    <t>Total 
(without Housing)</t>
  </si>
  <si>
    <t>Community Manager</t>
  </si>
  <si>
    <t>Assistant Manager</t>
  </si>
  <si>
    <t>Leasing Manager</t>
  </si>
  <si>
    <t>Leasing Associate</t>
  </si>
  <si>
    <t>Part-time Leasing Associate</t>
  </si>
  <si>
    <t>Maintenance Supervisor</t>
  </si>
  <si>
    <t>Assistant Supervisor</t>
  </si>
  <si>
    <t>Maintenance Technician</t>
  </si>
  <si>
    <t>Part-time Technician</t>
  </si>
  <si>
    <t>Groundskeeper</t>
  </si>
  <si>
    <t>Commission Amounts</t>
  </si>
  <si>
    <t>Turnover %</t>
  </si>
  <si>
    <t>Renewal %</t>
  </si>
  <si>
    <t># Leases</t>
  </si>
  <si>
    <t>Burden</t>
  </si>
  <si>
    <t>Total Commissions</t>
  </si>
  <si>
    <t>Renewals</t>
  </si>
  <si>
    <t>New Leases</t>
  </si>
  <si>
    <t>Total Commissions Expense</t>
  </si>
  <si>
    <t>Total Leasing Commissions/Unit:</t>
  </si>
  <si>
    <t>Sales &amp; Administrative</t>
  </si>
  <si>
    <t>Maintenance</t>
  </si>
  <si>
    <t>Detailed Calculations</t>
  </si>
  <si>
    <t>Spent To Date</t>
  </si>
  <si>
    <t>Remaining Costs</t>
  </si>
  <si>
    <t>Closing Costs</t>
  </si>
  <si>
    <t>Un-Trended</t>
  </si>
  <si>
    <t>Trended</t>
  </si>
  <si>
    <t>1 Month Term SOFR Forward Curve</t>
  </si>
  <si>
    <t>Oates water meters @$160/unit + $10,000 allowance</t>
  </si>
  <si>
    <t>Property Name</t>
  </si>
  <si>
    <t>Property Address</t>
  </si>
  <si>
    <t>Submarket Name</t>
  </si>
  <si>
    <t>Star Rating</t>
  </si>
  <si>
    <t>Rooms</t>
  </si>
  <si>
    <t>Annual Taxes</t>
  </si>
  <si>
    <t>Taxes / Room</t>
  </si>
  <si>
    <t>Mint House Nashville - Music Row</t>
  </si>
  <si>
    <t>1016 18th Ave S</t>
  </si>
  <si>
    <t>Nashville West/Midtown</t>
  </si>
  <si>
    <t>Graduate Hotel Nashville</t>
  </si>
  <si>
    <t>101 20th Ave N</t>
  </si>
  <si>
    <t>Staybridge Suites Nashville - Midtown</t>
  </si>
  <si>
    <t>350 22nd Ave N</t>
  </si>
  <si>
    <t>SpringHill Suites Nashville Metrocenter</t>
  </si>
  <si>
    <t>250 Athens Way</t>
  </si>
  <si>
    <t>Mint House Nashville Village Row</t>
  </si>
  <si>
    <t>1700 Belcourt Ave</t>
  </si>
  <si>
    <t>Hilton Garden Inn Nashville Vanderbilt</t>
  </si>
  <si>
    <t>1715 Broadway</t>
  </si>
  <si>
    <t>Embassy Suites by Hilton Nashville at Vanderbilt</t>
  </si>
  <si>
    <t>1811 Broadway</t>
  </si>
  <si>
    <t>Hilton Nashville Green Hills</t>
  </si>
  <si>
    <t>3801 Cleghorn Ave</t>
  </si>
  <si>
    <t>Residence Inn Nashville Green Hills</t>
  </si>
  <si>
    <t>3807 Cleghorn Ave</t>
  </si>
  <si>
    <t>Locale Music Row At Infinity</t>
  </si>
  <si>
    <t>1221 Division St</t>
  </si>
  <si>
    <t>SpringHill Suites Nashville Vanderbilt/West End</t>
  </si>
  <si>
    <t>1800 W End Ave</t>
  </si>
  <si>
    <t>Homewood Suites by Hilton Nashville Vanderbilt</t>
  </si>
  <si>
    <t>2400 W End Ave</t>
  </si>
  <si>
    <t>Marriott Nashville @ Vanderbilt University</t>
  </si>
  <si>
    <t>2555 W End Ave</t>
  </si>
  <si>
    <t>Residence Inn Nashville Vanderbilt West End</t>
  </si>
  <si>
    <t>1801 Hayes St</t>
  </si>
  <si>
    <t>Hayes Street Hotel</t>
  </si>
  <si>
    <t>1909 Hayes St</t>
  </si>
  <si>
    <t>Hyatt House Nashville at Vanderbilt</t>
  </si>
  <si>
    <t>2100 Hayes St</t>
  </si>
  <si>
    <t>Soho House Nashville</t>
  </si>
  <si>
    <t>500 Houston St</t>
  </si>
  <si>
    <t>Virgin Hotels Nashville</t>
  </si>
  <si>
    <t>1 Music Row</t>
  </si>
  <si>
    <t>Millennium Maxwell House Nashville</t>
  </si>
  <si>
    <t>2025 Rosa L. Parks Blvd</t>
  </si>
  <si>
    <t>aloft Hotel Nashville West End</t>
  </si>
  <si>
    <t>1719 West End Ave</t>
  </si>
  <si>
    <t>Courtyard Nashville Vanderbilt West End</t>
  </si>
  <si>
    <t>1901 West End Ave</t>
  </si>
  <si>
    <t>Unnamed Hotel @ 16th Ave S</t>
  </si>
  <si>
    <t>1001 16th Ave S</t>
  </si>
  <si>
    <t>Totals / Averages:</t>
  </si>
  <si>
    <t>Total Deal Units</t>
  </si>
  <si>
    <t>Market</t>
  </si>
  <si>
    <t>Total Market Units</t>
  </si>
  <si>
    <t>Submarket</t>
  </si>
  <si>
    <t>Opportunity Size</t>
  </si>
  <si>
    <t>Market Tier</t>
  </si>
  <si>
    <t>Start Year</t>
  </si>
  <si>
    <t>Hours / Week</t>
  </si>
  <si>
    <t>Guest Services - Labor</t>
  </si>
  <si>
    <t>Employee Type</t>
  </si>
  <si>
    <t>Employee Structure</t>
  </si>
  <si>
    <t>Employee Count</t>
  </si>
  <si>
    <t>Base (w/ bonus)</t>
  </si>
  <si>
    <t>Ave Comp + PTAB</t>
  </si>
  <si>
    <t>Total Compensation</t>
  </si>
  <si>
    <t>Cost / Unit / Mo.</t>
  </si>
  <si>
    <t>Maintenance Tech</t>
  </si>
  <si>
    <t>Full-Time</t>
  </si>
  <si>
    <t>Hospitalty Associate - Day</t>
  </si>
  <si>
    <t>Hospitalty Associate - Night</t>
  </si>
  <si>
    <t>Management - G&amp;A</t>
  </si>
  <si>
    <t>Market Lead*</t>
  </si>
  <si>
    <t>Housekeeping Manager</t>
  </si>
  <si>
    <t>Maintenance Engineer</t>
  </si>
  <si>
    <t>Operations Manager</t>
  </si>
  <si>
    <t>Sales &amp; Marketing - Payroll</t>
  </si>
  <si>
    <t>Sales Manager</t>
  </si>
  <si>
    <t>Mint House Management Agreement Model</t>
  </si>
  <si>
    <t>Selected Occupancy Seasonality</t>
  </si>
  <si>
    <t>Month Number</t>
  </si>
  <si>
    <t>Selected ADR Seasonality</t>
  </si>
  <si>
    <t>Default Occupancy Seasonality</t>
  </si>
  <si>
    <t>Albuquerque</t>
  </si>
  <si>
    <t>Atlanta</t>
  </si>
  <si>
    <t>Austin</t>
  </si>
  <si>
    <t>Baltimore</t>
  </si>
  <si>
    <t>Birmingham</t>
  </si>
  <si>
    <t>Boise</t>
  </si>
  <si>
    <t>Boston</t>
  </si>
  <si>
    <t>Charleston</t>
  </si>
  <si>
    <t>Chicago</t>
  </si>
  <si>
    <t>Cincinnati</t>
  </si>
  <si>
    <t>Cleveland</t>
  </si>
  <si>
    <t>Columbus</t>
  </si>
  <si>
    <t>Dallas</t>
  </si>
  <si>
    <t>Denver</t>
  </si>
  <si>
    <t>Detroit</t>
  </si>
  <si>
    <t>Fort Lauderdale</t>
  </si>
  <si>
    <t>Fort Myers</t>
  </si>
  <si>
    <t>Greenville</t>
  </si>
  <si>
    <t>Houston</t>
  </si>
  <si>
    <t>Indianapolis</t>
  </si>
  <si>
    <t>Jacksonville</t>
  </si>
  <si>
    <t>Kansas City</t>
  </si>
  <si>
    <t>Los Angeles</t>
  </si>
  <si>
    <t>Louisville</t>
  </si>
  <si>
    <t>Memphis</t>
  </si>
  <si>
    <t>Miami</t>
  </si>
  <si>
    <t>Milwaukee</t>
  </si>
  <si>
    <t>Minneapolis</t>
  </si>
  <si>
    <t>New Orleans</t>
  </si>
  <si>
    <t>New York City</t>
  </si>
  <si>
    <t>Oklahoma City</t>
  </si>
  <si>
    <t>Orange County</t>
  </si>
  <si>
    <t>Orlando</t>
  </si>
  <si>
    <t>Palm Beach</t>
  </si>
  <si>
    <t>Philadelphia</t>
  </si>
  <si>
    <t>Phoenix</t>
  </si>
  <si>
    <t>Pittsburgh</t>
  </si>
  <si>
    <t>Portland</t>
  </si>
  <si>
    <t>Raleigh-Durham</t>
  </si>
  <si>
    <t>Saint Louis</t>
  </si>
  <si>
    <t>Salt Lake City</t>
  </si>
  <si>
    <t>San Antonio</t>
  </si>
  <si>
    <t>San Diego</t>
  </si>
  <si>
    <t>San Francisco</t>
  </si>
  <si>
    <t>San Jose</t>
  </si>
  <si>
    <t>Seattle</t>
  </si>
  <si>
    <t>Tampa</t>
  </si>
  <si>
    <t>Washington DC</t>
  </si>
  <si>
    <t>Default ADR Seasonality</t>
  </si>
  <si>
    <t>Deal Overview</t>
  </si>
  <si>
    <t>Rate Assumption</t>
  </si>
  <si>
    <t>Model Inputs</t>
  </si>
  <si>
    <t>Growth Rates</t>
  </si>
  <si>
    <t>Profit Share Assumptions</t>
  </si>
  <si>
    <t>Deal Name</t>
  </si>
  <si>
    <t>Data Source</t>
  </si>
  <si>
    <t>Weight</t>
  </si>
  <si>
    <t>ADR</t>
  </si>
  <si>
    <t>Category</t>
  </si>
  <si>
    <t>Short Term</t>
  </si>
  <si>
    <t>Long Term</t>
  </si>
  <si>
    <t>Blended</t>
  </si>
  <si>
    <t>ADR Annual Inflation</t>
  </si>
  <si>
    <t>Prioritized Hurdle</t>
  </si>
  <si>
    <t>Min. Monthly Pmt Growth</t>
  </si>
  <si>
    <t>Mint House</t>
  </si>
  <si>
    <t>Number of Units</t>
  </si>
  <si>
    <t>Multifamily Rent Growth</t>
  </si>
  <si>
    <t>Year #</t>
  </si>
  <si>
    <t>MF Rent %</t>
  </si>
  <si>
    <t>Y1 MF Ramp</t>
  </si>
  <si>
    <t>Comps - STR</t>
  </si>
  <si>
    <t>Other Revenue Growth</t>
  </si>
  <si>
    <r>
      <t xml:space="preserve">Margin on MF Rent </t>
    </r>
    <r>
      <rPr>
        <vertAlign val="superscript"/>
        <sz val="8"/>
        <color theme="1"/>
        <rFont val="Calibri"/>
        <family val="2"/>
      </rPr>
      <t>[2]</t>
    </r>
  </si>
  <si>
    <t>Comps - LTL</t>
  </si>
  <si>
    <t>Expense Growth</t>
  </si>
  <si>
    <t>State</t>
  </si>
  <si>
    <t>TN</t>
  </si>
  <si>
    <t>Smith Travel Research</t>
  </si>
  <si>
    <t>RevPAR</t>
  </si>
  <si>
    <t>Hurdle Growth</t>
  </si>
  <si>
    <t>Minimum Monthly Payment</t>
  </si>
  <si>
    <t>Zip Code</t>
  </si>
  <si>
    <t>Forward Rate Shop</t>
  </si>
  <si>
    <t>Cleanings (per turn)</t>
  </si>
  <si>
    <t>Wedgewood-Houston</t>
  </si>
  <si>
    <t>Market - T12</t>
  </si>
  <si>
    <t>Consumables (per turn)</t>
  </si>
  <si>
    <t>ADR Growth Rate</t>
  </si>
  <si>
    <t>Total Property Units</t>
  </si>
  <si>
    <t>Market - 2019</t>
  </si>
  <si>
    <t>OSE (per turn)</t>
  </si>
  <si>
    <t>Growth Rate</t>
  </si>
  <si>
    <t>Manual</t>
  </si>
  <si>
    <t>Year Renovated</t>
  </si>
  <si>
    <t>na</t>
  </si>
  <si>
    <t>G&amp;A: Salaries &amp; Benefits</t>
  </si>
  <si>
    <t>Multifamily Class</t>
  </si>
  <si>
    <t>G&amp;A: Operating Supplies</t>
  </si>
  <si>
    <t>Occupancy Assumption</t>
  </si>
  <si>
    <t>Credit Card Fees</t>
  </si>
  <si>
    <t>General Assumptions</t>
  </si>
  <si>
    <t>Property Type</t>
  </si>
  <si>
    <t>In-Unit Maintenance</t>
  </si>
  <si>
    <t>Incentive Management Fee</t>
  </si>
  <si>
    <t>Analysis Start</t>
  </si>
  <si>
    <t>Shared Services</t>
  </si>
  <si>
    <t>MH Split (%)</t>
  </si>
  <si>
    <t>Full Building</t>
  </si>
  <si>
    <t>Inflation Adjustment</t>
  </si>
  <si>
    <t>Sales &amp; Marketing - Direct to Consumer</t>
  </si>
  <si>
    <t>ADR Recovery Year to 2019</t>
  </si>
  <si>
    <t>Platform Fees / Customer Acquisition</t>
  </si>
  <si>
    <t>Profit Share</t>
  </si>
  <si>
    <t>Inflation Years</t>
  </si>
  <si>
    <t>Wifi / Cable</t>
  </si>
  <si>
    <t>Owner Split (%)</t>
  </si>
  <si>
    <t>FF&amp;E Financing</t>
  </si>
  <si>
    <t>Upfront</t>
  </si>
  <si>
    <t>Occupancy &amp; Sales Tax (% of Rev)</t>
  </si>
  <si>
    <t>Average Length of Stay</t>
  </si>
  <si>
    <t>Tax Pass Through</t>
  </si>
  <si>
    <t>ALOS</t>
  </si>
  <si>
    <t>Unit Inputs</t>
  </si>
  <si>
    <t>Information Technology</t>
  </si>
  <si>
    <t>1 Bed</t>
  </si>
  <si>
    <t>Total / AVG</t>
  </si>
  <si>
    <t>Ramp</t>
  </si>
  <si>
    <t>Liability, FF&amp;E Insurance / Permits</t>
  </si>
  <si>
    <t>Start Date</t>
  </si>
  <si>
    <t>Property Insurance</t>
  </si>
  <si>
    <t>Blended Units</t>
  </si>
  <si>
    <t>Initial Ramp</t>
  </si>
  <si>
    <t>Maintenance, Supplies, Subcontracting</t>
  </si>
  <si>
    <t>Months to Stabilization</t>
  </si>
  <si>
    <t>Multifamily Assumptions</t>
  </si>
  <si>
    <t>Avg. Unit Size</t>
  </si>
  <si>
    <t>Start Month</t>
  </si>
  <si>
    <t>End Month</t>
  </si>
  <si>
    <t>Step Up/Mo</t>
  </si>
  <si>
    <t>% Ramped</t>
  </si>
  <si>
    <t>Tax Assumptions</t>
  </si>
  <si>
    <t>Margin on MF Rent</t>
  </si>
  <si>
    <t>Est. Property Taxes / Unit</t>
  </si>
  <si>
    <t>Multifamily Ramp</t>
  </si>
  <si>
    <t>Est. STR Property Taxes</t>
  </si>
  <si>
    <t>Units Leased per Month</t>
  </si>
  <si>
    <t>ADR Recession Downturn</t>
  </si>
  <si>
    <t>Source: Ownership</t>
  </si>
  <si>
    <t>MF Months to Stabilize</t>
  </si>
  <si>
    <t xml:space="preserve">[2] To reflect staffing management, and leasing costs; </t>
  </si>
  <si>
    <t>Blended Rent PSF</t>
  </si>
  <si>
    <t>Recession Recovery Rate</t>
  </si>
  <si>
    <t>Y1 Multifamily Ramp %</t>
  </si>
  <si>
    <t xml:space="preserve"> fixed expenses (RE taxes, maintenance and insurance)</t>
  </si>
  <si>
    <t>Owner Priority Ramp</t>
  </si>
  <si>
    <t>Ground Lease</t>
  </si>
  <si>
    <t>Capital Improvement</t>
  </si>
  <si>
    <t>Month #</t>
  </si>
  <si>
    <t>Units Ramped</t>
  </si>
  <si>
    <t>not included</t>
  </si>
  <si>
    <t>FF&amp;E Reserve</t>
  </si>
  <si>
    <r>
      <t xml:space="preserve">Parking </t>
    </r>
    <r>
      <rPr>
        <b/>
        <vertAlign val="superscript"/>
        <sz val="8"/>
        <color theme="1"/>
        <rFont val="Calibri"/>
        <family val="2"/>
      </rPr>
      <t>[1]</t>
    </r>
  </si>
  <si>
    <t>Blended Rent per Unit</t>
  </si>
  <si>
    <t>Parking Spots</t>
  </si>
  <si>
    <t>Mint House Nightly Rate</t>
  </si>
  <si>
    <t>Parking Allocation</t>
  </si>
  <si>
    <t>Net Margin</t>
  </si>
  <si>
    <t>Blended Rent per Month</t>
  </si>
  <si>
    <t>Parking Capture Rate</t>
  </si>
  <si>
    <t>Parking Rate Comps</t>
  </si>
  <si>
    <t>Hotel / Property Name</t>
  </si>
  <si>
    <t>Rate</t>
  </si>
  <si>
    <t>Blended Annual Rent</t>
  </si>
  <si>
    <t>Locale South Gulch - Nashville</t>
  </si>
  <si>
    <t>Locale at Infinity Lofts Gulch</t>
  </si>
  <si>
    <t>Locale Music Row</t>
  </si>
  <si>
    <t>AVG</t>
  </si>
  <si>
    <t>Sentral SoBro</t>
  </si>
  <si>
    <t>BentoLiving Chestnut Hill</t>
  </si>
  <si>
    <t>Average Rate:</t>
  </si>
  <si>
    <t>[1] Assumes Self-Parking onsite</t>
  </si>
  <si>
    <t>Upfront Costs Build</t>
  </si>
  <si>
    <t>Moving &amp; Logistics (per unit per year)</t>
  </si>
  <si>
    <t>Total Upfront FF&amp;E</t>
  </si>
  <si>
    <t>FF&amp;E Reimbursement</t>
  </si>
  <si>
    <t>Upfront FF&amp;E per Unit</t>
  </si>
  <si>
    <t>Owner Reimbursement for FF&amp;E</t>
  </si>
  <si>
    <t>Amount Reimbursed</t>
  </si>
  <si>
    <t>MH Key Money</t>
  </si>
  <si>
    <t>Reimbursement Period</t>
  </si>
  <si>
    <t>Amount Reimbursed per Period</t>
  </si>
  <si>
    <t>Year Ending</t>
  </si>
  <si>
    <t>Available Nights</t>
  </si>
  <si>
    <t>Occupied Nights</t>
  </si>
  <si>
    <t>Lodging Revenue</t>
  </si>
  <si>
    <t>Parking Revenue</t>
  </si>
  <si>
    <t>Total Property Revenue</t>
  </si>
  <si>
    <t>Departmental Expenses</t>
  </si>
  <si>
    <t>Cleanings</t>
  </si>
  <si>
    <t>Consumables</t>
  </si>
  <si>
    <t>OSE</t>
  </si>
  <si>
    <t>Parking</t>
  </si>
  <si>
    <t>Total Departmental Expense</t>
  </si>
  <si>
    <t>Department Profit</t>
  </si>
  <si>
    <t>Gross Profit</t>
  </si>
  <si>
    <t>Undistributed Operating Expenses</t>
  </si>
  <si>
    <t>G&amp;A: Salaries / Benefits</t>
  </si>
  <si>
    <r>
      <t xml:space="preserve">G&amp;A: Shared Services </t>
    </r>
    <r>
      <rPr>
        <vertAlign val="superscript"/>
        <sz val="8"/>
        <color theme="1"/>
        <rFont val="Calibri"/>
        <family val="2"/>
      </rPr>
      <t>[1]</t>
    </r>
  </si>
  <si>
    <t>G&amp;A: Liability, FF&amp;E Insurance / Permits</t>
  </si>
  <si>
    <t>General &amp; Administrative</t>
  </si>
  <si>
    <t>Sales &amp; Marketing</t>
  </si>
  <si>
    <r>
      <t xml:space="preserve">Platform Fees / Customer Acquisition </t>
    </r>
    <r>
      <rPr>
        <vertAlign val="superscript"/>
        <sz val="8"/>
        <color theme="1"/>
        <rFont val="Calibri"/>
        <family val="2"/>
      </rPr>
      <t>[2]</t>
    </r>
  </si>
  <si>
    <t>Utility Costs</t>
  </si>
  <si>
    <t>Total Undistributed Operating Expense</t>
  </si>
  <si>
    <t>Gross Operating Profit (GOP)</t>
  </si>
  <si>
    <t>GOP Margin</t>
  </si>
  <si>
    <t>Base Management Fee</t>
  </si>
  <si>
    <t>Percent of Revenue</t>
  </si>
  <si>
    <t>Total Minimum Monthly Payment (MMP)</t>
  </si>
  <si>
    <t>Gross Operating Profit Less Management Fee &amp; MMP</t>
  </si>
  <si>
    <t>AGOP Margin</t>
  </si>
  <si>
    <t>Profit Share - Owner</t>
  </si>
  <si>
    <t xml:space="preserve">Share of Profit </t>
  </si>
  <si>
    <t>Profit Share - Mint House</t>
  </si>
  <si>
    <t>Income to Owner - Before FF&amp;E</t>
  </si>
  <si>
    <t>Upfront FF&amp;E</t>
  </si>
  <si>
    <t>Total FF&amp;E</t>
  </si>
  <si>
    <t>Income to Owner - After FF&amp;E</t>
  </si>
  <si>
    <t>[1] Shared Services covers centralized services that Mint House HQ provides for the premises, including 24/7 remote concierge, revenue management, accounting, corporate partnerships and global sales efforts.</t>
  </si>
  <si>
    <t>[2] Commissions paid to corporate booking channels and online travel agencies (OTAs) as well as screening services for prospective guests.</t>
  </si>
  <si>
    <t>Month Ending</t>
  </si>
  <si>
    <t>General Underwriting &amp; Growth Assumptions</t>
  </si>
  <si>
    <t>Min. Monthly Payment</t>
  </si>
  <si>
    <t>ADR Growth</t>
  </si>
  <si>
    <t>Average Length of Stay (ALOS)</t>
  </si>
  <si>
    <t>Ramp Assumptions</t>
  </si>
  <si>
    <t>Percent of Stabilized Occupancy</t>
  </si>
  <si>
    <t>Occupancy Seasonality</t>
  </si>
  <si>
    <t>Base ADR</t>
  </si>
  <si>
    <t>ADR Seasonality</t>
  </si>
  <si>
    <t>Mint House Units Onboarded</t>
  </si>
  <si>
    <t>Revenue Drivers</t>
  </si>
  <si>
    <t>Nights per Month</t>
  </si>
  <si>
    <t>Available Room Nights</t>
  </si>
  <si>
    <t>Occupied Room Nights</t>
  </si>
  <si>
    <t>Total Departmental Expenses</t>
  </si>
  <si>
    <t>G&amp;A: Shared Services</t>
  </si>
  <si>
    <t>Property Maintenance, Supplies, Subcontracting</t>
  </si>
  <si>
    <t>Total Undistributed Operating Expenses</t>
  </si>
  <si>
    <t>Gross Operating Profit</t>
  </si>
  <si>
    <t>Gross Operating Profit Margin</t>
  </si>
  <si>
    <t>Percent of Rent</t>
  </si>
  <si>
    <t>Adjusted Gross Operating Profit</t>
  </si>
  <si>
    <t>Create calc based on development completion ---&gt;</t>
  </si>
  <si>
    <t>Medium-Large</t>
  </si>
  <si>
    <t>II</t>
  </si>
  <si>
    <t>Staffing Model MH</t>
  </si>
  <si>
    <t>Hotel Tax Comps</t>
  </si>
  <si>
    <t>Seasonality MH</t>
  </si>
  <si>
    <t>Pro Forma MH</t>
  </si>
  <si>
    <t>Cash Flow MH</t>
  </si>
  <si>
    <t>1425 4th Ave (Nashville, TN) | Mint House Management Agreement Model</t>
  </si>
  <si>
    <t>Assumptions MH</t>
  </si>
  <si>
    <t>Gross Expected Revenue</t>
  </si>
  <si>
    <t>Vacancy</t>
  </si>
  <si>
    <t>RevPar</t>
  </si>
  <si>
    <t>Quantity</t>
  </si>
  <si>
    <t>Hotel ADR</t>
  </si>
  <si>
    <r>
      <t xml:space="preserve">Adj. ADR </t>
    </r>
    <r>
      <rPr>
        <b/>
        <vertAlign val="superscript"/>
        <sz val="10"/>
        <rFont val="Calibri"/>
        <family val="2"/>
      </rPr>
      <t>[1]</t>
    </r>
  </si>
  <si>
    <r>
      <t xml:space="preserve">ADR Prem. </t>
    </r>
    <r>
      <rPr>
        <b/>
        <vertAlign val="superscript"/>
        <sz val="10"/>
        <rFont val="Calibri"/>
        <family val="2"/>
      </rPr>
      <t>[2]</t>
    </r>
  </si>
  <si>
    <t>ADR + Premium</t>
  </si>
  <si>
    <t>1 Bedroom</t>
  </si>
  <si>
    <t>2 Bedroom</t>
  </si>
  <si>
    <t>3 Bedroom</t>
  </si>
  <si>
    <t>ROC</t>
  </si>
  <si>
    <t>Residential Summary - STR / MF</t>
  </si>
  <si>
    <t>Less: RE Tax</t>
  </si>
  <si>
    <t>Income to Owner - After FF&amp;E &amp; RE Tax</t>
  </si>
  <si>
    <t>Cash Summary</t>
  </si>
  <si>
    <t>Beg. Balance</t>
  </si>
  <si>
    <t>Net Cash Flow</t>
  </si>
  <si>
    <t>Equity Contributions</t>
  </si>
  <si>
    <t>Equity Distributions</t>
  </si>
  <si>
    <t>Ending Cash Balance</t>
  </si>
  <si>
    <t>Equity Net Cash Flow</t>
  </si>
  <si>
    <t>Min Cash Balance</t>
  </si>
  <si>
    <t>See Forward Curve ---&gt;</t>
  </si>
  <si>
    <t>Net Revenue - Residential</t>
  </si>
  <si>
    <r>
      <t>Opex &amp; Profit Split</t>
    </r>
    <r>
      <rPr>
        <vertAlign val="superscript"/>
        <sz val="11"/>
        <rFont val="Overpass"/>
      </rPr>
      <t>(1)</t>
    </r>
  </si>
  <si>
    <t>Parking Income</t>
  </si>
  <si>
    <t>Nearby WeHo Attractions</t>
  </si>
  <si>
    <t>SoHo House</t>
  </si>
  <si>
    <t>Flamingo Club</t>
  </si>
  <si>
    <t>Jackalope Brewery</t>
  </si>
  <si>
    <t>Never Never Bar</t>
  </si>
  <si>
    <t>pH Brewery</t>
  </si>
  <si>
    <t>E+ROSE Wellness Café</t>
  </si>
  <si>
    <t>Corsair Distillery</t>
  </si>
  <si>
    <t>Dozen Bakery</t>
  </si>
  <si>
    <t>BentoLiving Hotel</t>
  </si>
  <si>
    <t>Merritt Mansion Redevelopment</t>
  </si>
  <si>
    <t>Queens Wedgewood-Houston</t>
  </si>
  <si>
    <t>Martin Flats</t>
  </si>
  <si>
    <t>Nashville Warehouse Co.</t>
  </si>
  <si>
    <t>Emblem Park</t>
  </si>
  <si>
    <t>Legend</t>
  </si>
  <si>
    <t>Restaurant/Bar</t>
  </si>
  <si>
    <t>Real Estate Development</t>
  </si>
  <si>
    <t>Earnest Bar &amp; Hideaway</t>
  </si>
  <si>
    <t>Bastion Restaurant</t>
  </si>
  <si>
    <t>Diskin Cider Brewery</t>
  </si>
  <si>
    <t>(1) Inclusive of MH 10% profit split</t>
  </si>
  <si>
    <t>&lt;--- Year 1</t>
  </si>
  <si>
    <t>Less: Insurance</t>
  </si>
  <si>
    <t>Includes contracts for Pettas and Comma Design / added ~$60K to account for Comma construction admin and additional services</t>
  </si>
  <si>
    <t>Phase 1 &amp; 2</t>
  </si>
  <si>
    <t>$29k paid to date; $200k allowance // Includes environmental attorney</t>
  </si>
  <si>
    <t>$50K includes allowance for exterior signage // $27K for design</t>
  </si>
  <si>
    <t>Less RE Tax</t>
  </si>
  <si>
    <t>Total Expenses</t>
  </si>
  <si>
    <t>Less Tax &amp; Insurance</t>
  </si>
  <si>
    <t>From Dashboard</t>
  </si>
  <si>
    <t>Net Income to Owner</t>
  </si>
  <si>
    <t>&lt;--- Excludes lease-up costs, Interest, Finance Fees, FF&amp;E, &amp; Marketing</t>
  </si>
  <si>
    <t>Includes Thomas &amp; Hutton contract ($83.8K)/ $14k for traffic study / $17K Raegan Smith for Survey // $40K Soil management plan</t>
  </si>
  <si>
    <t>* Salary is shared across Mint House locations in the Nashville Market</t>
  </si>
  <si>
    <t>Staffing Summary</t>
  </si>
  <si>
    <t>The Finery</t>
  </si>
  <si>
    <t>Builders Risk quote from Gallagher - 3.23.2303</t>
  </si>
  <si>
    <t>WEHO SF Summary</t>
  </si>
  <si>
    <t>515 Houston St</t>
  </si>
  <si>
    <t>507 Hudson St</t>
  </si>
  <si>
    <t>448 Humphreys St</t>
  </si>
  <si>
    <t>Retial</t>
  </si>
  <si>
    <t>Office</t>
  </si>
  <si>
    <t>Nashville warehous Co</t>
  </si>
  <si>
    <t>The Pitch</t>
  </si>
  <si>
    <t xml:space="preserve">Proposal from Access DNSI  </t>
  </si>
  <si>
    <t>Stabilized Operating Pro Forma</t>
  </si>
  <si>
    <t>1 Month USD LIBOR Forward Curve</t>
  </si>
  <si>
    <t>Assumes 12 months of debt service on fully drawn loan at 7.5% interest rate</t>
  </si>
  <si>
    <t>STR Property Insurance</t>
  </si>
  <si>
    <t>Allowance - FFE  // $125K for common area and amenity FF&amp;E, $2.6mm for room FF&amp;E</t>
  </si>
  <si>
    <t>2.5K Fence // $183K for soil haul-off // $20K potholing 4th Ave.</t>
  </si>
  <si>
    <t>STR Unit Mix / Rates</t>
  </si>
  <si>
    <t>Return-On-Cost</t>
  </si>
  <si>
    <t>* Cost of debt assumes 300 bps + SOFR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</si>
</sst>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-* #,##0.00\ _€_-;\-* #,##0.00\ _€_-;_-* &quot;-&quot;??\ _€_-;_-@_-"/>
    <numFmt numFmtId="167" formatCode="_(* #,##0.0_);_(* \(#,##0.0\);_(* &quot;-&quot;??_);_(@_)"/>
    <numFmt numFmtId="168" formatCode="&quot;$&quot;#,##0"/>
    <numFmt numFmtId="169" formatCode="&quot;$&quot;#,##0.00"/>
    <numFmt numFmtId="170" formatCode="0.00&quot;X&quot;"/>
    <numFmt numFmtId="171" formatCode="&quot;Month&quot;\ 0"/>
    <numFmt numFmtId="172" formatCode="#,##0\ &quot;SF&quot;"/>
    <numFmt numFmtId="173" formatCode="_(&quot;$&quot;* #,##0_);_(&quot;$&quot;* \(#,##0\);_(&quot;$&quot;* &quot;-&quot;??_);_(@_)"/>
    <numFmt numFmtId="174" formatCode="&quot;$&quot;#,##0.00,,\ &quot;M&quot;"/>
    <numFmt numFmtId="175" formatCode="#,##0.0"/>
    <numFmt numFmtId="176" formatCode="0.000%"/>
    <numFmt numFmtId="177" formatCode="#,##0.###############"/>
    <numFmt numFmtId="178" formatCode="0.0%_);\(0.0%\);0.0%_);@_)"/>
    <numFmt numFmtId="179" formatCode="[$$-409]#,##0.00_);\([$$-409]#,##0.00\);[$$-409]#,##0.00_);@_)"/>
    <numFmt numFmtId="180" formatCode="[$-409]mmmm\ d\,\ yyyy;@"/>
    <numFmt numFmtId="181" formatCode="#,##0\ [$USD]"/>
    <numFmt numFmtId="182" formatCode="#,##0.0_);\(#,##0.0\)"/>
    <numFmt numFmtId="183" formatCode="&quot;$&quot;#,##0.0"/>
    <numFmt numFmtId="184" formatCode="mm/dd/yy;@"/>
    <numFmt numFmtId="185" formatCode="0\ &quot;Bedroom&quot;"/>
    <numFmt numFmtId="186" formatCode="0.000"/>
    <numFmt numFmtId="187" formatCode="0.00&quot;x&quot;"/>
    <numFmt numFmtId="188" formatCode="0.00%_);\(0.00%\);&quot;-  &quot;"/>
    <numFmt numFmtId="189" formatCode="0.0%_);\(0.0%\);&quot;-  &quot;"/>
    <numFmt numFmtId="190" formatCode="&quot;$&quot;#,##0_);\(&quot;$&quot;#,##0\);&quot;-  &quot;"/>
    <numFmt numFmtId="191" formatCode="\ yyyy;@"/>
    <numFmt numFmtId="192" formatCode="0.0000%"/>
    <numFmt numFmtId="193" formatCode="###0.00"/>
    <numFmt numFmtId="194" formatCode="_(* &quot;$&quot;\ #,##0_);_(* &quot;$&quot;\ \(#,##0\);_(* &quot;&quot;\ \ \-&quot;&quot;?_);_(@_)"/>
    <numFmt numFmtId="195" formatCode="#,##0\ &quot;Units&quot;"/>
    <numFmt numFmtId="196" formatCode="mmmm"/>
    <numFmt numFmtId="197" formatCode="#,##0.0%_);\(#,##0.0%\)"/>
    <numFmt numFmtId="198" formatCode="#,##0.00%_);\(#,##0.00%\)"/>
    <numFmt numFmtId="199" formatCode="_(* #,##0%_);_(* \(#,##0%\);_(* &quot;   -&quot;?_);_(@_)"/>
    <numFmt numFmtId="200" formatCode="&quot;Yes&quot;;;&quot;No&quot;"/>
    <numFmt numFmtId="201" formatCode="&quot;On&quot;;;&quot;Off&quot;"/>
    <numFmt numFmtId="202" formatCode="0\ &quot;Year(s)&quot;"/>
    <numFmt numFmtId="203" formatCode="0\ &quot;Nights&quot;"/>
    <numFmt numFmtId="204" formatCode="_(* #,##0&quot; Units&quot;;_(* \(#,##0.0\)&quot; Units&quot;;_(* &quot;   -&quot;?_)"/>
    <numFmt numFmtId="205" formatCode="#,##0\ &quot;Months&quot;"/>
    <numFmt numFmtId="206" formatCode="_(* #,##0&quot; SF&quot;;_(* \(#,##0.0\)&quot; SF&quot;;_(* &quot;   -&quot;?_)"/>
    <numFmt numFmtId="207" formatCode="&quot;Month &quot;0"/>
    <numFmt numFmtId="208" formatCode="_(* &quot;$&quot;\ #,##0.00_);_(* &quot;$&quot;\ \(#,##0.00\);_(* &quot;&quot;\ \ \-&quot;&quot;?_);_(@_)"/>
    <numFmt numFmtId="209" formatCode="_([$$-409]* #,##0.00_);_([$$-409]* \(#,##0.00\);_([$$-409]* &quot;-&quot;??_);_(@_)"/>
    <numFmt numFmtId="210" formatCode="0\ &quot;Months&quot;"/>
    <numFmt numFmtId="211" formatCode="&quot;Year &quot;#\ "/>
    <numFmt numFmtId="212" formatCode="#,##0\ &quot;Years&quot;"/>
    <numFmt numFmtId="213" formatCode="mmmm\ aaaa\ &quot;-&quot;\ mmmm\ aaaa"/>
    <numFmt numFmtId="214" formatCode="mmm\-yyyy"/>
    <numFmt numFmtId="215" formatCode="#,##0%_);\(#,##0%\)"/>
    <numFmt numFmtId="216" formatCode="[$$-409]#,##0_);\([$$-409]#,##0\)"/>
    <numFmt numFmtId="217" formatCode="_(* #,##0_);_(* \(#,##0\);_(* &quot;   -&quot;?_);_(@_)"/>
    <numFmt numFmtId="218" formatCode="_([$$-409]* #,##0_);_([$$-409]* \(#,##0\);_([$$-409]* &quot;-&quot;??_);_(@_)"/>
    <numFmt numFmtId="219" formatCode="_(* #,##0.0%_);_(* \(#,##0.0%\);_(* &quot;   -&quot;?_);_(@_)"/>
    <numFmt numFmtId="220" formatCode="&quot;Year &quot;0"/>
    <numFmt numFmtId="221" formatCode="0\ &quot;Night(s)&quot;"/>
    <numFmt numFmtId="222" formatCode="_(* #,##0&quot; Days&quot;;_(* \(#,##0.0\)&quot; Days&quot;;_(* &quot;   -&quot;?_)"/>
    <numFmt numFmtId="223" formatCode="_(&quot;$&quot;* #,##0_);_(&quot;$&quot;* \(#,##0\);_(&quot;$&quot;&quot;-&quot;_);_(@_)"/>
    <numFmt numFmtId="224" formatCode="_(&quot;$&quot;* #,##0.0_);_(&quot;$&quot;* \(#,##0.0\);_(&quot;$&quot;* &quot;-&quot;?_);_(@_)"/>
  </numFmts>
  <fonts count="2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0"/>
      <name val="Courier"/>
      <family val="3"/>
    </font>
    <font>
      <sz val="11"/>
      <name val="Times New Roman"/>
      <family val="1"/>
    </font>
    <font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FF"/>
      <name val="Calibri"/>
      <family val="2"/>
      <scheme val="minor"/>
    </font>
    <font>
      <sz val="10"/>
      <color theme="1"/>
      <name val="Verdana"/>
      <family val="2"/>
    </font>
    <font>
      <b/>
      <sz val="40"/>
      <color theme="1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Overpass"/>
    </font>
    <font>
      <b/>
      <sz val="11"/>
      <color theme="1"/>
      <name val="Overpass"/>
    </font>
    <font>
      <sz val="11"/>
      <color theme="4" tint="-0.249977111117893"/>
      <name val="Overpass"/>
    </font>
    <font>
      <b/>
      <sz val="11"/>
      <color rgb="FF007D00"/>
      <name val="Overpass"/>
    </font>
    <font>
      <b/>
      <sz val="11"/>
      <color theme="0"/>
      <name val="Overpass"/>
    </font>
    <font>
      <sz val="11"/>
      <color theme="0"/>
      <name val="Overpass"/>
    </font>
    <font>
      <sz val="11"/>
      <color rgb="FF007D00"/>
      <name val="Overpass"/>
    </font>
    <font>
      <sz val="11"/>
      <color indexed="12"/>
      <name val="Overpass"/>
    </font>
    <font>
      <sz val="9"/>
      <color theme="1"/>
      <name val="Overpass"/>
    </font>
    <font>
      <sz val="11"/>
      <name val="Overpass"/>
    </font>
    <font>
      <b/>
      <sz val="11"/>
      <name val="Overpass"/>
    </font>
    <font>
      <sz val="11"/>
      <color rgb="FF000000"/>
      <name val="Overpass"/>
    </font>
    <font>
      <b/>
      <u/>
      <sz val="11"/>
      <color rgb="FF000000"/>
      <name val="Overpass"/>
    </font>
    <font>
      <b/>
      <u/>
      <sz val="11"/>
      <name val="Overpass"/>
    </font>
    <font>
      <b/>
      <sz val="16"/>
      <name val="Overpass"/>
    </font>
    <font>
      <sz val="12"/>
      <color rgb="FF006100"/>
      <name val="Overpass"/>
    </font>
    <font>
      <b/>
      <sz val="11"/>
      <color rgb="FF000000"/>
      <name val="Overpass"/>
    </font>
    <font>
      <sz val="11"/>
      <color rgb="FF0000FF"/>
      <name val="Overpass"/>
    </font>
    <font>
      <i/>
      <sz val="11"/>
      <name val="Overpass"/>
    </font>
    <font>
      <b/>
      <sz val="20"/>
      <color theme="1"/>
      <name val="Overpass"/>
    </font>
    <font>
      <b/>
      <u val="singleAccounting"/>
      <sz val="11"/>
      <color theme="0"/>
      <name val="Overpass"/>
    </font>
    <font>
      <b/>
      <sz val="11"/>
      <color rgb="FF0070C0"/>
      <name val="Overpass"/>
    </font>
    <font>
      <sz val="11"/>
      <color rgb="FFFF0000"/>
      <name val="Overpass"/>
    </font>
    <font>
      <sz val="11"/>
      <color rgb="FF0070C0"/>
      <name val="Overpass"/>
    </font>
    <font>
      <b/>
      <u val="singleAccounting"/>
      <sz val="11"/>
      <color rgb="FF000000"/>
      <name val="Overpass"/>
    </font>
    <font>
      <b/>
      <u val="singleAccounting"/>
      <sz val="11"/>
      <name val="Overpass"/>
    </font>
    <font>
      <i/>
      <sz val="11"/>
      <color rgb="FF000000"/>
      <name val="Overpass"/>
    </font>
    <font>
      <u val="singleAccounting"/>
      <sz val="11"/>
      <color theme="1"/>
      <name val="Overpass"/>
    </font>
    <font>
      <sz val="11"/>
      <color rgb="FF800080"/>
      <name val="Overpass"/>
    </font>
    <font>
      <b/>
      <sz val="12"/>
      <name val="Overpass"/>
    </font>
    <font>
      <b/>
      <sz val="12"/>
      <color rgb="FF000000"/>
      <name val="Overpass"/>
    </font>
    <font>
      <b/>
      <sz val="11"/>
      <color rgb="FFFF0000"/>
      <name val="Overpass"/>
    </font>
    <font>
      <b/>
      <sz val="28"/>
      <name val="Overpass"/>
    </font>
    <font>
      <sz val="22"/>
      <name val="Overpass"/>
    </font>
    <font>
      <sz val="15"/>
      <color rgb="FFFF0000"/>
      <name val="Overpass"/>
    </font>
    <font>
      <i/>
      <sz val="12"/>
      <name val="Overpass"/>
    </font>
    <font>
      <i/>
      <sz val="10"/>
      <name val="Overpass"/>
    </font>
    <font>
      <b/>
      <sz val="16"/>
      <color theme="1"/>
      <name val="Overpass"/>
    </font>
    <font>
      <b/>
      <u val="singleAccounting"/>
      <sz val="11"/>
      <color theme="1"/>
      <name val="Overpass"/>
    </font>
    <font>
      <sz val="12"/>
      <color rgb="FF000000"/>
      <name val="Overpass"/>
    </font>
    <font>
      <i/>
      <sz val="11"/>
      <color rgb="FF0000FF"/>
      <name val="Overpass"/>
    </font>
    <font>
      <i/>
      <sz val="11"/>
      <color rgb="FFFF0000"/>
      <name val="Overpass"/>
    </font>
    <font>
      <i/>
      <sz val="11"/>
      <color theme="1"/>
      <name val="Overpass"/>
    </font>
    <font>
      <u/>
      <sz val="11"/>
      <color theme="1"/>
      <name val="Overpass"/>
    </font>
    <font>
      <b/>
      <sz val="10"/>
      <color theme="0"/>
      <name val="Overpass"/>
    </font>
    <font>
      <sz val="10"/>
      <color theme="1"/>
      <name val="Overpass"/>
    </font>
    <font>
      <sz val="10"/>
      <color rgb="FF007D00"/>
      <name val="Overpass"/>
    </font>
    <font>
      <sz val="10"/>
      <name val="Overpass"/>
    </font>
    <font>
      <b/>
      <sz val="10"/>
      <color theme="1"/>
      <name val="Overpass"/>
    </font>
    <font>
      <b/>
      <sz val="10"/>
      <name val="Overpass"/>
    </font>
    <font>
      <sz val="10"/>
      <color rgb="FF0000FF"/>
      <name val="Overpass"/>
    </font>
    <font>
      <sz val="10"/>
      <color indexed="12"/>
      <name val="Overpass"/>
    </font>
    <font>
      <b/>
      <i/>
      <sz val="10"/>
      <name val="Overpass"/>
    </font>
    <font>
      <i/>
      <sz val="10"/>
      <color rgb="FF007D00"/>
      <name val="Overpass"/>
    </font>
    <font>
      <b/>
      <i/>
      <sz val="10"/>
      <color rgb="FF007D00"/>
      <name val="Overpass"/>
    </font>
    <font>
      <b/>
      <sz val="10"/>
      <color rgb="FF007D00"/>
      <name val="Overpass"/>
    </font>
    <font>
      <b/>
      <u/>
      <sz val="10"/>
      <name val="Overpass"/>
    </font>
    <font>
      <b/>
      <sz val="10"/>
      <color rgb="FF000000"/>
      <name val="Overpass"/>
    </font>
    <font>
      <sz val="10"/>
      <color indexed="10"/>
      <name val="Overpass"/>
    </font>
    <font>
      <b/>
      <sz val="10"/>
      <color indexed="10"/>
      <name val="Overpass"/>
    </font>
    <font>
      <u/>
      <sz val="10"/>
      <name val="Overpass"/>
    </font>
    <font>
      <i/>
      <sz val="10"/>
      <color indexed="10"/>
      <name val="Overpass"/>
    </font>
    <font>
      <sz val="8"/>
      <color indexed="8"/>
      <name val="Overpass"/>
    </font>
    <font>
      <b/>
      <sz val="8"/>
      <name val="Overpass"/>
    </font>
    <font>
      <b/>
      <sz val="8"/>
      <color indexed="8"/>
      <name val="Overpass"/>
    </font>
    <font>
      <b/>
      <u/>
      <sz val="10"/>
      <color theme="0"/>
      <name val="Overpass"/>
    </font>
    <font>
      <sz val="10"/>
      <color indexed="8"/>
      <name val="Overpass"/>
    </font>
    <font>
      <sz val="8"/>
      <name val="Overpass"/>
    </font>
    <font>
      <b/>
      <sz val="10"/>
      <color indexed="8"/>
      <name val="Overpass"/>
    </font>
    <font>
      <b/>
      <sz val="14"/>
      <name val="Overpass"/>
    </font>
    <font>
      <b/>
      <sz val="11"/>
      <color rgb="FFF3F3F3"/>
      <name val="Overpass"/>
    </font>
    <font>
      <b/>
      <sz val="11"/>
      <color rgb="FFFFFFFF"/>
      <name val="Overpass"/>
    </font>
    <font>
      <b/>
      <u val="singleAccounting"/>
      <sz val="10"/>
      <color theme="1"/>
      <name val="Overpass"/>
    </font>
    <font>
      <b/>
      <sz val="10"/>
      <color rgb="FFFF0000"/>
      <name val="Overpass"/>
    </font>
    <font>
      <b/>
      <sz val="8"/>
      <color rgb="FF000000"/>
      <name val="Overpass"/>
    </font>
    <font>
      <sz val="8"/>
      <color rgb="FF000000"/>
      <name val="Overpass"/>
    </font>
    <font>
      <sz val="10"/>
      <color theme="0"/>
      <name val="Overpass"/>
    </font>
    <font>
      <sz val="10"/>
      <color rgb="FF000000"/>
      <name val="Overpass"/>
    </font>
    <font>
      <b/>
      <i/>
      <sz val="10"/>
      <color rgb="FFFF0000"/>
      <name val="Overpass"/>
    </font>
    <font>
      <sz val="10"/>
      <color rgb="FFFF0000"/>
      <name val="Overpass"/>
    </font>
    <font>
      <sz val="12"/>
      <color rgb="FF0000FF"/>
      <name val="Overpass"/>
    </font>
    <font>
      <u/>
      <sz val="10"/>
      <color rgb="FF0000FF"/>
      <name val="Overpass"/>
    </font>
    <font>
      <b/>
      <sz val="11"/>
      <color rgb="FF0000FF"/>
      <name val="Overpass"/>
    </font>
    <font>
      <b/>
      <sz val="10"/>
      <color rgb="FF0000FF"/>
      <name val="Overpass"/>
    </font>
    <font>
      <vertAlign val="superscript"/>
      <sz val="11"/>
      <name val="Overpass"/>
    </font>
    <font>
      <i/>
      <sz val="9"/>
      <name val="Overpass"/>
    </font>
    <font>
      <i/>
      <u/>
      <sz val="10"/>
      <name val="Overpass"/>
    </font>
    <font>
      <i/>
      <sz val="10"/>
      <color rgb="FF0000FF"/>
      <name val="Overpass"/>
    </font>
    <font>
      <b/>
      <u/>
      <sz val="10"/>
      <color rgb="FF007D00"/>
      <name val="Overpass"/>
    </font>
    <font>
      <i/>
      <sz val="10"/>
      <color rgb="FFFF0000"/>
      <name val="Overpass"/>
    </font>
    <font>
      <u/>
      <sz val="11"/>
      <color rgb="FF000000"/>
      <name val="Overpass"/>
    </font>
    <font>
      <b/>
      <sz val="11"/>
      <color theme="0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DDDDDD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1"/>
      <color rgb="FF007D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i/>
      <sz val="11"/>
      <name val="Calibri"/>
      <family val="2"/>
      <scheme val="minor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  <scheme val="minor"/>
    </font>
    <font>
      <b/>
      <i/>
      <u/>
      <sz val="10"/>
      <name val="Overpass"/>
    </font>
    <font>
      <b/>
      <i/>
      <u/>
      <sz val="10"/>
      <color theme="1"/>
      <name val="Overpass"/>
    </font>
    <font>
      <i/>
      <sz val="9"/>
      <color theme="1"/>
      <name val="Overpass"/>
    </font>
    <font>
      <i/>
      <sz val="10"/>
      <name val="Calibri"/>
      <family val="2"/>
    </font>
    <font>
      <i/>
      <sz val="10"/>
      <color rgb="FF0000FF"/>
      <name val="Calibri"/>
      <family val="2"/>
    </font>
    <font>
      <sz val="10"/>
      <color theme="1"/>
      <name val="Overpass light"/>
    </font>
    <font>
      <b/>
      <sz val="10"/>
      <color theme="1"/>
      <name val="Overpass light"/>
    </font>
    <font>
      <b/>
      <sz val="10"/>
      <color theme="0"/>
      <name val="Overpass light"/>
    </font>
    <font>
      <sz val="10"/>
      <color theme="0"/>
      <name val="Overpass light"/>
    </font>
    <font>
      <sz val="10"/>
      <color theme="6" tint="-0.249977111117893"/>
      <name val="Overpass light"/>
    </font>
    <font>
      <b/>
      <sz val="8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color indexed="10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sz val="11"/>
      <color rgb="FF3F3F76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7D00"/>
      <name val="Calibri"/>
      <family val="2"/>
    </font>
    <font>
      <b/>
      <i/>
      <sz val="10"/>
      <color theme="1"/>
      <name val="Overpass"/>
    </font>
    <font>
      <i/>
      <sz val="10"/>
      <color theme="1"/>
      <name val="Overpass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rgb="FFFFFFFF"/>
      <name val="Calibri"/>
      <family val="2"/>
    </font>
    <font>
      <b/>
      <sz val="12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rgb="FF0A010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8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Museo Sans 500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vertAlign val="superscript"/>
      <sz val="8"/>
      <color theme="1"/>
      <name val="Calibri"/>
      <family val="2"/>
    </font>
    <font>
      <sz val="10"/>
      <color rgb="FF0070C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</font>
    <font>
      <sz val="12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7D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vertAlign val="superscript"/>
      <sz val="10"/>
      <name val="Calibri"/>
      <family val="2"/>
    </font>
    <font>
      <sz val="11"/>
      <color theme="1"/>
      <name val="Overpass Light"/>
    </font>
    <font>
      <sz val="10"/>
      <color rgb="FF000000"/>
      <name val="Overpass Light"/>
    </font>
    <font>
      <i/>
      <sz val="10"/>
      <color theme="1"/>
      <name val="Overpass Light"/>
    </font>
    <font>
      <b/>
      <sz val="12"/>
      <color theme="1"/>
      <name val="Overpass light"/>
    </font>
    <font>
      <i/>
      <sz val="11"/>
      <color rgb="FF0A0101"/>
      <name val="Overpass light"/>
    </font>
    <font>
      <sz val="10"/>
      <color rgb="FF008000"/>
      <name val="Overpass light"/>
    </font>
    <font>
      <b/>
      <sz val="10"/>
      <name val="Overpass light"/>
    </font>
    <font>
      <sz val="10"/>
      <color rgb="FF0000FF"/>
      <name val="Overpass light"/>
    </font>
    <font>
      <sz val="8"/>
      <color rgb="FF000000"/>
      <name val="Overpass light"/>
    </font>
    <font>
      <sz val="8"/>
      <color theme="1"/>
      <name val="Overpass light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C47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E3E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Up"/>
    </fill>
    <fill>
      <patternFill patternType="solid">
        <fgColor rgb="FFC6E0B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1C476E"/>
        <bgColor rgb="FF44546A"/>
      </patternFill>
    </fill>
  </fills>
  <borders count="81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rgb="FFFFFFFF"/>
      </left>
      <right style="medium">
        <color rgb="FFFFFFFF"/>
      </right>
      <top style="dotted">
        <color indexed="64"/>
      </top>
      <bottom style="dotted">
        <color indexed="64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FFFFFF"/>
      </left>
      <right style="medium">
        <color rgb="FFFFFFFF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6"/>
      </top>
      <bottom style="medium">
        <color theme="6"/>
      </bottom>
      <diagonal/>
    </border>
    <border>
      <left/>
      <right/>
      <top style="thin">
        <color theme="6"/>
      </top>
      <bottom style="medium">
        <color theme="6"/>
      </bottom>
      <diagonal/>
    </border>
    <border>
      <left style="medium">
        <color rgb="FF3E3E3E"/>
      </left>
      <right/>
      <top style="medium">
        <color rgb="FF3E3E3E"/>
      </top>
      <bottom/>
      <diagonal/>
    </border>
    <border>
      <left/>
      <right style="medium">
        <color rgb="FF3E3E3E"/>
      </right>
      <top style="medium">
        <color rgb="FF3E3E3E"/>
      </top>
      <bottom/>
      <diagonal/>
    </border>
    <border>
      <left style="medium">
        <color rgb="FF3E3E3E"/>
      </left>
      <right/>
      <top/>
      <bottom/>
      <diagonal/>
    </border>
    <border>
      <left/>
      <right style="medium">
        <color rgb="FF3E3E3E"/>
      </right>
      <top/>
      <bottom/>
      <diagonal/>
    </border>
    <border>
      <left style="medium">
        <color rgb="FF3E3E3E"/>
      </left>
      <right/>
      <top/>
      <bottom style="medium">
        <color rgb="FF3E3E3E"/>
      </bottom>
      <diagonal/>
    </border>
    <border>
      <left/>
      <right style="medium">
        <color rgb="FF3E3E3E"/>
      </right>
      <top/>
      <bottom style="medium">
        <color rgb="FF3E3E3E"/>
      </bottom>
      <diagonal/>
    </border>
    <border>
      <left/>
      <right/>
      <top style="medium">
        <color rgb="FF3E3E3E"/>
      </top>
      <bottom/>
      <diagonal/>
    </border>
    <border>
      <left/>
      <right/>
      <top/>
      <bottom style="medium">
        <color rgb="FF3E3E3E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Dashed">
        <color rgb="FF007D00"/>
      </left>
      <right/>
      <top style="mediumDashed">
        <color rgb="FF007D00"/>
      </top>
      <bottom style="mediumDashed">
        <color rgb="FF007D00"/>
      </bottom>
      <diagonal/>
    </border>
    <border>
      <left/>
      <right/>
      <top style="mediumDashed">
        <color rgb="FF007D00"/>
      </top>
      <bottom style="mediumDashed">
        <color rgb="FF007D00"/>
      </bottom>
      <diagonal/>
    </border>
    <border>
      <left/>
      <right style="mediumDashed">
        <color rgb="FF007D00"/>
      </right>
      <top style="mediumDashed">
        <color rgb="FF007D00"/>
      </top>
      <bottom style="mediumDashed">
        <color rgb="FF007D00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6" fillId="0" borderId="0"/>
    <xf numFmtId="0" fontId="10" fillId="7" borderId="0" applyNumberFormat="0" applyBorder="0" applyAlignment="0" applyProtection="0"/>
    <xf numFmtId="37" fontId="11" fillId="0" borderId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3" fillId="0" borderId="0"/>
    <xf numFmtId="0" fontId="17" fillId="0" borderId="0"/>
    <xf numFmtId="0" fontId="20" fillId="0" borderId="0" applyNumberFormat="0" applyFill="0" applyBorder="0" applyAlignment="0" applyProtection="0"/>
    <xf numFmtId="0" fontId="151" fillId="37" borderId="47" applyNumberFormat="0" applyAlignment="0" applyProtection="0"/>
    <xf numFmtId="0" fontId="1" fillId="0" borderId="0"/>
    <xf numFmtId="0" fontId="167" fillId="0" borderId="0"/>
    <xf numFmtId="0" fontId="5" fillId="0" borderId="0"/>
    <xf numFmtId="0" fontId="5" fillId="0" borderId="0">
      <alignment vertical="center"/>
    </xf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2025">
    <xf numFmtId="0" fontId="0" fillId="0" borderId="0" xfId="0"/>
    <xf numFmtId="0" fontId="2" fillId="0" borderId="0" xfId="0" applyFont="1"/>
    <xf numFmtId="168" fontId="2" fillId="0" borderId="0" xfId="0" applyNumberFormat="1" applyFont="1"/>
    <xf numFmtId="168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18" borderId="0" xfId="0" applyFill="1"/>
    <xf numFmtId="0" fontId="18" fillId="18" borderId="0" xfId="0" applyFont="1" applyFill="1"/>
    <xf numFmtId="0" fontId="18" fillId="19" borderId="0" xfId="0" applyFont="1" applyFill="1"/>
    <xf numFmtId="0" fontId="0" fillId="19" borderId="0" xfId="0" applyFill="1"/>
    <xf numFmtId="168" fontId="3" fillId="0" borderId="0" xfId="0" applyNumberFormat="1" applyFont="1"/>
    <xf numFmtId="168" fontId="3" fillId="0" borderId="11" xfId="0" applyNumberFormat="1" applyFont="1" applyBorder="1"/>
    <xf numFmtId="0" fontId="3" fillId="0" borderId="0" xfId="0" applyFont="1"/>
    <xf numFmtId="168" fontId="2" fillId="16" borderId="8" xfId="0" applyNumberFormat="1" applyFont="1" applyFill="1" applyBorder="1"/>
    <xf numFmtId="0" fontId="2" fillId="16" borderId="6" xfId="0" applyFont="1" applyFill="1" applyBorder="1"/>
    <xf numFmtId="0" fontId="0" fillId="0" borderId="5" xfId="0" applyBorder="1"/>
    <xf numFmtId="0" fontId="0" fillId="0" borderId="4" xfId="0" applyBorder="1" applyAlignment="1">
      <alignment wrapText="1"/>
    </xf>
    <xf numFmtId="168" fontId="0" fillId="0" borderId="5" xfId="0" applyNumberFormat="1" applyBorder="1"/>
    <xf numFmtId="0" fontId="0" fillId="0" borderId="4" xfId="0" applyBorder="1"/>
    <xf numFmtId="168" fontId="0" fillId="0" borderId="3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0" xfId="0" quotePrefix="1" applyAlignment="1">
      <alignment horizontal="center" vertical="center"/>
    </xf>
    <xf numFmtId="0" fontId="9" fillId="0" borderId="0" xfId="0" applyFont="1" applyAlignment="1">
      <alignment horizontal="center"/>
    </xf>
    <xf numFmtId="183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0" fontId="4" fillId="0" borderId="0" xfId="0" applyFont="1"/>
    <xf numFmtId="184" fontId="0" fillId="0" borderId="0" xfId="0" quotePrefix="1" applyNumberFormat="1" applyAlignment="1">
      <alignment horizontal="center"/>
    </xf>
    <xf numFmtId="0" fontId="0" fillId="0" borderId="11" xfId="0" applyBorder="1"/>
    <xf numFmtId="43" fontId="0" fillId="0" borderId="11" xfId="1" applyFont="1" applyBorder="1"/>
    <xf numFmtId="168" fontId="9" fillId="26" borderId="0" xfId="0" applyNumberFormat="1" applyFont="1" applyFill="1"/>
    <xf numFmtId="43" fontId="2" fillId="26" borderId="0" xfId="1" applyFont="1" applyFill="1"/>
    <xf numFmtId="168" fontId="0" fillId="0" borderId="0" xfId="1" applyNumberFormat="1" applyFont="1"/>
    <xf numFmtId="173" fontId="0" fillId="0" borderId="0" xfId="9" applyNumberFormat="1" applyFont="1"/>
    <xf numFmtId="0" fontId="8" fillId="0" borderId="0" xfId="0" applyFont="1"/>
    <xf numFmtId="43" fontId="2" fillId="0" borderId="0" xfId="1" applyFont="1"/>
    <xf numFmtId="14" fontId="3" fillId="0" borderId="0" xfId="0" applyNumberFormat="1" applyFont="1"/>
    <xf numFmtId="168" fontId="0" fillId="0" borderId="0" xfId="9" applyNumberFormat="1" applyFont="1"/>
    <xf numFmtId="168" fontId="4" fillId="0" borderId="0" xfId="9" applyNumberFormat="1" applyFont="1"/>
    <xf numFmtId="168" fontId="0" fillId="0" borderId="11" xfId="0" applyNumberFormat="1" applyBorder="1"/>
    <xf numFmtId="0" fontId="4" fillId="0" borderId="11" xfId="0" applyFont="1" applyBorder="1"/>
    <xf numFmtId="0" fontId="21" fillId="0" borderId="0" xfId="0" applyFont="1"/>
    <xf numFmtId="0" fontId="0" fillId="0" borderId="0" xfId="0" quotePrefix="1"/>
    <xf numFmtId="173" fontId="4" fillId="0" borderId="0" xfId="9" applyNumberFormat="1" applyFont="1"/>
    <xf numFmtId="168" fontId="0" fillId="0" borderId="11" xfId="9" applyNumberFormat="1" applyFont="1" applyBorder="1"/>
    <xf numFmtId="0" fontId="4" fillId="0" borderId="0" xfId="0" quotePrefix="1" applyFont="1"/>
    <xf numFmtId="183" fontId="4" fillId="0" borderId="0" xfId="0" applyNumberFormat="1" applyFont="1"/>
    <xf numFmtId="168" fontId="2" fillId="0" borderId="0" xfId="9" applyNumberFormat="1" applyFont="1"/>
    <xf numFmtId="168" fontId="0" fillId="0" borderId="0" xfId="9" applyNumberFormat="1" applyFont="1" applyBorder="1"/>
    <xf numFmtId="168" fontId="2" fillId="0" borderId="0" xfId="9" applyNumberFormat="1" applyFont="1" applyFill="1" applyBorder="1"/>
    <xf numFmtId="168" fontId="6" fillId="0" borderId="11" xfId="9" applyNumberFormat="1" applyFont="1" applyBorder="1"/>
    <xf numFmtId="0" fontId="22" fillId="0" borderId="0" xfId="0" applyFont="1"/>
    <xf numFmtId="168" fontId="0" fillId="0" borderId="0" xfId="9" applyNumberFormat="1" applyFont="1" applyFill="1" applyBorder="1"/>
    <xf numFmtId="168" fontId="4" fillId="0" borderId="0" xfId="0" applyNumberFormat="1" applyFont="1"/>
    <xf numFmtId="44" fontId="0" fillId="0" borderId="0" xfId="9" applyFont="1"/>
    <xf numFmtId="0" fontId="24" fillId="0" borderId="0" xfId="0" applyFont="1"/>
    <xf numFmtId="168" fontId="24" fillId="0" borderId="0" xfId="0" applyNumberFormat="1" applyFont="1"/>
    <xf numFmtId="0" fontId="25" fillId="0" borderId="0" xfId="0" applyFont="1"/>
    <xf numFmtId="0" fontId="24" fillId="0" borderId="9" xfId="0" applyFont="1" applyBorder="1"/>
    <xf numFmtId="0" fontId="24" fillId="0" borderId="10" xfId="0" applyFont="1" applyBorder="1"/>
    <xf numFmtId="0" fontId="26" fillId="0" borderId="0" xfId="0" applyFont="1"/>
    <xf numFmtId="165" fontId="26" fillId="0" borderId="0" xfId="1" applyNumberFormat="1" applyFont="1" applyBorder="1"/>
    <xf numFmtId="169" fontId="26" fillId="0" borderId="0" xfId="1" applyNumberFormat="1" applyFont="1" applyBorder="1"/>
    <xf numFmtId="165" fontId="24" fillId="0" borderId="0" xfId="0" applyNumberFormat="1" applyFont="1"/>
    <xf numFmtId="15" fontId="24" fillId="0" borderId="9" xfId="0" applyNumberFormat="1" applyFont="1" applyBorder="1" applyAlignment="1">
      <alignment horizontal="left"/>
    </xf>
    <xf numFmtId="169" fontId="24" fillId="0" borderId="0" xfId="0" applyNumberFormat="1" applyFont="1"/>
    <xf numFmtId="43" fontId="24" fillId="0" borderId="10" xfId="0" applyNumberFormat="1" applyFont="1" applyBorder="1"/>
    <xf numFmtId="0" fontId="28" fillId="9" borderId="7" xfId="0" applyFont="1" applyFill="1" applyBorder="1"/>
    <xf numFmtId="171" fontId="24" fillId="0" borderId="0" xfId="0" applyNumberFormat="1" applyFont="1" applyAlignment="1">
      <alignment horizontal="center"/>
    </xf>
    <xf numFmtId="0" fontId="24" fillId="0" borderId="11" xfId="0" applyFont="1" applyBorder="1" applyAlignment="1">
      <alignment horizontal="left" indent="1"/>
    </xf>
    <xf numFmtId="0" fontId="24" fillId="0" borderId="0" xfId="0" applyFont="1" applyAlignment="1">
      <alignment horizontal="right"/>
    </xf>
    <xf numFmtId="0" fontId="24" fillId="0" borderId="12" xfId="0" applyFont="1" applyBorder="1"/>
    <xf numFmtId="0" fontId="24" fillId="2" borderId="0" xfId="0" applyFont="1" applyFill="1" applyAlignment="1">
      <alignment horizontal="left" indent="2"/>
    </xf>
    <xf numFmtId="0" fontId="33" fillId="2" borderId="0" xfId="0" applyFont="1" applyFill="1"/>
    <xf numFmtId="8" fontId="24" fillId="0" borderId="0" xfId="0" applyNumberFormat="1" applyFont="1"/>
    <xf numFmtId="10" fontId="31" fillId="0" borderId="0" xfId="2" applyNumberFormat="1" applyFont="1" applyBorder="1"/>
    <xf numFmtId="9" fontId="24" fillId="0" borderId="0" xfId="2" applyFont="1"/>
    <xf numFmtId="0" fontId="25" fillId="0" borderId="0" xfId="0" applyFont="1" applyAlignment="1">
      <alignment horizontal="left"/>
    </xf>
    <xf numFmtId="171" fontId="31" fillId="0" borderId="0" xfId="0" applyNumberFormat="1" applyFont="1"/>
    <xf numFmtId="8" fontId="31" fillId="0" borderId="0" xfId="2" applyNumberFormat="1" applyFont="1" applyBorder="1"/>
    <xf numFmtId="0" fontId="33" fillId="2" borderId="0" xfId="8" applyFont="1" applyFill="1"/>
    <xf numFmtId="0" fontId="24" fillId="2" borderId="0" xfId="0" applyFont="1" applyFill="1"/>
    <xf numFmtId="0" fontId="24" fillId="2" borderId="0" xfId="0" applyFont="1" applyFill="1" applyAlignment="1">
      <alignment horizontal="right"/>
    </xf>
    <xf numFmtId="0" fontId="35" fillId="2" borderId="0" xfId="8" applyFont="1" applyFill="1"/>
    <xf numFmtId="0" fontId="36" fillId="2" borderId="0" xfId="8" applyFont="1" applyFill="1" applyAlignment="1">
      <alignment horizontal="center"/>
    </xf>
    <xf numFmtId="0" fontId="37" fillId="2" borderId="0" xfId="8" applyFont="1" applyFill="1"/>
    <xf numFmtId="0" fontId="34" fillId="2" borderId="0" xfId="8" applyFont="1" applyFill="1"/>
    <xf numFmtId="0" fontId="38" fillId="2" borderId="0" xfId="13" applyFont="1" applyFill="1"/>
    <xf numFmtId="0" fontId="39" fillId="2" borderId="0" xfId="13" applyFont="1" applyFill="1"/>
    <xf numFmtId="0" fontId="25" fillId="2" borderId="0" xfId="0" applyFont="1" applyFill="1" applyAlignment="1">
      <alignment horizontal="right"/>
    </xf>
    <xf numFmtId="0" fontId="33" fillId="2" borderId="9" xfId="0" applyFont="1" applyFill="1" applyBorder="1"/>
    <xf numFmtId="0" fontId="24" fillId="2" borderId="10" xfId="0" applyFont="1" applyFill="1" applyBorder="1"/>
    <xf numFmtId="0" fontId="40" fillId="2" borderId="0" xfId="8" applyFont="1" applyFill="1"/>
    <xf numFmtId="0" fontId="41" fillId="2" borderId="0" xfId="8" applyFont="1" applyFill="1" applyAlignment="1">
      <alignment horizontal="center"/>
    </xf>
    <xf numFmtId="0" fontId="42" fillId="2" borderId="0" xfId="8" applyFont="1" applyFill="1"/>
    <xf numFmtId="0" fontId="24" fillId="8" borderId="0" xfId="0" applyFont="1" applyFill="1"/>
    <xf numFmtId="6" fontId="41" fillId="2" borderId="0" xfId="8" applyNumberFormat="1" applyFont="1" applyFill="1" applyAlignment="1">
      <alignment horizontal="center"/>
    </xf>
    <xf numFmtId="0" fontId="24" fillId="23" borderId="0" xfId="0" applyFont="1" applyFill="1"/>
    <xf numFmtId="165" fontId="33" fillId="2" borderId="0" xfId="1" applyNumberFormat="1" applyFont="1" applyFill="1" applyAlignment="1"/>
    <xf numFmtId="165" fontId="33" fillId="2" borderId="0" xfId="8" applyNumberFormat="1" applyFont="1" applyFill="1"/>
    <xf numFmtId="0" fontId="43" fillId="0" borderId="0" xfId="0" applyFont="1"/>
    <xf numFmtId="0" fontId="40" fillId="2" borderId="0" xfId="8" quotePrefix="1" applyFont="1" applyFill="1"/>
    <xf numFmtId="6" fontId="35" fillId="2" borderId="0" xfId="8" applyNumberFormat="1" applyFont="1" applyFill="1" applyAlignment="1">
      <alignment horizontal="center"/>
    </xf>
    <xf numFmtId="165" fontId="35" fillId="2" borderId="0" xfId="1" applyNumberFormat="1" applyFont="1" applyFill="1" applyAlignment="1"/>
    <xf numFmtId="165" fontId="35" fillId="2" borderId="0" xfId="8" applyNumberFormat="1" applyFont="1" applyFill="1"/>
    <xf numFmtId="15" fontId="34" fillId="2" borderId="9" xfId="0" applyNumberFormat="1" applyFont="1" applyFill="1" applyBorder="1" applyAlignment="1">
      <alignment horizontal="left"/>
    </xf>
    <xf numFmtId="0" fontId="25" fillId="2" borderId="10" xfId="0" applyFont="1" applyFill="1" applyBorder="1"/>
    <xf numFmtId="0" fontId="35" fillId="2" borderId="0" xfId="8" applyFont="1" applyFill="1" applyAlignment="1">
      <alignment horizontal="right"/>
    </xf>
    <xf numFmtId="6" fontId="35" fillId="2" borderId="0" xfId="8" applyNumberFormat="1" applyFont="1" applyFill="1"/>
    <xf numFmtId="8" fontId="35" fillId="2" borderId="0" xfId="8" applyNumberFormat="1" applyFont="1" applyFill="1"/>
    <xf numFmtId="0" fontId="44" fillId="9" borderId="0" xfId="8" applyFont="1" applyFill="1" applyAlignment="1">
      <alignment horizontal="centerContinuous"/>
    </xf>
    <xf numFmtId="0" fontId="28" fillId="5" borderId="0" xfId="0" applyFont="1" applyFill="1" applyAlignment="1">
      <alignment horizontal="centerContinuous"/>
    </xf>
    <xf numFmtId="172" fontId="29" fillId="5" borderId="0" xfId="0" applyNumberFormat="1" applyFont="1" applyFill="1" applyAlignment="1">
      <alignment horizontal="centerContinuous"/>
    </xf>
    <xf numFmtId="171" fontId="29" fillId="5" borderId="0" xfId="0" applyNumberFormat="1" applyFont="1" applyFill="1" applyAlignment="1">
      <alignment horizontal="centerContinuous"/>
    </xf>
    <xf numFmtId="15" fontId="29" fillId="5" borderId="0" xfId="0" applyNumberFormat="1" applyFont="1" applyFill="1" applyAlignment="1">
      <alignment horizontal="centerContinuous"/>
    </xf>
    <xf numFmtId="168" fontId="29" fillId="5" borderId="0" xfId="0" applyNumberFormat="1" applyFont="1" applyFill="1" applyAlignment="1">
      <alignment horizontal="centerContinuous"/>
    </xf>
    <xf numFmtId="0" fontId="25" fillId="2" borderId="11" xfId="0" applyFont="1" applyFill="1" applyBorder="1" applyAlignment="1">
      <alignment horizontal="center"/>
    </xf>
    <xf numFmtId="168" fontId="25" fillId="2" borderId="11" xfId="0" applyNumberFormat="1" applyFont="1" applyFill="1" applyBorder="1" applyAlignment="1">
      <alignment horizontal="center"/>
    </xf>
    <xf numFmtId="0" fontId="33" fillId="2" borderId="11" xfId="8" applyFont="1" applyFill="1" applyBorder="1"/>
    <xf numFmtId="0" fontId="40" fillId="2" borderId="11" xfId="8" applyFont="1" applyFill="1" applyBorder="1" applyAlignment="1">
      <alignment horizontal="center"/>
    </xf>
    <xf numFmtId="0" fontId="36" fillId="2" borderId="0" xfId="8" quotePrefix="1" applyFont="1" applyFill="1" applyAlignment="1">
      <alignment horizontal="center"/>
    </xf>
    <xf numFmtId="164" fontId="24" fillId="2" borderId="0" xfId="2" applyNumberFormat="1" applyFont="1" applyFill="1" applyBorder="1" applyAlignment="1">
      <alignment horizontal="center"/>
    </xf>
    <xf numFmtId="169" fontId="24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left" indent="1"/>
    </xf>
    <xf numFmtId="6" fontId="33" fillId="2" borderId="0" xfId="0" applyNumberFormat="1" applyFont="1" applyFill="1"/>
    <xf numFmtId="0" fontId="40" fillId="2" borderId="22" xfId="8" applyFont="1" applyFill="1" applyBorder="1"/>
    <xf numFmtId="43" fontId="41" fillId="29" borderId="21" xfId="1" applyFont="1" applyFill="1" applyBorder="1" applyAlignment="1">
      <alignment horizontal="center"/>
    </xf>
    <xf numFmtId="165" fontId="33" fillId="2" borderId="21" xfId="1" applyNumberFormat="1" applyFont="1" applyFill="1" applyBorder="1"/>
    <xf numFmtId="7" fontId="33" fillId="2" borderId="21" xfId="1" applyNumberFormat="1" applyFont="1" applyFill="1" applyBorder="1"/>
    <xf numFmtId="3" fontId="33" fillId="2" borderId="13" xfId="8" applyNumberFormat="1" applyFont="1" applyFill="1" applyBorder="1"/>
    <xf numFmtId="6" fontId="41" fillId="29" borderId="21" xfId="0" applyNumberFormat="1" applyFont="1" applyFill="1" applyBorder="1"/>
    <xf numFmtId="6" fontId="35" fillId="2" borderId="0" xfId="1" applyNumberFormat="1" applyFont="1" applyFill="1" applyAlignment="1">
      <alignment horizontal="center"/>
    </xf>
    <xf numFmtId="0" fontId="40" fillId="2" borderId="17" xfId="8" applyFont="1" applyFill="1" applyBorder="1"/>
    <xf numFmtId="0" fontId="40" fillId="2" borderId="0" xfId="8" applyFont="1" applyFill="1" applyAlignment="1">
      <alignment horizontal="center"/>
    </xf>
    <xf numFmtId="3" fontId="33" fillId="2" borderId="0" xfId="8" applyNumberFormat="1" applyFont="1" applyFill="1"/>
    <xf numFmtId="7" fontId="33" fillId="2" borderId="0" xfId="8" applyNumberFormat="1" applyFont="1" applyFill="1" applyAlignment="1">
      <alignment horizontal="right"/>
    </xf>
    <xf numFmtId="164" fontId="35" fillId="2" borderId="0" xfId="2" applyNumberFormat="1" applyFont="1" applyFill="1" applyBorder="1" applyAlignment="1"/>
    <xf numFmtId="0" fontId="40" fillId="4" borderId="22" xfId="8" applyFont="1" applyFill="1" applyBorder="1"/>
    <xf numFmtId="0" fontId="40" fillId="4" borderId="13" xfId="8" applyFont="1" applyFill="1" applyBorder="1"/>
    <xf numFmtId="0" fontId="33" fillId="4" borderId="13" xfId="8" applyFont="1" applyFill="1" applyBorder="1"/>
    <xf numFmtId="7" fontId="33" fillId="4" borderId="13" xfId="8" applyNumberFormat="1" applyFont="1" applyFill="1" applyBorder="1" applyAlignment="1">
      <alignment horizontal="right"/>
    </xf>
    <xf numFmtId="3" fontId="34" fillId="4" borderId="20" xfId="8" applyNumberFormat="1" applyFont="1" applyFill="1" applyBorder="1"/>
    <xf numFmtId="6" fontId="24" fillId="14" borderId="0" xfId="0" applyNumberFormat="1" applyFont="1" applyFill="1"/>
    <xf numFmtId="3" fontId="24" fillId="2" borderId="17" xfId="0" applyNumberFormat="1" applyFont="1" applyFill="1" applyBorder="1" applyAlignment="1">
      <alignment horizontal="left" indent="2"/>
    </xf>
    <xf numFmtId="0" fontId="45" fillId="2" borderId="0" xfId="8" applyFont="1" applyFill="1" applyAlignment="1">
      <alignment horizontal="center"/>
    </xf>
    <xf numFmtId="165" fontId="33" fillId="2" borderId="23" xfId="1" applyNumberFormat="1" applyFont="1" applyFill="1" applyBorder="1"/>
    <xf numFmtId="7" fontId="41" fillId="0" borderId="23" xfId="0" applyNumberFormat="1" applyFont="1" applyBorder="1" applyAlignment="1">
      <alignment horizontal="right"/>
    </xf>
    <xf numFmtId="5" fontId="33" fillId="2" borderId="25" xfId="9" applyNumberFormat="1" applyFont="1" applyFill="1" applyBorder="1" applyAlignment="1"/>
    <xf numFmtId="165" fontId="30" fillId="2" borderId="21" xfId="1" applyNumberFormat="1" applyFont="1" applyFill="1" applyBorder="1"/>
    <xf numFmtId="164" fontId="25" fillId="2" borderId="13" xfId="2" applyNumberFormat="1" applyFont="1" applyFill="1" applyBorder="1" applyAlignment="1">
      <alignment horizontal="center"/>
    </xf>
    <xf numFmtId="169" fontId="25" fillId="2" borderId="13" xfId="0" applyNumberFormat="1" applyFont="1" applyFill="1" applyBorder="1" applyAlignment="1">
      <alignment horizontal="center"/>
    </xf>
    <xf numFmtId="0" fontId="25" fillId="2" borderId="13" xfId="0" applyFont="1" applyFill="1" applyBorder="1"/>
    <xf numFmtId="6" fontId="25" fillId="14" borderId="13" xfId="0" applyNumberFormat="1" applyFont="1" applyFill="1" applyBorder="1"/>
    <xf numFmtId="171" fontId="25" fillId="2" borderId="13" xfId="0" applyNumberFormat="1" applyFont="1" applyFill="1" applyBorder="1" applyAlignment="1">
      <alignment horizontal="center"/>
    </xf>
    <xf numFmtId="171" fontId="25" fillId="14" borderId="13" xfId="0" applyNumberFormat="1" applyFont="1" applyFill="1" applyBorder="1" applyAlignment="1">
      <alignment horizontal="center"/>
    </xf>
    <xf numFmtId="0" fontId="24" fillId="2" borderId="17" xfId="0" applyFont="1" applyFill="1" applyBorder="1" applyAlignment="1">
      <alignment horizontal="left" indent="2"/>
    </xf>
    <xf numFmtId="43" fontId="35" fillId="2" borderId="0" xfId="1" applyFont="1" applyFill="1" applyAlignment="1"/>
    <xf numFmtId="165" fontId="24" fillId="14" borderId="0" xfId="0" applyNumberFormat="1" applyFont="1" applyFill="1"/>
    <xf numFmtId="165" fontId="31" fillId="2" borderId="21" xfId="1" applyNumberFormat="1" applyFont="1" applyFill="1" applyBorder="1"/>
    <xf numFmtId="171" fontId="24" fillId="2" borderId="0" xfId="0" applyNumberFormat="1" applyFont="1" applyFill="1"/>
    <xf numFmtId="0" fontId="33" fillId="2" borderId="0" xfId="8" applyFont="1" applyFill="1" applyAlignment="1">
      <alignment horizontal="center"/>
    </xf>
    <xf numFmtId="10" fontId="33" fillId="2" borderId="0" xfId="8" applyNumberFormat="1" applyFont="1" applyFill="1"/>
    <xf numFmtId="0" fontId="46" fillId="2" borderId="0" xfId="8" applyFont="1" applyFill="1"/>
    <xf numFmtId="44" fontId="35" fillId="2" borderId="0" xfId="8" applyNumberFormat="1" applyFont="1" applyFill="1"/>
    <xf numFmtId="0" fontId="25" fillId="2" borderId="13" xfId="0" applyFont="1" applyFill="1" applyBorder="1" applyAlignment="1">
      <alignment horizontal="left"/>
    </xf>
    <xf numFmtId="171" fontId="25" fillId="2" borderId="13" xfId="0" applyNumberFormat="1" applyFont="1" applyFill="1" applyBorder="1"/>
    <xf numFmtId="168" fontId="24" fillId="2" borderId="0" xfId="0" applyNumberFormat="1" applyFont="1" applyFill="1" applyAlignment="1">
      <alignment horizontal="left" indent="1"/>
    </xf>
    <xf numFmtId="168" fontId="24" fillId="2" borderId="0" xfId="0" applyNumberFormat="1" applyFont="1" applyFill="1"/>
    <xf numFmtId="5" fontId="41" fillId="2" borderId="25" xfId="9" applyNumberFormat="1" applyFont="1" applyFill="1" applyBorder="1" applyAlignment="1"/>
    <xf numFmtId="164" fontId="25" fillId="2" borderId="27" xfId="2" applyNumberFormat="1" applyFont="1" applyFill="1" applyBorder="1" applyAlignment="1">
      <alignment horizontal="center"/>
    </xf>
    <xf numFmtId="169" fontId="25" fillId="2" borderId="27" xfId="0" applyNumberFormat="1" applyFont="1" applyFill="1" applyBorder="1" applyAlignment="1">
      <alignment horizontal="center"/>
    </xf>
    <xf numFmtId="0" fontId="25" fillId="2" borderId="27" xfId="0" applyFont="1" applyFill="1" applyBorder="1"/>
    <xf numFmtId="6" fontId="25" fillId="2" borderId="27" xfId="0" applyNumberFormat="1" applyFont="1" applyFill="1" applyBorder="1"/>
    <xf numFmtId="171" fontId="25" fillId="2" borderId="27" xfId="0" applyNumberFormat="1" applyFont="1" applyFill="1" applyBorder="1"/>
    <xf numFmtId="5" fontId="30" fillId="2" borderId="25" xfId="9" applyNumberFormat="1" applyFont="1" applyFill="1" applyBorder="1" applyAlignment="1"/>
    <xf numFmtId="0" fontId="48" fillId="2" borderId="0" xfId="8" applyFont="1" applyFill="1" applyAlignment="1">
      <alignment horizontal="center"/>
    </xf>
    <xf numFmtId="0" fontId="49" fillId="2" borderId="0" xfId="8" applyFont="1" applyFill="1" applyAlignment="1">
      <alignment horizontal="center"/>
    </xf>
    <xf numFmtId="10" fontId="30" fillId="0" borderId="16" xfId="2" applyNumberFormat="1" applyFont="1" applyFill="1" applyBorder="1" applyAlignment="1">
      <alignment horizontal="center"/>
    </xf>
    <xf numFmtId="5" fontId="30" fillId="14" borderId="21" xfId="9" applyNumberFormat="1" applyFont="1" applyFill="1" applyBorder="1" applyAlignment="1"/>
    <xf numFmtId="43" fontId="35" fillId="14" borderId="0" xfId="1" applyFont="1" applyFill="1" applyAlignment="1"/>
    <xf numFmtId="0" fontId="37" fillId="2" borderId="0" xfId="8" applyFont="1" applyFill="1" applyAlignment="1">
      <alignment horizontal="center"/>
    </xf>
    <xf numFmtId="43" fontId="30" fillId="0" borderId="0" xfId="8" applyNumberFormat="1" applyFont="1"/>
    <xf numFmtId="164" fontId="33" fillId="2" borderId="0" xfId="2" applyNumberFormat="1" applyFont="1" applyFill="1" applyAlignment="1">
      <alignment horizontal="center"/>
    </xf>
    <xf numFmtId="165" fontId="30" fillId="0" borderId="0" xfId="1" applyNumberFormat="1" applyFont="1" applyFill="1" applyAlignment="1">
      <alignment horizontal="center"/>
    </xf>
    <xf numFmtId="9" fontId="33" fillId="2" borderId="0" xfId="8" applyNumberFormat="1" applyFont="1" applyFill="1" applyAlignment="1">
      <alignment horizontal="center"/>
    </xf>
    <xf numFmtId="164" fontId="35" fillId="2" borderId="0" xfId="8" applyNumberFormat="1" applyFont="1" applyFill="1"/>
    <xf numFmtId="3" fontId="34" fillId="4" borderId="13" xfId="8" applyNumberFormat="1" applyFont="1" applyFill="1" applyBorder="1"/>
    <xf numFmtId="7" fontId="34" fillId="4" borderId="12" xfId="9" applyNumberFormat="1" applyFont="1" applyFill="1" applyBorder="1" applyAlignment="1"/>
    <xf numFmtId="7" fontId="34" fillId="4" borderId="13" xfId="8" applyNumberFormat="1" applyFont="1" applyFill="1" applyBorder="1"/>
    <xf numFmtId="5" fontId="34" fillId="4" borderId="21" xfId="9" applyNumberFormat="1" applyFont="1" applyFill="1" applyBorder="1" applyAlignment="1"/>
    <xf numFmtId="43" fontId="35" fillId="2" borderId="0" xfId="8" applyNumberFormat="1" applyFont="1" applyFill="1"/>
    <xf numFmtId="3" fontId="33" fillId="2" borderId="25" xfId="8" applyNumberFormat="1" applyFont="1" applyFill="1" applyBorder="1"/>
    <xf numFmtId="7" fontId="33" fillId="2" borderId="25" xfId="9" applyNumberFormat="1" applyFont="1" applyFill="1" applyBorder="1" applyAlignment="1"/>
    <xf numFmtId="5" fontId="30" fillId="14" borderId="24" xfId="9" applyNumberFormat="1" applyFont="1" applyFill="1" applyBorder="1" applyAlignment="1"/>
    <xf numFmtId="9" fontId="33" fillId="2" borderId="0" xfId="2" applyFont="1" applyFill="1" applyAlignment="1"/>
    <xf numFmtId="3" fontId="33" fillId="2" borderId="24" xfId="8" applyNumberFormat="1" applyFont="1" applyFill="1" applyBorder="1"/>
    <xf numFmtId="7" fontId="33" fillId="2" borderId="24" xfId="9" applyNumberFormat="1" applyFont="1" applyFill="1" applyBorder="1" applyAlignment="1"/>
    <xf numFmtId="10" fontId="33" fillId="2" borderId="16" xfId="2" applyNumberFormat="1" applyFont="1" applyFill="1" applyBorder="1" applyAlignment="1">
      <alignment horizontal="center"/>
    </xf>
    <xf numFmtId="0" fontId="35" fillId="2" borderId="0" xfId="8" applyFont="1" applyFill="1" applyAlignment="1">
      <alignment horizontal="center"/>
    </xf>
    <xf numFmtId="10" fontId="41" fillId="0" borderId="16" xfId="2" applyNumberFormat="1" applyFont="1" applyFill="1" applyBorder="1" applyAlignment="1">
      <alignment horizontal="center"/>
    </xf>
    <xf numFmtId="5" fontId="33" fillId="2" borderId="24" xfId="9" applyNumberFormat="1" applyFont="1" applyFill="1" applyBorder="1" applyAlignment="1"/>
    <xf numFmtId="0" fontId="35" fillId="2" borderId="27" xfId="8" applyFont="1" applyFill="1" applyBorder="1"/>
    <xf numFmtId="178" fontId="33" fillId="14" borderId="27" xfId="8" applyNumberFormat="1" applyFont="1" applyFill="1" applyBorder="1" applyAlignment="1">
      <alignment horizontal="center"/>
    </xf>
    <xf numFmtId="165" fontId="33" fillId="2" borderId="27" xfId="8" applyNumberFormat="1" applyFont="1" applyFill="1" applyBorder="1" applyAlignment="1">
      <alignment horizontal="center"/>
    </xf>
    <xf numFmtId="165" fontId="33" fillId="14" borderId="27" xfId="8" applyNumberFormat="1" applyFont="1" applyFill="1" applyBorder="1"/>
    <xf numFmtId="9" fontId="33" fillId="2" borderId="27" xfId="2" applyFont="1" applyFill="1" applyBorder="1" applyAlignment="1">
      <alignment horizontal="center"/>
    </xf>
    <xf numFmtId="168" fontId="24" fillId="2" borderId="14" xfId="0" applyNumberFormat="1" applyFont="1" applyFill="1" applyBorder="1" applyAlignment="1">
      <alignment horizontal="left" indent="2"/>
    </xf>
    <xf numFmtId="3" fontId="33" fillId="2" borderId="23" xfId="8" applyNumberFormat="1" applyFont="1" applyFill="1" applyBorder="1"/>
    <xf numFmtId="7" fontId="33" fillId="2" borderId="23" xfId="9" applyNumberFormat="1" applyFont="1" applyFill="1" applyBorder="1" applyAlignment="1"/>
    <xf numFmtId="10" fontId="31" fillId="14" borderId="16" xfId="2" applyNumberFormat="1" applyFont="1" applyFill="1" applyBorder="1" applyAlignment="1">
      <alignment horizontal="center"/>
    </xf>
    <xf numFmtId="5" fontId="30" fillId="0" borderId="24" xfId="9" applyNumberFormat="1" applyFont="1" applyFill="1" applyBorder="1" applyAlignment="1"/>
    <xf numFmtId="0" fontId="35" fillId="2" borderId="0" xfId="8" applyFont="1" applyFill="1" applyAlignment="1">
      <alignment horizontal="left" indent="1"/>
    </xf>
    <xf numFmtId="7" fontId="33" fillId="4" borderId="11" xfId="8" applyNumberFormat="1" applyFont="1" applyFill="1" applyBorder="1"/>
    <xf numFmtId="0" fontId="40" fillId="2" borderId="29" xfId="8" applyFont="1" applyFill="1" applyBorder="1"/>
    <xf numFmtId="0" fontId="40" fillId="2" borderId="27" xfId="8" applyFont="1" applyFill="1" applyBorder="1"/>
    <xf numFmtId="3" fontId="33" fillId="2" borderId="27" xfId="8" applyNumberFormat="1" applyFont="1" applyFill="1" applyBorder="1"/>
    <xf numFmtId="7" fontId="33" fillId="2" borderId="27" xfId="9" applyNumberFormat="1" applyFont="1" applyFill="1" applyBorder="1" applyAlignment="1"/>
    <xf numFmtId="0" fontId="33" fillId="2" borderId="27" xfId="8" applyFont="1" applyFill="1" applyBorder="1"/>
    <xf numFmtId="5" fontId="34" fillId="2" borderId="28" xfId="9" applyNumberFormat="1" applyFont="1" applyFill="1" applyBorder="1" applyAlignment="1"/>
    <xf numFmtId="0" fontId="50" fillId="2" borderId="0" xfId="8" applyFont="1" applyFill="1"/>
    <xf numFmtId="165" fontId="50" fillId="2" borderId="0" xfId="1" applyNumberFormat="1" applyFont="1" applyFill="1" applyAlignment="1"/>
    <xf numFmtId="7" fontId="35" fillId="2" borderId="0" xfId="9" applyNumberFormat="1" applyFont="1" applyFill="1" applyAlignment="1"/>
    <xf numFmtId="44" fontId="35" fillId="2" borderId="0" xfId="9" applyFont="1" applyFill="1" applyAlignment="1"/>
    <xf numFmtId="10" fontId="33" fillId="2" borderId="0" xfId="2" applyNumberFormat="1" applyFont="1" applyFill="1" applyAlignment="1"/>
    <xf numFmtId="165" fontId="33" fillId="0" borderId="12" xfId="1" applyNumberFormat="1" applyFont="1" applyFill="1" applyBorder="1" applyAlignment="1"/>
    <xf numFmtId="9" fontId="35" fillId="2" borderId="0" xfId="8" applyNumberFormat="1" applyFont="1" applyFill="1"/>
    <xf numFmtId="0" fontId="33" fillId="2" borderId="0" xfId="8" applyFont="1" applyFill="1" applyAlignment="1">
      <alignment horizontal="left" indent="1"/>
    </xf>
    <xf numFmtId="0" fontId="50" fillId="2" borderId="0" xfId="8" applyFont="1" applyFill="1" applyAlignment="1">
      <alignment horizontal="center"/>
    </xf>
    <xf numFmtId="165" fontId="33" fillId="0" borderId="12" xfId="8" applyNumberFormat="1" applyFont="1" applyBorder="1"/>
    <xf numFmtId="165" fontId="41" fillId="2" borderId="0" xfId="1" applyNumberFormat="1" applyFont="1" applyFill="1" applyAlignment="1">
      <alignment horizontal="left" indent="1"/>
    </xf>
    <xf numFmtId="9" fontId="35" fillId="2" borderId="0" xfId="8" applyNumberFormat="1" applyFont="1" applyFill="1" applyAlignment="1">
      <alignment horizontal="left" indent="1"/>
    </xf>
    <xf numFmtId="165" fontId="35" fillId="0" borderId="0" xfId="8" applyNumberFormat="1" applyFont="1"/>
    <xf numFmtId="9" fontId="24" fillId="2" borderId="0" xfId="1" applyNumberFormat="1" applyFont="1" applyFill="1"/>
    <xf numFmtId="167" fontId="35" fillId="2" borderId="0" xfId="1" applyNumberFormat="1" applyFont="1" applyFill="1" applyAlignment="1"/>
    <xf numFmtId="0" fontId="35" fillId="0" borderId="0" xfId="8" applyFont="1"/>
    <xf numFmtId="43" fontId="33" fillId="2" borderId="0" xfId="8" applyNumberFormat="1" applyFont="1" applyFill="1"/>
    <xf numFmtId="165" fontId="41" fillId="2" borderId="0" xfId="8" applyNumberFormat="1" applyFont="1" applyFill="1"/>
    <xf numFmtId="0" fontId="42" fillId="2" borderId="0" xfId="8" quotePrefix="1" applyFont="1" applyFill="1"/>
    <xf numFmtId="165" fontId="24" fillId="2" borderId="0" xfId="6" applyNumberFormat="1" applyFont="1" applyFill="1" applyAlignment="1">
      <alignment horizontal="center" vertical="center"/>
    </xf>
    <xf numFmtId="0" fontId="50" fillId="2" borderId="0" xfId="8" quotePrefix="1" applyFont="1" applyFill="1"/>
    <xf numFmtId="3" fontId="25" fillId="2" borderId="0" xfId="0" applyNumberFormat="1" applyFont="1" applyFill="1"/>
    <xf numFmtId="3" fontId="51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left" indent="1"/>
    </xf>
    <xf numFmtId="3" fontId="30" fillId="14" borderId="0" xfId="0" applyNumberFormat="1" applyFont="1" applyFill="1" applyAlignment="1">
      <alignment horizontal="center"/>
    </xf>
    <xf numFmtId="3" fontId="24" fillId="14" borderId="0" xfId="0" applyNumberFormat="1" applyFont="1" applyFill="1" applyAlignment="1">
      <alignment horizontal="center"/>
    </xf>
    <xf numFmtId="169" fontId="30" fillId="2" borderId="0" xfId="9" applyNumberFormat="1" applyFont="1" applyFill="1" applyBorder="1" applyAlignment="1">
      <alignment horizontal="center"/>
    </xf>
    <xf numFmtId="169" fontId="41" fillId="29" borderId="0" xfId="9" applyNumberFormat="1" applyFont="1" applyFill="1" applyBorder="1" applyAlignment="1">
      <alignment horizontal="center"/>
    </xf>
    <xf numFmtId="169" fontId="30" fillId="0" borderId="0" xfId="9" applyNumberFormat="1" applyFont="1" applyFill="1" applyBorder="1" applyAlignment="1">
      <alignment horizontal="center"/>
    </xf>
    <xf numFmtId="164" fontId="41" fillId="29" borderId="0" xfId="2" applyNumberFormat="1" applyFont="1" applyFill="1" applyBorder="1" applyAlignment="1">
      <alignment horizontal="center"/>
    </xf>
    <xf numFmtId="7" fontId="30" fillId="2" borderId="0" xfId="0" applyNumberFormat="1" applyFont="1" applyFill="1" applyAlignment="1">
      <alignment horizontal="center"/>
    </xf>
    <xf numFmtId="179" fontId="24" fillId="2" borderId="0" xfId="0" applyNumberFormat="1" applyFont="1" applyFill="1" applyAlignment="1">
      <alignment horizontal="center"/>
    </xf>
    <xf numFmtId="9" fontId="41" fillId="29" borderId="0" xfId="2" applyFont="1" applyFill="1" applyBorder="1" applyAlignment="1">
      <alignment horizontal="center"/>
    </xf>
    <xf numFmtId="9" fontId="52" fillId="2" borderId="0" xfId="2" applyFont="1" applyFill="1" applyBorder="1" applyAlignment="1">
      <alignment horizontal="center"/>
    </xf>
    <xf numFmtId="9" fontId="33" fillId="2" borderId="0" xfId="2" applyFont="1" applyFill="1" applyBorder="1" applyAlignment="1">
      <alignment horizontal="center"/>
    </xf>
    <xf numFmtId="0" fontId="33" fillId="14" borderId="0" xfId="8" applyFont="1" applyFill="1"/>
    <xf numFmtId="8" fontId="41" fillId="2" borderId="0" xfId="9" applyNumberFormat="1" applyFont="1" applyFill="1" applyAlignment="1">
      <alignment horizontal="center"/>
    </xf>
    <xf numFmtId="179" fontId="24" fillId="14" borderId="0" xfId="0" applyNumberFormat="1" applyFont="1" applyFill="1" applyAlignment="1">
      <alignment horizontal="center"/>
    </xf>
    <xf numFmtId="3" fontId="24" fillId="2" borderId="0" xfId="0" applyNumberFormat="1" applyFont="1" applyFill="1"/>
    <xf numFmtId="0" fontId="25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165" fontId="30" fillId="0" borderId="0" xfId="1" applyNumberFormat="1" applyFont="1" applyFill="1" applyBorder="1" applyAlignment="1"/>
    <xf numFmtId="0" fontId="53" fillId="2" borderId="0" xfId="13" applyFont="1" applyFill="1"/>
    <xf numFmtId="165" fontId="53" fillId="2" borderId="0" xfId="6" applyNumberFormat="1" applyFont="1" applyFill="1" applyAlignment="1">
      <alignment horizontal="center" vertical="center"/>
    </xf>
    <xf numFmtId="10" fontId="54" fillId="2" borderId="0" xfId="13" applyNumberFormat="1" applyFont="1" applyFill="1"/>
    <xf numFmtId="3" fontId="24" fillId="2" borderId="0" xfId="0" applyNumberFormat="1" applyFont="1" applyFill="1" applyAlignment="1">
      <alignment horizontal="left" indent="2"/>
    </xf>
    <xf numFmtId="9" fontId="47" fillId="2" borderId="0" xfId="2" applyFont="1" applyFill="1" applyBorder="1"/>
    <xf numFmtId="0" fontId="24" fillId="0" borderId="0" xfId="0" applyFont="1" applyAlignment="1">
      <alignment horizontal="left" indent="1"/>
    </xf>
    <xf numFmtId="5" fontId="41" fillId="29" borderId="0" xfId="0" applyNumberFormat="1" applyFont="1" applyFill="1" applyAlignment="1">
      <alignment horizontal="center"/>
    </xf>
    <xf numFmtId="10" fontId="41" fillId="29" borderId="0" xfId="0" applyNumberFormat="1" applyFont="1" applyFill="1" applyAlignment="1">
      <alignment horizontal="center"/>
    </xf>
    <xf numFmtId="5" fontId="24" fillId="0" borderId="0" xfId="1" applyNumberFormat="1" applyFont="1" applyFill="1" applyBorder="1" applyAlignment="1">
      <alignment horizontal="center"/>
    </xf>
    <xf numFmtId="165" fontId="24" fillId="2" borderId="0" xfId="6" applyNumberFormat="1" applyFont="1" applyFill="1"/>
    <xf numFmtId="165" fontId="30" fillId="0" borderId="0" xfId="0" applyNumberFormat="1" applyFont="1"/>
    <xf numFmtId="10" fontId="41" fillId="29" borderId="0" xfId="2" applyNumberFormat="1" applyFont="1" applyFill="1" applyBorder="1" applyAlignment="1">
      <alignment horizontal="center"/>
    </xf>
    <xf numFmtId="3" fontId="41" fillId="30" borderId="0" xfId="1" applyNumberFormat="1" applyFont="1" applyFill="1" applyBorder="1" applyAlignment="1">
      <alignment horizontal="center"/>
    </xf>
    <xf numFmtId="165" fontId="24" fillId="0" borderId="0" xfId="1" applyNumberFormat="1" applyFont="1" applyFill="1" applyBorder="1"/>
    <xf numFmtId="0" fontId="30" fillId="0" borderId="0" xfId="0" applyFont="1"/>
    <xf numFmtId="0" fontId="24" fillId="2" borderId="12" xfId="0" applyFont="1" applyFill="1" applyBorder="1"/>
    <xf numFmtId="5" fontId="24" fillId="2" borderId="12" xfId="0" applyNumberFormat="1" applyFont="1" applyFill="1" applyBorder="1" applyAlignment="1">
      <alignment horizontal="center"/>
    </xf>
    <xf numFmtId="165" fontId="24" fillId="2" borderId="0" xfId="0" applyNumberFormat="1" applyFont="1" applyFill="1"/>
    <xf numFmtId="7" fontId="33" fillId="2" borderId="0" xfId="8" applyNumberFormat="1" applyFont="1" applyFill="1"/>
    <xf numFmtId="0" fontId="33" fillId="0" borderId="0" xfId="8" applyFont="1"/>
    <xf numFmtId="3" fontId="24" fillId="0" borderId="0" xfId="0" applyNumberFormat="1" applyFont="1" applyAlignment="1">
      <alignment horizontal="left" indent="1"/>
    </xf>
    <xf numFmtId="174" fontId="24" fillId="0" borderId="0" xfId="1" applyNumberFormat="1" applyFont="1" applyFill="1" applyAlignment="1">
      <alignment horizontal="center"/>
    </xf>
    <xf numFmtId="9" fontId="33" fillId="0" borderId="0" xfId="2" applyFont="1" applyFill="1" applyBorder="1" applyAlignment="1">
      <alignment horizontal="center"/>
    </xf>
    <xf numFmtId="164" fontId="41" fillId="0" borderId="0" xfId="2" applyNumberFormat="1" applyFont="1" applyFill="1" applyBorder="1" applyAlignment="1">
      <alignment horizontal="center"/>
    </xf>
    <xf numFmtId="37" fontId="24" fillId="2" borderId="0" xfId="0" applyNumberFormat="1" applyFont="1" applyFill="1"/>
    <xf numFmtId="0" fontId="41" fillId="0" borderId="0" xfId="1" applyNumberFormat="1" applyFont="1" applyFill="1" applyBorder="1" applyAlignment="1">
      <alignment horizontal="center"/>
    </xf>
    <xf numFmtId="37" fontId="33" fillId="2" borderId="0" xfId="0" applyNumberFormat="1" applyFont="1" applyFill="1"/>
    <xf numFmtId="174" fontId="30" fillId="0" borderId="0" xfId="1" applyNumberFormat="1" applyFont="1" applyFill="1" applyAlignment="1">
      <alignment horizontal="center"/>
    </xf>
    <xf numFmtId="9" fontId="33" fillId="0" borderId="0" xfId="0" applyNumberFormat="1" applyFont="1" applyAlignment="1">
      <alignment horizontal="center"/>
    </xf>
    <xf numFmtId="0" fontId="41" fillId="29" borderId="0" xfId="1" applyNumberFormat="1" applyFont="1" applyFill="1" applyBorder="1" applyAlignment="1">
      <alignment horizontal="center"/>
    </xf>
    <xf numFmtId="44" fontId="41" fillId="0" borderId="0" xfId="9" applyFont="1" applyFill="1" applyBorder="1"/>
    <xf numFmtId="37" fontId="33" fillId="14" borderId="0" xfId="0" applyNumberFormat="1" applyFont="1" applyFill="1"/>
    <xf numFmtId="7" fontId="41" fillId="29" borderId="0" xfId="9" applyNumberFormat="1" applyFont="1" applyFill="1" applyBorder="1" applyAlignment="1">
      <alignment horizontal="center"/>
    </xf>
    <xf numFmtId="164" fontId="46" fillId="0" borderId="0" xfId="2" applyNumberFormat="1" applyFont="1" applyFill="1" applyBorder="1" applyAlignment="1">
      <alignment horizontal="center"/>
    </xf>
    <xf numFmtId="168" fontId="30" fillId="0" borderId="0" xfId="9" applyNumberFormat="1" applyFont="1" applyFill="1" applyBorder="1"/>
    <xf numFmtId="0" fontId="28" fillId="0" borderId="0" xfId="0" applyFont="1" applyAlignment="1">
      <alignment horizontal="centerContinuous"/>
    </xf>
    <xf numFmtId="164" fontId="33" fillId="2" borderId="0" xfId="2" applyNumberFormat="1" applyFont="1" applyFill="1" applyBorder="1" applyAlignment="1">
      <alignment horizontal="center"/>
    </xf>
    <xf numFmtId="7" fontId="24" fillId="0" borderId="0" xfId="0" applyNumberFormat="1" applyFont="1" applyAlignment="1">
      <alignment horizontal="center"/>
    </xf>
    <xf numFmtId="0" fontId="47" fillId="0" borderId="0" xfId="8" applyFont="1" applyAlignment="1">
      <alignment horizontal="center"/>
    </xf>
    <xf numFmtId="3" fontId="24" fillId="0" borderId="0" xfId="0" applyNumberFormat="1" applyFont="1" applyAlignment="1">
      <alignment horizontal="left" indent="2"/>
    </xf>
    <xf numFmtId="7" fontId="24" fillId="2" borderId="0" xfId="0" applyNumberFormat="1" applyFont="1" applyFill="1" applyAlignment="1">
      <alignment horizontal="center"/>
    </xf>
    <xf numFmtId="164" fontId="41" fillId="0" borderId="0" xfId="0" applyNumberFormat="1" applyFont="1" applyAlignment="1">
      <alignment horizontal="center"/>
    </xf>
    <xf numFmtId="183" fontId="24" fillId="2" borderId="0" xfId="0" applyNumberFormat="1" applyFont="1" applyFill="1"/>
    <xf numFmtId="164" fontId="41" fillId="29" borderId="0" xfId="0" applyNumberFormat="1" applyFont="1" applyFill="1" applyAlignment="1">
      <alignment horizontal="center"/>
    </xf>
    <xf numFmtId="164" fontId="33" fillId="2" borderId="0" xfId="0" applyNumberFormat="1" applyFont="1" applyFill="1" applyAlignment="1">
      <alignment horizontal="center"/>
    </xf>
    <xf numFmtId="5" fontId="35" fillId="2" borderId="0" xfId="8" applyNumberFormat="1" applyFont="1" applyFill="1"/>
    <xf numFmtId="0" fontId="24" fillId="0" borderId="19" xfId="0" applyFont="1" applyBorder="1"/>
    <xf numFmtId="0" fontId="24" fillId="0" borderId="18" xfId="0" applyFont="1" applyBorder="1"/>
    <xf numFmtId="0" fontId="24" fillId="0" borderId="17" xfId="0" applyFont="1" applyBorder="1"/>
    <xf numFmtId="14" fontId="24" fillId="0" borderId="0" xfId="0" applyNumberFormat="1" applyFont="1" applyAlignment="1">
      <alignment horizontal="left"/>
    </xf>
    <xf numFmtId="0" fontId="24" fillId="0" borderId="16" xfId="0" applyFont="1" applyBorder="1"/>
    <xf numFmtId="0" fontId="56" fillId="0" borderId="17" xfId="0" applyFont="1" applyBorder="1" applyAlignment="1">
      <alignment horizontal="centerContinuous"/>
    </xf>
    <xf numFmtId="0" fontId="24" fillId="0" borderId="0" xfId="0" applyFont="1" applyAlignment="1">
      <alignment horizontal="centerContinuous"/>
    </xf>
    <xf numFmtId="0" fontId="24" fillId="0" borderId="16" xfId="0" applyFont="1" applyBorder="1" applyAlignment="1">
      <alignment horizontal="centerContinuous"/>
    </xf>
    <xf numFmtId="0" fontId="57" fillId="0" borderId="17" xfId="0" applyFont="1" applyBorder="1" applyAlignment="1">
      <alignment horizontal="centerContinuous"/>
    </xf>
    <xf numFmtId="0" fontId="24" fillId="0" borderId="17" xfId="0" quotePrefix="1" applyFont="1" applyBorder="1"/>
    <xf numFmtId="0" fontId="58" fillId="0" borderId="17" xfId="0" applyFont="1" applyBorder="1" applyAlignment="1">
      <alignment horizontal="centerContinuous"/>
    </xf>
    <xf numFmtId="0" fontId="58" fillId="0" borderId="0" xfId="0" applyFont="1" applyAlignment="1">
      <alignment horizontal="centerContinuous"/>
    </xf>
    <xf numFmtId="0" fontId="58" fillId="0" borderId="16" xfId="0" applyFont="1" applyBorder="1" applyAlignment="1">
      <alignment horizontal="centerContinuous"/>
    </xf>
    <xf numFmtId="180" fontId="59" fillId="0" borderId="17" xfId="0" applyNumberFormat="1" applyFont="1" applyBorder="1" applyAlignment="1">
      <alignment horizontal="centerContinuous"/>
    </xf>
    <xf numFmtId="0" fontId="60" fillId="0" borderId="0" xfId="0" applyFont="1" applyAlignment="1">
      <alignment horizontal="centerContinuous"/>
    </xf>
    <xf numFmtId="0" fontId="24" fillId="0" borderId="14" xfId="0" applyFont="1" applyBorder="1"/>
    <xf numFmtId="0" fontId="24" fillId="0" borderId="11" xfId="0" applyFont="1" applyBorder="1"/>
    <xf numFmtId="0" fontId="24" fillId="0" borderId="15" xfId="0" applyFont="1" applyBorder="1"/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61" fillId="2" borderId="40" xfId="0" applyFont="1" applyFill="1" applyBorder="1"/>
    <xf numFmtId="0" fontId="24" fillId="2" borderId="40" xfId="0" applyFont="1" applyFill="1" applyBorder="1"/>
    <xf numFmtId="0" fontId="24" fillId="2" borderId="40" xfId="0" applyFont="1" applyFill="1" applyBorder="1" applyAlignment="1">
      <alignment horizontal="center" vertical="center"/>
    </xf>
    <xf numFmtId="0" fontId="33" fillId="2" borderId="40" xfId="0" applyFont="1" applyFill="1" applyBorder="1"/>
    <xf numFmtId="0" fontId="28" fillId="20" borderId="0" xfId="8" applyFont="1" applyFill="1"/>
    <xf numFmtId="0" fontId="28" fillId="21" borderId="0" xfId="0" applyFont="1" applyFill="1" applyAlignment="1">
      <alignment horizontal="center" vertical="center"/>
    </xf>
    <xf numFmtId="0" fontId="28" fillId="21" borderId="0" xfId="0" applyFont="1" applyFill="1"/>
    <xf numFmtId="0" fontId="46" fillId="2" borderId="0" xfId="0" applyFont="1" applyFill="1"/>
    <xf numFmtId="8" fontId="24" fillId="14" borderId="0" xfId="0" applyNumberFormat="1" applyFont="1" applyFill="1"/>
    <xf numFmtId="0" fontId="35" fillId="27" borderId="0" xfId="8" applyFont="1" applyFill="1" applyAlignment="1">
      <alignment horizontal="center"/>
    </xf>
    <xf numFmtId="0" fontId="35" fillId="27" borderId="0" xfId="8" applyFont="1" applyFill="1"/>
    <xf numFmtId="0" fontId="35" fillId="27" borderId="0" xfId="8" applyFont="1" applyFill="1" applyAlignment="1">
      <alignment horizontal="center" vertical="center"/>
    </xf>
    <xf numFmtId="0" fontId="33" fillId="27" borderId="0" xfId="0" applyFont="1" applyFill="1"/>
    <xf numFmtId="0" fontId="35" fillId="27" borderId="41" xfId="8" applyFont="1" applyFill="1" applyBorder="1" applyAlignment="1">
      <alignment horizontal="center"/>
    </xf>
    <xf numFmtId="0" fontId="35" fillId="27" borderId="41" xfId="8" applyFont="1" applyFill="1" applyBorder="1" applyAlignment="1">
      <alignment horizontal="left" indent="1"/>
    </xf>
    <xf numFmtId="0" fontId="35" fillId="27" borderId="41" xfId="8" applyFont="1" applyFill="1" applyBorder="1" applyAlignment="1">
      <alignment horizontal="center" vertical="center"/>
    </xf>
    <xf numFmtId="5" fontId="33" fillId="27" borderId="41" xfId="0" applyNumberFormat="1" applyFont="1" applyFill="1" applyBorder="1"/>
    <xf numFmtId="0" fontId="55" fillId="2" borderId="0" xfId="0" applyFont="1" applyFill="1"/>
    <xf numFmtId="10" fontId="41" fillId="29" borderId="41" xfId="2" applyNumberFormat="1" applyFont="1" applyFill="1" applyBorder="1" applyAlignment="1">
      <alignment horizontal="center" vertical="center"/>
    </xf>
    <xf numFmtId="14" fontId="29" fillId="17" borderId="0" xfId="0" applyNumberFormat="1" applyFont="1" applyFill="1"/>
    <xf numFmtId="10" fontId="24" fillId="2" borderId="0" xfId="0" applyNumberFormat="1" applyFont="1" applyFill="1"/>
    <xf numFmtId="165" fontId="30" fillId="2" borderId="0" xfId="1" applyNumberFormat="1" applyFont="1" applyFill="1"/>
    <xf numFmtId="5" fontId="33" fillId="27" borderId="41" xfId="0" applyNumberFormat="1" applyFont="1" applyFill="1" applyBorder="1" applyAlignment="1">
      <alignment wrapText="1"/>
    </xf>
    <xf numFmtId="165" fontId="33" fillId="2" borderId="0" xfId="1" applyNumberFormat="1" applyFont="1" applyFill="1"/>
    <xf numFmtId="9" fontId="33" fillId="2" borderId="0" xfId="0" applyNumberFormat="1" applyFont="1" applyFill="1"/>
    <xf numFmtId="10" fontId="27" fillId="2" borderId="0" xfId="2" applyNumberFormat="1" applyFont="1" applyFill="1"/>
    <xf numFmtId="9" fontId="24" fillId="2" borderId="0" xfId="0" applyNumberFormat="1" applyFont="1" applyFill="1"/>
    <xf numFmtId="0" fontId="24" fillId="2" borderId="11" xfId="0" applyFont="1" applyFill="1" applyBorder="1"/>
    <xf numFmtId="165" fontId="24" fillId="2" borderId="11" xfId="0" applyNumberFormat="1" applyFont="1" applyFill="1" applyBorder="1"/>
    <xf numFmtId="0" fontId="35" fillId="24" borderId="42" xfId="8" applyFont="1" applyFill="1" applyBorder="1" applyAlignment="1">
      <alignment horizontal="center"/>
    </xf>
    <xf numFmtId="0" fontId="40" fillId="24" borderId="42" xfId="8" applyFont="1" applyFill="1" applyBorder="1" applyAlignment="1">
      <alignment horizontal="left"/>
    </xf>
    <xf numFmtId="0" fontId="40" fillId="24" borderId="42" xfId="8" applyFont="1" applyFill="1" applyBorder="1" applyAlignment="1">
      <alignment horizontal="center" vertical="center"/>
    </xf>
    <xf numFmtId="5" fontId="25" fillId="24" borderId="42" xfId="0" applyNumberFormat="1" applyFont="1" applyFill="1" applyBorder="1"/>
    <xf numFmtId="165" fontId="24" fillId="2" borderId="0" xfId="1" applyNumberFormat="1" applyFont="1" applyFill="1"/>
    <xf numFmtId="0" fontId="35" fillId="2" borderId="0" xfId="8" applyFont="1" applyFill="1" applyAlignment="1">
      <alignment horizontal="center" vertical="center"/>
    </xf>
    <xf numFmtId="165" fontId="63" fillId="2" borderId="0" xfId="1" applyNumberFormat="1" applyFont="1" applyFill="1" applyAlignment="1">
      <alignment horizontal="left" vertical="center" wrapText="1"/>
    </xf>
    <xf numFmtId="43" fontId="24" fillId="2" borderId="0" xfId="1" applyFont="1" applyFill="1" applyAlignment="1">
      <alignment horizontal="center"/>
    </xf>
    <xf numFmtId="10" fontId="30" fillId="27" borderId="41" xfId="2" applyNumberFormat="1" applyFont="1" applyFill="1" applyBorder="1" applyAlignment="1">
      <alignment horizontal="center" vertical="center"/>
    </xf>
    <xf numFmtId="14" fontId="24" fillId="2" borderId="0" xfId="0" applyNumberFormat="1" applyFont="1" applyFill="1"/>
    <xf numFmtId="49" fontId="24" fillId="2" borderId="0" xfId="0" applyNumberFormat="1" applyFont="1" applyFill="1"/>
    <xf numFmtId="0" fontId="35" fillId="0" borderId="41" xfId="8" applyFont="1" applyBorder="1" applyAlignment="1">
      <alignment horizontal="center"/>
    </xf>
    <xf numFmtId="0" fontId="50" fillId="0" borderId="41" xfId="8" applyFont="1" applyBorder="1" applyAlignment="1">
      <alignment horizontal="left" indent="1"/>
    </xf>
    <xf numFmtId="10" fontId="64" fillId="29" borderId="41" xfId="8" applyNumberFormat="1" applyFont="1" applyFill="1" applyBorder="1" applyAlignment="1">
      <alignment horizontal="center" vertical="center"/>
    </xf>
    <xf numFmtId="5" fontId="33" fillId="0" borderId="41" xfId="0" applyNumberFormat="1" applyFont="1" applyBorder="1"/>
    <xf numFmtId="0" fontId="50" fillId="0" borderId="41" xfId="8" applyFont="1" applyBorder="1" applyAlignment="1">
      <alignment horizontal="center" vertical="center"/>
    </xf>
    <xf numFmtId="0" fontId="35" fillId="2" borderId="0" xfId="8" applyFont="1" applyFill="1" applyAlignment="1">
      <alignment horizontal="left"/>
    </xf>
    <xf numFmtId="10" fontId="41" fillId="27" borderId="41" xfId="2" applyNumberFormat="1" applyFont="1" applyFill="1" applyBorder="1" applyAlignment="1">
      <alignment horizontal="center" vertical="center"/>
    </xf>
    <xf numFmtId="0" fontId="50" fillId="0" borderId="41" xfId="8" applyFont="1" applyBorder="1" applyAlignment="1">
      <alignment horizontal="center"/>
    </xf>
    <xf numFmtId="0" fontId="29" fillId="21" borderId="42" xfId="8" applyFont="1" applyFill="1" applyBorder="1" applyAlignment="1">
      <alignment horizontal="center"/>
    </xf>
    <xf numFmtId="0" fontId="28" fillId="21" borderId="42" xfId="8" applyFont="1" applyFill="1" applyBorder="1" applyAlignment="1">
      <alignment horizontal="left"/>
    </xf>
    <xf numFmtId="5" fontId="28" fillId="21" borderId="42" xfId="0" applyNumberFormat="1" applyFont="1" applyFill="1" applyBorder="1"/>
    <xf numFmtId="0" fontId="65" fillId="2" borderId="0" xfId="0" applyFont="1" applyFill="1"/>
    <xf numFmtId="0" fontId="65" fillId="2" borderId="0" xfId="0" applyFont="1" applyFill="1" applyAlignment="1">
      <alignment horizontal="center" vertical="center"/>
    </xf>
    <xf numFmtId="0" fontId="66" fillId="2" borderId="0" xfId="0" applyFont="1" applyFill="1"/>
    <xf numFmtId="0" fontId="66" fillId="2" borderId="0" xfId="0" applyFont="1" applyFill="1" applyAlignment="1">
      <alignment horizontal="center" vertical="center"/>
    </xf>
    <xf numFmtId="43" fontId="65" fillId="2" borderId="0" xfId="1" applyFont="1" applyFill="1"/>
    <xf numFmtId="43" fontId="65" fillId="2" borderId="0" xfId="1" applyFont="1" applyFill="1" applyAlignment="1">
      <alignment horizontal="center" vertical="center"/>
    </xf>
    <xf numFmtId="44" fontId="24" fillId="2" borderId="0" xfId="0" applyNumberFormat="1" applyFont="1" applyFill="1"/>
    <xf numFmtId="0" fontId="69" fillId="0" borderId="0" xfId="18" applyFont="1"/>
    <xf numFmtId="37" fontId="71" fillId="0" borderId="0" xfId="14" applyFont="1"/>
    <xf numFmtId="0" fontId="69" fillId="0" borderId="0" xfId="0" applyFont="1"/>
    <xf numFmtId="37" fontId="72" fillId="2" borderId="0" xfId="14" applyFont="1" applyFill="1"/>
    <xf numFmtId="0" fontId="69" fillId="2" borderId="0" xfId="0" applyFont="1" applyFill="1"/>
    <xf numFmtId="37" fontId="72" fillId="0" borderId="0" xfId="14" applyFont="1" applyAlignment="1">
      <alignment horizontal="center"/>
    </xf>
    <xf numFmtId="38" fontId="73" fillId="0" borderId="11" xfId="14" applyNumberFormat="1" applyFont="1" applyBorder="1" applyAlignment="1">
      <alignment horizontal="center"/>
    </xf>
    <xf numFmtId="10" fontId="74" fillId="29" borderId="24" xfId="15" applyNumberFormat="1" applyFont="1" applyFill="1" applyBorder="1"/>
    <xf numFmtId="10" fontId="71" fillId="2" borderId="24" xfId="15" applyNumberFormat="1" applyFont="1" applyFill="1" applyBorder="1"/>
    <xf numFmtId="10" fontId="71" fillId="0" borderId="0" xfId="2" applyNumberFormat="1" applyFont="1" applyFill="1" applyBorder="1"/>
    <xf numFmtId="10" fontId="75" fillId="2" borderId="23" xfId="15" applyNumberFormat="1" applyFont="1" applyFill="1" applyBorder="1"/>
    <xf numFmtId="10" fontId="71" fillId="2" borderId="23" xfId="15" applyNumberFormat="1" applyFont="1" applyFill="1" applyBorder="1"/>
    <xf numFmtId="10" fontId="74" fillId="29" borderId="23" xfId="15" applyNumberFormat="1" applyFont="1" applyFill="1" applyBorder="1"/>
    <xf numFmtId="37" fontId="73" fillId="0" borderId="11" xfId="14" applyFont="1" applyBorder="1" applyAlignment="1">
      <alignment horizontal="center"/>
    </xf>
    <xf numFmtId="37" fontId="73" fillId="0" borderId="0" xfId="14" applyFont="1" applyAlignment="1">
      <alignment horizontal="center"/>
    </xf>
    <xf numFmtId="37" fontId="71" fillId="0" borderId="0" xfId="14" applyFont="1" applyAlignment="1">
      <alignment horizontal="left" indent="1"/>
    </xf>
    <xf numFmtId="9" fontId="70" fillId="0" borderId="0" xfId="2" applyFont="1" applyFill="1" applyBorder="1" applyAlignment="1">
      <alignment horizontal="center"/>
    </xf>
    <xf numFmtId="9" fontId="77" fillId="0" borderId="0" xfId="2" applyFont="1" applyFill="1" applyBorder="1" applyAlignment="1">
      <alignment horizontal="center"/>
    </xf>
    <xf numFmtId="7" fontId="70" fillId="0" borderId="0" xfId="9" applyNumberFormat="1" applyFont="1" applyFill="1"/>
    <xf numFmtId="165" fontId="71" fillId="0" borderId="0" xfId="1" applyNumberFormat="1" applyFont="1" applyFill="1" applyBorder="1" applyAlignment="1">
      <alignment horizontal="center"/>
    </xf>
    <xf numFmtId="165" fontId="71" fillId="0" borderId="0" xfId="1" applyNumberFormat="1" applyFont="1" applyFill="1"/>
    <xf numFmtId="3" fontId="69" fillId="0" borderId="0" xfId="0" applyNumberFormat="1" applyFont="1" applyAlignment="1">
      <alignment horizontal="left" indent="1"/>
    </xf>
    <xf numFmtId="3" fontId="72" fillId="0" borderId="1" xfId="0" applyNumberFormat="1" applyFont="1" applyBorder="1"/>
    <xf numFmtId="165" fontId="72" fillId="0" borderId="1" xfId="1" applyNumberFormat="1" applyFont="1" applyFill="1" applyBorder="1"/>
    <xf numFmtId="3" fontId="72" fillId="0" borderId="0" xfId="0" applyNumberFormat="1" applyFont="1"/>
    <xf numFmtId="165" fontId="72" fillId="0" borderId="0" xfId="1" applyNumberFormat="1" applyFont="1" applyFill="1" applyBorder="1"/>
    <xf numFmtId="165" fontId="78" fillId="0" borderId="0" xfId="1" applyNumberFormat="1" applyFont="1" applyFill="1" applyBorder="1"/>
    <xf numFmtId="7" fontId="70" fillId="0" borderId="0" xfId="14" applyNumberFormat="1" applyFont="1"/>
    <xf numFmtId="3" fontId="69" fillId="0" borderId="0" xfId="0" applyNumberFormat="1" applyFont="1" applyAlignment="1">
      <alignment horizontal="left" indent="2"/>
    </xf>
    <xf numFmtId="165" fontId="69" fillId="0" borderId="0" xfId="1" applyNumberFormat="1" applyFont="1" applyFill="1" applyBorder="1" applyAlignment="1">
      <alignment horizontal="left" indent="2"/>
    </xf>
    <xf numFmtId="165" fontId="69" fillId="0" borderId="0" xfId="1" applyNumberFormat="1" applyFont="1" applyFill="1" applyBorder="1" applyAlignment="1">
      <alignment horizontal="left" indent="1"/>
    </xf>
    <xf numFmtId="3" fontId="69" fillId="0" borderId="0" xfId="0" applyNumberFormat="1" applyFont="1"/>
    <xf numFmtId="165" fontId="79" fillId="0" borderId="0" xfId="1" applyNumberFormat="1" applyFont="1" applyFill="1" applyBorder="1"/>
    <xf numFmtId="165" fontId="71" fillId="0" borderId="12" xfId="1" applyNumberFormat="1" applyFont="1" applyBorder="1"/>
    <xf numFmtId="37" fontId="73" fillId="0" borderId="0" xfId="14" applyFont="1"/>
    <xf numFmtId="37" fontId="73" fillId="0" borderId="12" xfId="14" applyFont="1" applyBorder="1"/>
    <xf numFmtId="165" fontId="73" fillId="0" borderId="12" xfId="1" applyNumberFormat="1" applyFont="1" applyBorder="1"/>
    <xf numFmtId="37" fontId="73" fillId="6" borderId="19" xfId="14" applyFont="1" applyFill="1" applyBorder="1"/>
    <xf numFmtId="10" fontId="71" fillId="25" borderId="18" xfId="2" applyNumberFormat="1" applyFont="1" applyFill="1" applyBorder="1"/>
    <xf numFmtId="37" fontId="73" fillId="6" borderId="14" xfId="14" applyFont="1" applyFill="1" applyBorder="1"/>
    <xf numFmtId="170" fontId="71" fillId="25" borderId="15" xfId="2" applyNumberFormat="1" applyFont="1" applyFill="1" applyBorder="1"/>
    <xf numFmtId="3" fontId="69" fillId="0" borderId="1" xfId="0" applyNumberFormat="1" applyFont="1" applyBorder="1" applyAlignment="1">
      <alignment horizontal="left" indent="2"/>
    </xf>
    <xf numFmtId="165" fontId="69" fillId="0" borderId="0" xfId="1" applyNumberFormat="1" applyFont="1" applyFill="1"/>
    <xf numFmtId="165" fontId="73" fillId="0" borderId="12" xfId="1" applyNumberFormat="1" applyFont="1" applyFill="1" applyBorder="1" applyAlignment="1">
      <alignment horizontal="center"/>
    </xf>
    <xf numFmtId="10" fontId="71" fillId="6" borderId="18" xfId="2" applyNumberFormat="1" applyFont="1" applyFill="1" applyBorder="1"/>
    <xf numFmtId="37" fontId="80" fillId="0" borderId="0" xfId="14" applyFont="1"/>
    <xf numFmtId="10" fontId="71" fillId="0" borderId="0" xfId="16" applyNumberFormat="1" applyFont="1" applyFill="1" applyBorder="1"/>
    <xf numFmtId="38" fontId="71" fillId="0" borderId="11" xfId="14" applyNumberFormat="1" applyFont="1" applyBorder="1"/>
    <xf numFmtId="37" fontId="80" fillId="0" borderId="12" xfId="14" applyFont="1" applyBorder="1"/>
    <xf numFmtId="38" fontId="73" fillId="0" borderId="12" xfId="14" applyNumberFormat="1" applyFont="1" applyBorder="1"/>
    <xf numFmtId="10" fontId="73" fillId="0" borderId="11" xfId="16" applyNumberFormat="1" applyFont="1" applyFill="1" applyBorder="1"/>
    <xf numFmtId="37" fontId="73" fillId="0" borderId="11" xfId="14" applyFont="1" applyBorder="1"/>
    <xf numFmtId="37" fontId="71" fillId="0" borderId="31" xfId="14" applyFont="1" applyBorder="1"/>
    <xf numFmtId="38" fontId="73" fillId="0" borderId="31" xfId="14" applyNumberFormat="1" applyFont="1" applyBorder="1"/>
    <xf numFmtId="164" fontId="73" fillId="0" borderId="0" xfId="16" applyNumberFormat="1" applyFont="1" applyFill="1" applyBorder="1"/>
    <xf numFmtId="37" fontId="73" fillId="0" borderId="19" xfId="14" applyFont="1" applyBorder="1"/>
    <xf numFmtId="10" fontId="73" fillId="0" borderId="12" xfId="15" applyNumberFormat="1" applyFont="1" applyFill="1" applyBorder="1" applyAlignment="1">
      <alignment horizontal="center"/>
    </xf>
    <xf numFmtId="2" fontId="73" fillId="0" borderId="18" xfId="15" applyNumberFormat="1" applyFont="1" applyFill="1" applyBorder="1" applyAlignment="1">
      <alignment horizontal="center"/>
    </xf>
    <xf numFmtId="37" fontId="73" fillId="0" borderId="17" xfId="14" applyFont="1" applyBorder="1"/>
    <xf numFmtId="10" fontId="73" fillId="0" borderId="0" xfId="15" applyNumberFormat="1" applyFont="1" applyFill="1" applyBorder="1" applyAlignment="1">
      <alignment horizontal="center"/>
    </xf>
    <xf numFmtId="2" fontId="73" fillId="0" borderId="16" xfId="15" applyNumberFormat="1" applyFont="1" applyFill="1" applyBorder="1" applyAlignment="1">
      <alignment horizontal="center"/>
    </xf>
    <xf numFmtId="37" fontId="73" fillId="0" borderId="14" xfId="14" applyFont="1" applyBorder="1"/>
    <xf numFmtId="10" fontId="73" fillId="0" borderId="11" xfId="15" applyNumberFormat="1" applyFont="1" applyFill="1" applyBorder="1" applyAlignment="1">
      <alignment horizontal="center"/>
    </xf>
    <xf numFmtId="2" fontId="73" fillId="0" borderId="15" xfId="15" applyNumberFormat="1" applyFont="1" applyFill="1" applyBorder="1" applyAlignment="1">
      <alignment horizontal="center"/>
    </xf>
    <xf numFmtId="38" fontId="73" fillId="0" borderId="11" xfId="14" applyNumberFormat="1" applyFont="1" applyBorder="1"/>
    <xf numFmtId="9" fontId="71" fillId="0" borderId="0" xfId="16" applyFont="1" applyFill="1" applyBorder="1"/>
    <xf numFmtId="10" fontId="71" fillId="0" borderId="0" xfId="15" applyNumberFormat="1" applyFont="1" applyFill="1" applyBorder="1"/>
    <xf numFmtId="10" fontId="71" fillId="0" borderId="21" xfId="14" applyNumberFormat="1" applyFont="1" applyBorder="1"/>
    <xf numFmtId="176" fontId="71" fillId="0" borderId="0" xfId="2" applyNumberFormat="1" applyFont="1" applyFill="1" applyBorder="1"/>
    <xf numFmtId="37" fontId="71" fillId="0" borderId="11" xfId="14" applyFont="1" applyBorder="1"/>
    <xf numFmtId="164" fontId="71" fillId="0" borderId="0" xfId="16" applyNumberFormat="1" applyFont="1" applyFill="1" applyBorder="1"/>
    <xf numFmtId="37" fontId="85" fillId="0" borderId="0" xfId="14" applyFont="1"/>
    <xf numFmtId="10" fontId="85" fillId="0" borderId="0" xfId="15" applyNumberFormat="1" applyFont="1" applyFill="1" applyBorder="1"/>
    <xf numFmtId="10" fontId="73" fillId="0" borderId="0" xfId="15" applyNumberFormat="1" applyFont="1" applyFill="1" applyBorder="1"/>
    <xf numFmtId="37" fontId="71" fillId="2" borderId="0" xfId="14" applyFont="1" applyFill="1"/>
    <xf numFmtId="0" fontId="86" fillId="2" borderId="0" xfId="0" applyFont="1" applyFill="1"/>
    <xf numFmtId="0" fontId="87" fillId="2" borderId="0" xfId="10" applyFont="1" applyFill="1"/>
    <xf numFmtId="0" fontId="88" fillId="2" borderId="0" xfId="0" applyFont="1" applyFill="1"/>
    <xf numFmtId="0" fontId="87" fillId="2" borderId="0" xfId="10" applyFont="1" applyFill="1" applyAlignment="1">
      <alignment horizontal="center"/>
    </xf>
    <xf numFmtId="0" fontId="90" fillId="2" borderId="0" xfId="0" applyFont="1" applyFill="1"/>
    <xf numFmtId="0" fontId="60" fillId="2" borderId="21" xfId="10" applyFont="1" applyFill="1" applyBorder="1" applyAlignment="1">
      <alignment horizontal="center"/>
    </xf>
    <xf numFmtId="173" fontId="71" fillId="2" borderId="0" xfId="9" applyNumberFormat="1" applyFont="1" applyFill="1" applyBorder="1"/>
    <xf numFmtId="173" fontId="90" fillId="2" borderId="0" xfId="0" applyNumberFormat="1" applyFont="1" applyFill="1"/>
    <xf numFmtId="6" fontId="73" fillId="10" borderId="21" xfId="10" applyNumberFormat="1" applyFont="1" applyFill="1" applyBorder="1" applyAlignment="1">
      <alignment horizontal="center"/>
    </xf>
    <xf numFmtId="0" fontId="73" fillId="10" borderId="13" xfId="10" applyFont="1" applyFill="1" applyBorder="1"/>
    <xf numFmtId="173" fontId="73" fillId="10" borderId="13" xfId="9" applyNumberFormat="1" applyFont="1" applyFill="1" applyBorder="1"/>
    <xf numFmtId="6" fontId="73" fillId="3" borderId="21" xfId="10" applyNumberFormat="1" applyFont="1" applyFill="1" applyBorder="1" applyAlignment="1">
      <alignment horizontal="center"/>
    </xf>
    <xf numFmtId="0" fontId="73" fillId="3" borderId="13" xfId="10" applyFont="1" applyFill="1" applyBorder="1"/>
    <xf numFmtId="173" fontId="73" fillId="3" borderId="13" xfId="9" applyNumberFormat="1" applyFont="1" applyFill="1" applyBorder="1"/>
    <xf numFmtId="0" fontId="92" fillId="2" borderId="0" xfId="0" applyFont="1" applyFill="1"/>
    <xf numFmtId="44" fontId="92" fillId="2" borderId="0" xfId="0" applyNumberFormat="1" applyFont="1" applyFill="1"/>
    <xf numFmtId="0" fontId="73" fillId="2" borderId="0" xfId="10" applyFont="1" applyFill="1" applyAlignment="1">
      <alignment horizontal="left"/>
    </xf>
    <xf numFmtId="44" fontId="73" fillId="2" borderId="0" xfId="9" applyFont="1" applyFill="1"/>
    <xf numFmtId="10" fontId="73" fillId="2" borderId="0" xfId="2" applyNumberFormat="1" applyFont="1" applyFill="1"/>
    <xf numFmtId="44" fontId="87" fillId="2" borderId="0" xfId="9" applyFont="1" applyFill="1"/>
    <xf numFmtId="44" fontId="88" fillId="2" borderId="0" xfId="0" applyNumberFormat="1" applyFont="1" applyFill="1"/>
    <xf numFmtId="44" fontId="91" fillId="2" borderId="0" xfId="9" applyFont="1" applyFill="1"/>
    <xf numFmtId="44" fontId="86" fillId="2" borderId="0" xfId="0" applyNumberFormat="1" applyFont="1" applyFill="1"/>
    <xf numFmtId="0" fontId="25" fillId="0" borderId="11" xfId="0" applyFont="1" applyBorder="1"/>
    <xf numFmtId="0" fontId="69" fillId="0" borderId="11" xfId="0" applyFont="1" applyBorder="1"/>
    <xf numFmtId="0" fontId="25" fillId="0" borderId="0" xfId="0" applyFont="1" applyAlignment="1">
      <alignment wrapText="1"/>
    </xf>
    <xf numFmtId="0" fontId="72" fillId="0" borderId="0" xfId="0" applyFont="1" applyAlignment="1">
      <alignment wrapText="1"/>
    </xf>
    <xf numFmtId="0" fontId="28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 wrapText="1"/>
    </xf>
    <xf numFmtId="0" fontId="72" fillId="0" borderId="0" xfId="0" applyFont="1"/>
    <xf numFmtId="0" fontId="34" fillId="0" borderId="0" xfId="0" applyFont="1" applyAlignment="1">
      <alignment wrapText="1"/>
    </xf>
    <xf numFmtId="0" fontId="34" fillId="0" borderId="0" xfId="0" applyFont="1" applyAlignment="1">
      <alignment horizontal="right" wrapText="1"/>
    </xf>
    <xf numFmtId="0" fontId="93" fillId="0" borderId="0" xfId="0" applyFont="1" applyAlignment="1">
      <alignment wrapText="1"/>
    </xf>
    <xf numFmtId="0" fontId="33" fillId="0" borderId="0" xfId="0" applyFont="1" applyAlignment="1">
      <alignment wrapText="1"/>
    </xf>
    <xf numFmtId="169" fontId="33" fillId="0" borderId="0" xfId="0" applyNumberFormat="1" applyFont="1" applyAlignment="1">
      <alignment horizontal="right" wrapText="1"/>
    </xf>
    <xf numFmtId="0" fontId="94" fillId="13" borderId="0" xfId="0" applyFont="1" applyFill="1" applyAlignment="1">
      <alignment horizontal="center"/>
    </xf>
    <xf numFmtId="0" fontId="94" fillId="13" borderId="0" xfId="0" applyFont="1" applyFill="1" applyAlignment="1">
      <alignment horizontal="center" wrapText="1"/>
    </xf>
    <xf numFmtId="169" fontId="71" fillId="0" borderId="0" xfId="0" applyNumberFormat="1" applyFont="1" applyAlignment="1">
      <alignment wrapText="1"/>
    </xf>
    <xf numFmtId="0" fontId="25" fillId="0" borderId="0" xfId="0" applyFont="1" applyAlignment="1">
      <alignment horizontal="right" wrapText="1"/>
    </xf>
    <xf numFmtId="0" fontId="24" fillId="0" borderId="0" xfId="0" applyFont="1" applyAlignment="1">
      <alignment wrapText="1"/>
    </xf>
    <xf numFmtId="0" fontId="95" fillId="0" borderId="0" xfId="0" applyFont="1" applyAlignment="1">
      <alignment horizontal="center" wrapText="1"/>
    </xf>
    <xf numFmtId="0" fontId="96" fillId="0" borderId="0" xfId="0" applyFont="1" applyAlignment="1">
      <alignment horizontal="center"/>
    </xf>
    <xf numFmtId="0" fontId="24" fillId="0" borderId="0" xfId="0" applyFont="1" applyAlignment="1">
      <alignment horizontal="right" wrapText="1"/>
    </xf>
    <xf numFmtId="8" fontId="35" fillId="0" borderId="0" xfId="0" applyNumberFormat="1" applyFont="1" applyAlignment="1">
      <alignment horizontal="center"/>
    </xf>
    <xf numFmtId="165" fontId="69" fillId="0" borderId="0" xfId="1" applyNumberFormat="1" applyFont="1" applyFill="1" applyBorder="1"/>
    <xf numFmtId="169" fontId="69" fillId="0" borderId="0" xfId="0" applyNumberFormat="1" applyFont="1"/>
    <xf numFmtId="0" fontId="33" fillId="0" borderId="0" xfId="0" applyFont="1" applyAlignment="1">
      <alignment horizontal="right" wrapText="1"/>
    </xf>
    <xf numFmtId="169" fontId="35" fillId="0" borderId="0" xfId="0" applyNumberFormat="1" applyFont="1" applyAlignment="1">
      <alignment wrapText="1"/>
    </xf>
    <xf numFmtId="169" fontId="33" fillId="0" borderId="0" xfId="0" applyNumberFormat="1" applyFont="1" applyAlignment="1">
      <alignment wrapText="1"/>
    </xf>
    <xf numFmtId="43" fontId="94" fillId="13" borderId="0" xfId="1" applyFont="1" applyFill="1" applyBorder="1" applyAlignment="1">
      <alignment horizontal="center" wrapText="1"/>
    </xf>
    <xf numFmtId="169" fontId="33" fillId="12" borderId="0" xfId="0" applyNumberFormat="1" applyFont="1" applyFill="1" applyAlignment="1">
      <alignment horizontal="right" wrapText="1"/>
    </xf>
    <xf numFmtId="49" fontId="33" fillId="12" borderId="0" xfId="0" applyNumberFormat="1" applyFont="1" applyFill="1" applyAlignment="1">
      <alignment wrapText="1"/>
    </xf>
    <xf numFmtId="3" fontId="33" fillId="12" borderId="0" xfId="0" applyNumberFormat="1" applyFont="1" applyFill="1" applyAlignment="1">
      <alignment wrapText="1"/>
    </xf>
    <xf numFmtId="0" fontId="94" fillId="11" borderId="0" xfId="0" applyFont="1" applyFill="1" applyAlignment="1">
      <alignment horizontal="center"/>
    </xf>
    <xf numFmtId="0" fontId="94" fillId="11" borderId="0" xfId="0" applyFont="1" applyFill="1" applyAlignment="1">
      <alignment horizontal="center" wrapText="1"/>
    </xf>
    <xf numFmtId="169" fontId="94" fillId="11" borderId="0" xfId="0" applyNumberFormat="1" applyFont="1" applyFill="1" applyAlignment="1">
      <alignment horizontal="center" wrapText="1"/>
    </xf>
    <xf numFmtId="169" fontId="35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77" fontId="33" fillId="12" borderId="0" xfId="0" applyNumberFormat="1" applyFont="1" applyFill="1" applyAlignment="1">
      <alignment wrapText="1"/>
    </xf>
    <xf numFmtId="0" fontId="35" fillId="0" borderId="0" xfId="0" applyFont="1" applyAlignment="1">
      <alignment horizontal="right" wrapText="1"/>
    </xf>
    <xf numFmtId="0" fontId="3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3" fontId="35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center"/>
    </xf>
    <xf numFmtId="14" fontId="33" fillId="0" borderId="0" xfId="0" applyNumberFormat="1" applyFont="1" applyAlignment="1">
      <alignment horizontal="right" wrapText="1"/>
    </xf>
    <xf numFmtId="38" fontId="35" fillId="0" borderId="0" xfId="0" applyNumberFormat="1" applyFont="1" applyAlignment="1">
      <alignment horizontal="center"/>
    </xf>
    <xf numFmtId="38" fontId="94" fillId="11" borderId="0" xfId="0" applyNumberFormat="1" applyFont="1" applyFill="1" applyAlignment="1">
      <alignment horizontal="center" wrapText="1"/>
    </xf>
    <xf numFmtId="6" fontId="94" fillId="11" borderId="0" xfId="0" applyNumberFormat="1" applyFont="1" applyFill="1" applyAlignment="1">
      <alignment horizontal="center" wrapText="1"/>
    </xf>
    <xf numFmtId="0" fontId="24" fillId="14" borderId="0" xfId="0" applyFont="1" applyFill="1"/>
    <xf numFmtId="10" fontId="33" fillId="0" borderId="0" xfId="0" applyNumberFormat="1" applyFont="1" applyAlignment="1">
      <alignment horizontal="right" wrapText="1"/>
    </xf>
    <xf numFmtId="3" fontId="33" fillId="0" borderId="0" xfId="0" applyNumberFormat="1" applyFont="1" applyAlignment="1">
      <alignment horizontal="right" wrapText="1"/>
    </xf>
    <xf numFmtId="169" fontId="33" fillId="0" borderId="0" xfId="0" applyNumberFormat="1" applyFont="1" applyAlignment="1">
      <alignment horizontal="right" vertical="top" wrapText="1"/>
    </xf>
    <xf numFmtId="0" fontId="72" fillId="2" borderId="40" xfId="0" applyFont="1" applyFill="1" applyBorder="1"/>
    <xf numFmtId="0" fontId="69" fillId="2" borderId="40" xfId="0" applyFont="1" applyFill="1" applyBorder="1"/>
    <xf numFmtId="0" fontId="97" fillId="2" borderId="0" xfId="0" applyFont="1" applyFill="1"/>
    <xf numFmtId="0" fontId="72" fillId="2" borderId="0" xfId="0" applyFont="1" applyFill="1"/>
    <xf numFmtId="0" fontId="99" fillId="0" borderId="33" xfId="0" applyFont="1" applyBorder="1" applyAlignment="1">
      <alignment vertical="center" wrapText="1"/>
    </xf>
    <xf numFmtId="0" fontId="71" fillId="10" borderId="32" xfId="0" applyFont="1" applyFill="1" applyBorder="1" applyAlignment="1">
      <alignment horizontal="center"/>
    </xf>
    <xf numFmtId="1" fontId="71" fillId="10" borderId="32" xfId="1" applyNumberFormat="1" applyFont="1" applyFill="1" applyBorder="1" applyAlignment="1">
      <alignment horizontal="center" vertical="top" wrapText="1"/>
    </xf>
    <xf numFmtId="9" fontId="71" fillId="10" borderId="32" xfId="2" applyFont="1" applyFill="1" applyBorder="1" applyAlignment="1">
      <alignment horizontal="center"/>
    </xf>
    <xf numFmtId="0" fontId="71" fillId="2" borderId="35" xfId="0" applyFont="1" applyFill="1" applyBorder="1" applyAlignment="1">
      <alignment vertical="top" wrapText="1"/>
    </xf>
    <xf numFmtId="0" fontId="71" fillId="10" borderId="0" xfId="0" applyFont="1" applyFill="1" applyAlignment="1">
      <alignment vertical="top" wrapText="1"/>
    </xf>
    <xf numFmtId="0" fontId="71" fillId="2" borderId="0" xfId="0" applyFont="1" applyFill="1" applyAlignment="1">
      <alignment vertical="top" wrapText="1"/>
    </xf>
    <xf numFmtId="0" fontId="100" fillId="0" borderId="35" xfId="0" applyFont="1" applyBorder="1" applyAlignment="1">
      <alignment vertical="top" wrapText="1"/>
    </xf>
    <xf numFmtId="0" fontId="71" fillId="0" borderId="35" xfId="0" applyFont="1" applyBorder="1" applyAlignment="1">
      <alignment vertical="top" wrapText="1"/>
    </xf>
    <xf numFmtId="168" fontId="71" fillId="3" borderId="32" xfId="0" applyNumberFormat="1" applyFont="1" applyFill="1" applyBorder="1" applyAlignment="1">
      <alignment horizontal="center" vertical="top" wrapText="1"/>
    </xf>
    <xf numFmtId="8" fontId="101" fillId="3" borderId="38" xfId="0" applyNumberFormat="1" applyFont="1" applyFill="1" applyBorder="1" applyAlignment="1">
      <alignment horizontal="center" vertical="center" wrapText="1"/>
    </xf>
    <xf numFmtId="169" fontId="71" fillId="3" borderId="32" xfId="0" applyNumberFormat="1" applyFont="1" applyFill="1" applyBorder="1" applyAlignment="1">
      <alignment horizontal="center" vertical="top" wrapText="1"/>
    </xf>
    <xf numFmtId="8" fontId="69" fillId="2" borderId="0" xfId="0" applyNumberFormat="1" applyFont="1" applyFill="1"/>
    <xf numFmtId="164" fontId="71" fillId="10" borderId="39" xfId="2" applyNumberFormat="1" applyFont="1" applyFill="1" applyBorder="1" applyAlignment="1">
      <alignment horizontal="center" vertical="top" wrapText="1"/>
    </xf>
    <xf numFmtId="164" fontId="71" fillId="2" borderId="32" xfId="2" applyNumberFormat="1" applyFont="1" applyFill="1" applyBorder="1" applyAlignment="1">
      <alignment horizontal="center" vertical="top" wrapText="1"/>
    </xf>
    <xf numFmtId="0" fontId="101" fillId="2" borderId="35" xfId="0" applyFont="1" applyFill="1" applyBorder="1" applyAlignment="1">
      <alignment vertical="center" wrapText="1"/>
    </xf>
    <xf numFmtId="168" fontId="74" fillId="10" borderId="32" xfId="9" applyNumberFormat="1" applyFont="1" applyFill="1" applyBorder="1" applyAlignment="1">
      <alignment horizontal="center" vertical="top" wrapText="1"/>
    </xf>
    <xf numFmtId="37" fontId="71" fillId="10" borderId="32" xfId="1" applyNumberFormat="1" applyFont="1" applyFill="1" applyBorder="1" applyAlignment="1">
      <alignment horizontal="center" vertical="top" wrapText="1"/>
    </xf>
    <xf numFmtId="169" fontId="71" fillId="3" borderId="38" xfId="9" applyNumberFormat="1" applyFont="1" applyFill="1" applyBorder="1" applyAlignment="1">
      <alignment horizontal="center" vertical="top" wrapText="1"/>
    </xf>
    <xf numFmtId="169" fontId="71" fillId="22" borderId="32" xfId="9" applyNumberFormat="1" applyFont="1" applyFill="1" applyBorder="1" applyAlignment="1">
      <alignment horizontal="center" vertical="top" wrapText="1"/>
    </xf>
    <xf numFmtId="169" fontId="71" fillId="3" borderId="32" xfId="9" applyNumberFormat="1" applyFont="1" applyFill="1" applyBorder="1" applyAlignment="1">
      <alignment horizontal="center" vertical="top" wrapText="1"/>
    </xf>
    <xf numFmtId="164" fontId="71" fillId="10" borderId="0" xfId="0" applyNumberFormat="1" applyFont="1" applyFill="1" applyAlignment="1">
      <alignment vertical="top" wrapText="1"/>
    </xf>
    <xf numFmtId="164" fontId="71" fillId="2" borderId="35" xfId="0" applyNumberFormat="1" applyFont="1" applyFill="1" applyBorder="1" applyAlignment="1">
      <alignment vertical="top" wrapText="1"/>
    </xf>
    <xf numFmtId="168" fontId="71" fillId="0" borderId="32" xfId="9" applyNumberFormat="1" applyFont="1" applyFill="1" applyBorder="1" applyAlignment="1">
      <alignment horizontal="center" vertical="top" wrapText="1"/>
    </xf>
    <xf numFmtId="0" fontId="24" fillId="0" borderId="0" xfId="0" applyFont="1" applyAlignment="1">
      <alignment horizontal="right" vertical="top" wrapText="1"/>
    </xf>
    <xf numFmtId="0" fontId="71" fillId="2" borderId="32" xfId="1" applyNumberFormat="1" applyFont="1" applyFill="1" applyBorder="1" applyAlignment="1">
      <alignment horizontal="center" vertical="top" wrapText="1"/>
    </xf>
    <xf numFmtId="0" fontId="69" fillId="2" borderId="0" xfId="0" quotePrefix="1" applyFont="1" applyFill="1"/>
    <xf numFmtId="169" fontId="69" fillId="2" borderId="0" xfId="0" applyNumberFormat="1" applyFont="1" applyFill="1"/>
    <xf numFmtId="0" fontId="24" fillId="2" borderId="0" xfId="0" applyFont="1" applyFill="1" applyAlignment="1">
      <alignment wrapText="1"/>
    </xf>
    <xf numFmtId="0" fontId="24" fillId="2" borderId="13" xfId="0" applyFont="1" applyFill="1" applyBorder="1"/>
    <xf numFmtId="0" fontId="24" fillId="2" borderId="20" xfId="0" applyFont="1" applyFill="1" applyBorder="1"/>
    <xf numFmtId="0" fontId="55" fillId="0" borderId="0" xfId="8" applyFont="1"/>
    <xf numFmtId="10" fontId="73" fillId="0" borderId="0" xfId="16" applyNumberFormat="1" applyFont="1" applyFill="1" applyBorder="1"/>
    <xf numFmtId="10" fontId="71" fillId="0" borderId="0" xfId="14" applyNumberFormat="1" applyFont="1"/>
    <xf numFmtId="170" fontId="71" fillId="0" borderId="0" xfId="2" applyNumberFormat="1" applyFont="1" applyFill="1" applyBorder="1"/>
    <xf numFmtId="176" fontId="16" fillId="0" borderId="0" xfId="2" applyNumberFormat="1" applyFont="1"/>
    <xf numFmtId="176" fontId="2" fillId="0" borderId="0" xfId="2" applyNumberFormat="1" applyFont="1"/>
    <xf numFmtId="9" fontId="41" fillId="2" borderId="0" xfId="0" applyNumberFormat="1" applyFont="1" applyFill="1"/>
    <xf numFmtId="0" fontId="41" fillId="0" borderId="0" xfId="0" applyFont="1"/>
    <xf numFmtId="3" fontId="41" fillId="0" borderId="0" xfId="0" applyNumberFormat="1" applyFont="1"/>
    <xf numFmtId="181" fontId="104" fillId="0" borderId="0" xfId="12" applyNumberFormat="1" applyFont="1"/>
    <xf numFmtId="181" fontId="41" fillId="0" borderId="0" xfId="0" applyNumberFormat="1" applyFont="1"/>
    <xf numFmtId="0" fontId="74" fillId="0" borderId="0" xfId="0" applyFont="1"/>
    <xf numFmtId="0" fontId="41" fillId="0" borderId="0" xfId="0" applyFont="1" applyAlignment="1">
      <alignment horizontal="center" wrapText="1"/>
    </xf>
    <xf numFmtId="0" fontId="106" fillId="0" borderId="0" xfId="0" applyFont="1" applyAlignment="1">
      <alignment horizontal="center" wrapText="1"/>
    </xf>
    <xf numFmtId="0" fontId="69" fillId="2" borderId="11" xfId="0" applyFont="1" applyFill="1" applyBorder="1"/>
    <xf numFmtId="168" fontId="69" fillId="2" borderId="0" xfId="0" applyNumberFormat="1" applyFont="1" applyFill="1" applyAlignment="1">
      <alignment horizontal="right"/>
    </xf>
    <xf numFmtId="165" fontId="69" fillId="2" borderId="0" xfId="1" applyNumberFormat="1" applyFont="1" applyFill="1" applyAlignment="1">
      <alignment horizontal="right"/>
    </xf>
    <xf numFmtId="169" fontId="69" fillId="2" borderId="0" xfId="0" applyNumberFormat="1" applyFont="1" applyFill="1" applyAlignment="1">
      <alignment horizontal="right"/>
    </xf>
    <xf numFmtId="0" fontId="69" fillId="2" borderId="0" xfId="0" applyFont="1" applyFill="1" applyAlignment="1">
      <alignment horizontal="right"/>
    </xf>
    <xf numFmtId="0" fontId="10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3" fontId="41" fillId="0" borderId="0" xfId="0" applyNumberFormat="1" applyFont="1" applyAlignment="1">
      <alignment horizontal="center"/>
    </xf>
    <xf numFmtId="168" fontId="41" fillId="0" borderId="0" xfId="0" applyNumberFormat="1" applyFont="1" applyAlignment="1">
      <alignment horizontal="center"/>
    </xf>
    <xf numFmtId="0" fontId="106" fillId="12" borderId="0" xfId="0" applyFont="1" applyFill="1" applyAlignment="1">
      <alignment horizontal="center" wrapText="1"/>
    </xf>
    <xf numFmtId="0" fontId="73" fillId="2" borderId="11" xfId="0" applyFont="1" applyFill="1" applyBorder="1" applyAlignment="1">
      <alignment horizontal="centerContinuous"/>
    </xf>
    <xf numFmtId="0" fontId="102" fillId="2" borderId="11" xfId="0" applyFont="1" applyFill="1" applyBorder="1" applyAlignment="1">
      <alignment horizontal="centerContinuous"/>
    </xf>
    <xf numFmtId="0" fontId="74" fillId="0" borderId="0" xfId="18" applyFont="1"/>
    <xf numFmtId="169" fontId="41" fillId="0" borderId="0" xfId="0" applyNumberFormat="1" applyFont="1" applyAlignment="1">
      <alignment wrapText="1"/>
    </xf>
    <xf numFmtId="0" fontId="41" fillId="0" borderId="0" xfId="0" applyFont="1" applyAlignment="1">
      <alignment wrapText="1"/>
    </xf>
    <xf numFmtId="165" fontId="41" fillId="0" borderId="0" xfId="1" applyNumberFormat="1" applyFont="1" applyFill="1"/>
    <xf numFmtId="165" fontId="74" fillId="0" borderId="0" xfId="1" applyNumberFormat="1" applyFont="1" applyFill="1"/>
    <xf numFmtId="165" fontId="41" fillId="0" borderId="0" xfId="1" applyNumberFormat="1" applyFont="1" applyFill="1" applyBorder="1" applyAlignment="1">
      <alignment wrapText="1"/>
    </xf>
    <xf numFmtId="168" fontId="34" fillId="2" borderId="0" xfId="0" applyNumberFormat="1" applyFont="1" applyFill="1"/>
    <xf numFmtId="164" fontId="34" fillId="2" borderId="0" xfId="0" applyNumberFormat="1" applyFont="1" applyFill="1"/>
    <xf numFmtId="0" fontId="98" fillId="0" borderId="44" xfId="0" applyFont="1" applyBorder="1" applyAlignment="1">
      <alignment vertical="center" wrapText="1"/>
    </xf>
    <xf numFmtId="0" fontId="73" fillId="10" borderId="39" xfId="0" applyFont="1" applyFill="1" applyBorder="1" applyAlignment="1">
      <alignment horizontal="center"/>
    </xf>
    <xf numFmtId="164" fontId="71" fillId="3" borderId="32" xfId="2" applyNumberFormat="1" applyFont="1" applyFill="1" applyBorder="1" applyAlignment="1">
      <alignment horizontal="center" vertical="top" wrapText="1"/>
    </xf>
    <xf numFmtId="0" fontId="80" fillId="2" borderId="35" xfId="0" applyFont="1" applyFill="1" applyBorder="1" applyAlignment="1">
      <alignment vertical="center" wrapText="1"/>
    </xf>
    <xf numFmtId="0" fontId="34" fillId="0" borderId="11" xfId="0" applyFont="1" applyBorder="1" applyAlignment="1">
      <alignment wrapText="1"/>
    </xf>
    <xf numFmtId="0" fontId="34" fillId="0" borderId="11" xfId="0" applyFont="1" applyBorder="1" applyAlignment="1">
      <alignment horizontal="right" wrapText="1"/>
    </xf>
    <xf numFmtId="0" fontId="93" fillId="0" borderId="11" xfId="0" applyFont="1" applyBorder="1" applyAlignment="1">
      <alignment wrapText="1"/>
    </xf>
    <xf numFmtId="0" fontId="94" fillId="0" borderId="0" xfId="0" applyFont="1" applyAlignment="1">
      <alignment horizontal="center"/>
    </xf>
    <xf numFmtId="43" fontId="94" fillId="0" borderId="0" xfId="1" applyFont="1" applyFill="1" applyBorder="1" applyAlignment="1">
      <alignment horizontal="center" wrapText="1"/>
    </xf>
    <xf numFmtId="6" fontId="94" fillId="0" borderId="0" xfId="0" applyNumberFormat="1" applyFont="1" applyAlignment="1">
      <alignment horizontal="center" wrapText="1"/>
    </xf>
    <xf numFmtId="0" fontId="71" fillId="0" borderId="11" xfId="0" applyFont="1" applyBorder="1" applyAlignment="1">
      <alignment wrapText="1"/>
    </xf>
    <xf numFmtId="0" fontId="34" fillId="12" borderId="11" xfId="0" applyFont="1" applyFill="1" applyBorder="1" applyAlignment="1">
      <alignment horizontal="center" wrapText="1"/>
    </xf>
    <xf numFmtId="0" fontId="33" fillId="0" borderId="11" xfId="0" applyFont="1" applyBorder="1" applyAlignment="1">
      <alignment horizontal="right" wrapText="1"/>
    </xf>
    <xf numFmtId="0" fontId="33" fillId="0" borderId="11" xfId="0" applyFont="1" applyBorder="1" applyAlignment="1">
      <alignment wrapText="1"/>
    </xf>
    <xf numFmtId="0" fontId="34" fillId="0" borderId="11" xfId="0" applyFont="1" applyBorder="1" applyAlignment="1">
      <alignment horizontal="center" wrapText="1"/>
    </xf>
    <xf numFmtId="9" fontId="69" fillId="0" borderId="32" xfId="2" applyFont="1" applyFill="1" applyBorder="1" applyAlignment="1">
      <alignment horizontal="center"/>
    </xf>
    <xf numFmtId="165" fontId="33" fillId="2" borderId="27" xfId="8" applyNumberFormat="1" applyFont="1" applyFill="1" applyBorder="1"/>
    <xf numFmtId="10" fontId="41" fillId="27" borderId="41" xfId="2" applyNumberFormat="1" applyFont="1" applyFill="1" applyBorder="1" applyAlignment="1">
      <alignment horizontal="left"/>
    </xf>
    <xf numFmtId="9" fontId="41" fillId="27" borderId="41" xfId="8" applyNumberFormat="1" applyFont="1" applyFill="1" applyBorder="1" applyAlignment="1">
      <alignment horizontal="center" vertical="center"/>
    </xf>
    <xf numFmtId="3" fontId="27" fillId="0" borderId="0" xfId="1" applyNumberFormat="1" applyFont="1" applyBorder="1" applyAlignment="1">
      <alignment horizontal="left"/>
    </xf>
    <xf numFmtId="43" fontId="24" fillId="0" borderId="0" xfId="0" applyNumberFormat="1" applyFont="1"/>
    <xf numFmtId="164" fontId="41" fillId="27" borderId="41" xfId="8" applyNumberFormat="1" applyFont="1" applyFill="1" applyBorder="1" applyAlignment="1">
      <alignment horizontal="center" vertical="center"/>
    </xf>
    <xf numFmtId="0" fontId="34" fillId="9" borderId="7" xfId="0" applyFont="1" applyFill="1" applyBorder="1"/>
    <xf numFmtId="0" fontId="33" fillId="9" borderId="7" xfId="0" applyFont="1" applyFill="1" applyBorder="1"/>
    <xf numFmtId="168" fontId="33" fillId="9" borderId="7" xfId="0" applyNumberFormat="1" applyFont="1" applyFill="1" applyBorder="1"/>
    <xf numFmtId="165" fontId="33" fillId="0" borderId="0" xfId="1" applyNumberFormat="1" applyFont="1" applyFill="1"/>
    <xf numFmtId="10" fontId="34" fillId="0" borderId="0" xfId="2" applyNumberFormat="1" applyFont="1" applyBorder="1" applyAlignment="1">
      <alignment horizontal="right"/>
    </xf>
    <xf numFmtId="0" fontId="33" fillId="9" borderId="0" xfId="0" applyFont="1" applyFill="1" applyAlignment="1">
      <alignment horizontal="right"/>
    </xf>
    <xf numFmtId="0" fontId="28" fillId="9" borderId="11" xfId="0" applyFont="1" applyFill="1" applyBorder="1"/>
    <xf numFmtId="8" fontId="29" fillId="9" borderId="11" xfId="0" applyNumberFormat="1" applyFont="1" applyFill="1" applyBorder="1"/>
    <xf numFmtId="10" fontId="29" fillId="9" borderId="11" xfId="2" applyNumberFormat="1" applyFont="1" applyFill="1" applyBorder="1"/>
    <xf numFmtId="0" fontId="29" fillId="9" borderId="11" xfId="0" applyFont="1" applyFill="1" applyBorder="1"/>
    <xf numFmtId="168" fontId="29" fillId="9" borderId="11" xfId="0" applyNumberFormat="1" applyFont="1" applyFill="1" applyBorder="1"/>
    <xf numFmtId="0" fontId="28" fillId="9" borderId="0" xfId="0" applyFont="1" applyFill="1" applyAlignment="1">
      <alignment horizontal="left"/>
    </xf>
    <xf numFmtId="0" fontId="33" fillId="0" borderId="0" xfId="1" applyNumberFormat="1" applyFont="1" applyAlignment="1">
      <alignment horizontal="right"/>
    </xf>
    <xf numFmtId="164" fontId="33" fillId="2" borderId="0" xfId="2" applyNumberFormat="1" applyFont="1" applyFill="1" applyAlignment="1">
      <alignment horizontal="right"/>
    </xf>
    <xf numFmtId="165" fontId="33" fillId="0" borderId="0" xfId="1" applyNumberFormat="1" applyFont="1" applyFill="1" applyAlignment="1">
      <alignment horizontal="right"/>
    </xf>
    <xf numFmtId="165" fontId="33" fillId="2" borderId="0" xfId="1" applyNumberFormat="1" applyFont="1" applyFill="1" applyAlignment="1">
      <alignment horizontal="right"/>
    </xf>
    <xf numFmtId="165" fontId="33" fillId="2" borderId="0" xfId="8" applyNumberFormat="1" applyFont="1" applyFill="1" applyAlignment="1">
      <alignment horizontal="right"/>
    </xf>
    <xf numFmtId="9" fontId="33" fillId="2" borderId="0" xfId="8" applyNumberFormat="1" applyFont="1" applyFill="1" applyAlignment="1">
      <alignment horizontal="right"/>
    </xf>
    <xf numFmtId="0" fontId="33" fillId="0" borderId="0" xfId="8" applyFont="1" applyAlignment="1">
      <alignment horizontal="right"/>
    </xf>
    <xf numFmtId="164" fontId="33" fillId="2" borderId="0" xfId="8" applyNumberFormat="1" applyFont="1" applyFill="1" applyAlignment="1">
      <alignment horizontal="right"/>
    </xf>
    <xf numFmtId="168" fontId="33" fillId="0" borderId="11" xfId="0" applyNumberFormat="1" applyFont="1" applyBorder="1" applyAlignment="1">
      <alignment horizontal="right"/>
    </xf>
    <xf numFmtId="6" fontId="33" fillId="0" borderId="0" xfId="0" applyNumberFormat="1" applyFont="1" applyAlignment="1">
      <alignment horizontal="right"/>
    </xf>
    <xf numFmtId="168" fontId="33" fillId="0" borderId="12" xfId="0" applyNumberFormat="1" applyFont="1" applyBorder="1" applyAlignment="1">
      <alignment horizontal="right"/>
    </xf>
    <xf numFmtId="168" fontId="33" fillId="0" borderId="0" xfId="0" applyNumberFormat="1" applyFont="1" applyAlignment="1">
      <alignment horizontal="right"/>
    </xf>
    <xf numFmtId="167" fontId="33" fillId="0" borderId="11" xfId="1" applyNumberFormat="1" applyFont="1" applyFill="1" applyBorder="1"/>
    <xf numFmtId="3" fontId="33" fillId="0" borderId="9" xfId="1" applyNumberFormat="1" applyFont="1" applyBorder="1" applyAlignment="1">
      <alignment horizontal="left"/>
    </xf>
    <xf numFmtId="49" fontId="33" fillId="0" borderId="0" xfId="0" applyNumberFormat="1" applyFont="1"/>
    <xf numFmtId="49" fontId="33" fillId="0" borderId="0" xfId="2" applyNumberFormat="1" applyFont="1" applyFill="1" applyBorder="1"/>
    <xf numFmtId="49" fontId="33" fillId="0" borderId="0" xfId="2" applyNumberFormat="1" applyFont="1" applyBorder="1"/>
    <xf numFmtId="0" fontId="34" fillId="2" borderId="27" xfId="8" applyFont="1" applyFill="1" applyBorder="1"/>
    <xf numFmtId="165" fontId="34" fillId="2" borderId="27" xfId="1" applyNumberFormat="1" applyFont="1" applyFill="1" applyBorder="1" applyAlignment="1">
      <alignment horizontal="right"/>
    </xf>
    <xf numFmtId="165" fontId="34" fillId="14" borderId="27" xfId="1" applyNumberFormat="1" applyFont="1" applyFill="1" applyBorder="1" applyAlignment="1">
      <alignment horizontal="right"/>
    </xf>
    <xf numFmtId="9" fontId="34" fillId="2" borderId="27" xfId="2" applyFont="1" applyFill="1" applyBorder="1" applyAlignment="1">
      <alignment horizontal="right"/>
    </xf>
    <xf numFmtId="0" fontId="34" fillId="2" borderId="0" xfId="8" applyFont="1" applyFill="1" applyAlignment="1">
      <alignment horizontal="right"/>
    </xf>
    <xf numFmtId="178" fontId="34" fillId="14" borderId="0" xfId="8" applyNumberFormat="1" applyFont="1" applyFill="1" applyAlignment="1">
      <alignment horizontal="right"/>
    </xf>
    <xf numFmtId="165" fontId="34" fillId="2" borderId="0" xfId="1" applyNumberFormat="1" applyFont="1" applyFill="1" applyBorder="1" applyAlignment="1">
      <alignment horizontal="right"/>
    </xf>
    <xf numFmtId="165" fontId="34" fillId="14" borderId="0" xfId="1" applyNumberFormat="1" applyFont="1" applyFill="1" applyBorder="1" applyAlignment="1">
      <alignment horizontal="right"/>
    </xf>
    <xf numFmtId="9" fontId="34" fillId="2" borderId="0" xfId="2" applyFont="1" applyFill="1" applyBorder="1" applyAlignment="1">
      <alignment horizontal="right"/>
    </xf>
    <xf numFmtId="9" fontId="33" fillId="2" borderId="0" xfId="2" applyFont="1" applyFill="1" applyAlignment="1">
      <alignment horizontal="right"/>
    </xf>
    <xf numFmtId="185" fontId="33" fillId="2" borderId="0" xfId="8" applyNumberFormat="1" applyFont="1" applyFill="1" applyAlignment="1">
      <alignment horizontal="left"/>
    </xf>
    <xf numFmtId="43" fontId="24" fillId="0" borderId="0" xfId="1" applyFont="1"/>
    <xf numFmtId="165" fontId="69" fillId="2" borderId="0" xfId="0" applyNumberFormat="1" applyFont="1" applyFill="1"/>
    <xf numFmtId="165" fontId="69" fillId="2" borderId="11" xfId="0" applyNumberFormat="1" applyFont="1" applyFill="1" applyBorder="1"/>
    <xf numFmtId="169" fontId="69" fillId="2" borderId="11" xfId="0" applyNumberFormat="1" applyFont="1" applyFill="1" applyBorder="1" applyAlignment="1">
      <alignment horizontal="right"/>
    </xf>
    <xf numFmtId="0" fontId="72" fillId="14" borderId="13" xfId="0" applyFont="1" applyFill="1" applyBorder="1" applyAlignment="1">
      <alignment horizontal="right"/>
    </xf>
    <xf numFmtId="0" fontId="72" fillId="14" borderId="0" xfId="0" applyFont="1" applyFill="1" applyAlignment="1">
      <alignment horizontal="centerContinuous"/>
    </xf>
    <xf numFmtId="43" fontId="34" fillId="2" borderId="0" xfId="1" applyFont="1" applyFill="1" applyBorder="1" applyAlignment="1">
      <alignment horizontal="right"/>
    </xf>
    <xf numFmtId="0" fontId="29" fillId="9" borderId="0" xfId="0" applyFont="1" applyFill="1"/>
    <xf numFmtId="0" fontId="34" fillId="2" borderId="11" xfId="8" applyFont="1" applyFill="1" applyBorder="1" applyAlignment="1">
      <alignment horizontal="left"/>
    </xf>
    <xf numFmtId="0" fontId="34" fillId="2" borderId="11" xfId="8" applyFont="1" applyFill="1" applyBorder="1" applyAlignment="1">
      <alignment horizontal="right"/>
    </xf>
    <xf numFmtId="0" fontId="34" fillId="2" borderId="11" xfId="8" applyFont="1" applyFill="1" applyBorder="1" applyAlignment="1">
      <alignment horizontal="right" wrapText="1"/>
    </xf>
    <xf numFmtId="0" fontId="28" fillId="9" borderId="7" xfId="0" applyFont="1" applyFill="1" applyBorder="1" applyAlignment="1">
      <alignment horizontal="right"/>
    </xf>
    <xf numFmtId="0" fontId="103" fillId="2" borderId="0" xfId="0" applyFont="1" applyFill="1"/>
    <xf numFmtId="164" fontId="71" fillId="3" borderId="38" xfId="2" applyNumberFormat="1" applyFont="1" applyFill="1" applyBorder="1" applyAlignment="1">
      <alignment horizontal="center" vertical="top" wrapText="1"/>
    </xf>
    <xf numFmtId="0" fontId="72" fillId="6" borderId="39" xfId="0" applyFont="1" applyFill="1" applyBorder="1" applyAlignment="1">
      <alignment horizontal="centerContinuous"/>
    </xf>
    <xf numFmtId="0" fontId="72" fillId="6" borderId="32" xfId="0" applyFont="1" applyFill="1" applyBorder="1" applyAlignment="1">
      <alignment horizontal="center"/>
    </xf>
    <xf numFmtId="1" fontId="69" fillId="6" borderId="32" xfId="0" applyNumberFormat="1" applyFont="1" applyFill="1" applyBorder="1" applyAlignment="1">
      <alignment horizontal="center"/>
    </xf>
    <xf numFmtId="164" fontId="69" fillId="6" borderId="32" xfId="2" applyNumberFormat="1" applyFont="1" applyFill="1" applyBorder="1" applyAlignment="1">
      <alignment horizontal="center"/>
    </xf>
    <xf numFmtId="165" fontId="71" fillId="6" borderId="32" xfId="1" applyNumberFormat="1" applyFont="1" applyFill="1" applyBorder="1" applyAlignment="1"/>
    <xf numFmtId="164" fontId="71" fillId="6" borderId="32" xfId="2" applyNumberFormat="1" applyFont="1" applyFill="1" applyBorder="1" applyAlignment="1">
      <alignment horizontal="center"/>
    </xf>
    <xf numFmtId="9" fontId="69" fillId="6" borderId="32" xfId="2" applyFont="1" applyFill="1" applyBorder="1" applyAlignment="1">
      <alignment horizontal="center"/>
    </xf>
    <xf numFmtId="0" fontId="0" fillId="6" borderId="0" xfId="0" applyFill="1"/>
    <xf numFmtId="0" fontId="0" fillId="6" borderId="38" xfId="0" applyFill="1" applyBorder="1"/>
    <xf numFmtId="164" fontId="0" fillId="6" borderId="38" xfId="2" applyNumberFormat="1" applyFont="1" applyFill="1" applyBorder="1"/>
    <xf numFmtId="0" fontId="0" fillId="6" borderId="39" xfId="0" applyFill="1" applyBorder="1"/>
    <xf numFmtId="164" fontId="0" fillId="6" borderId="39" xfId="2" applyNumberFormat="1" applyFont="1" applyFill="1" applyBorder="1"/>
    <xf numFmtId="168" fontId="71" fillId="6" borderId="32" xfId="9" applyNumberFormat="1" applyFont="1" applyFill="1" applyBorder="1" applyAlignment="1">
      <alignment horizontal="center" vertical="top" wrapText="1"/>
    </xf>
    <xf numFmtId="164" fontId="71" fillId="6" borderId="32" xfId="2" applyNumberFormat="1" applyFont="1" applyFill="1" applyBorder="1" applyAlignment="1">
      <alignment horizontal="center" vertical="top" wrapText="1"/>
    </xf>
    <xf numFmtId="37" fontId="71" fillId="6" borderId="32" xfId="1" applyNumberFormat="1" applyFont="1" applyFill="1" applyBorder="1" applyAlignment="1">
      <alignment horizontal="center" vertical="top" wrapText="1"/>
    </xf>
    <xf numFmtId="164" fontId="0" fillId="6" borderId="0" xfId="2" applyNumberFormat="1" applyFont="1" applyFill="1" applyBorder="1"/>
    <xf numFmtId="164" fontId="71" fillId="6" borderId="39" xfId="2" applyNumberFormat="1" applyFont="1" applyFill="1" applyBorder="1" applyAlignment="1">
      <alignment horizontal="center" vertical="top" wrapText="1"/>
    </xf>
    <xf numFmtId="37" fontId="72" fillId="8" borderId="13" xfId="14" applyFont="1" applyFill="1" applyBorder="1"/>
    <xf numFmtId="14" fontId="71" fillId="0" borderId="0" xfId="14" applyNumberFormat="1" applyFont="1"/>
    <xf numFmtId="37" fontId="73" fillId="0" borderId="0" xfId="14" applyFont="1" applyAlignment="1">
      <alignment horizontal="right"/>
    </xf>
    <xf numFmtId="37" fontId="70" fillId="0" borderId="0" xfId="14" applyFont="1"/>
    <xf numFmtId="182" fontId="71" fillId="0" borderId="0" xfId="14" applyNumberFormat="1" applyFont="1"/>
    <xf numFmtId="37" fontId="74" fillId="0" borderId="0" xfId="14" applyFont="1"/>
    <xf numFmtId="165" fontId="71" fillId="0" borderId="0" xfId="1" applyNumberFormat="1" applyFont="1" applyFill="1" applyBorder="1"/>
    <xf numFmtId="165" fontId="70" fillId="0" borderId="0" xfId="1" applyNumberFormat="1" applyFont="1" applyFill="1" applyBorder="1"/>
    <xf numFmtId="165" fontId="71" fillId="0" borderId="0" xfId="1" applyNumberFormat="1" applyFont="1" applyBorder="1"/>
    <xf numFmtId="37" fontId="71" fillId="0" borderId="0" xfId="14" applyFont="1" applyAlignment="1">
      <alignment horizontal="left"/>
    </xf>
    <xf numFmtId="37" fontId="71" fillId="0" borderId="0" xfId="14" applyFont="1" applyAlignment="1">
      <alignment horizontal="left" indent="2"/>
    </xf>
    <xf numFmtId="37" fontId="71" fillId="0" borderId="0" xfId="14" applyFont="1" applyAlignment="1">
      <alignment horizontal="left" indent="3"/>
    </xf>
    <xf numFmtId="37" fontId="71" fillId="0" borderId="11" xfId="14" applyFont="1" applyBorder="1" applyAlignment="1">
      <alignment horizontal="left" indent="1"/>
    </xf>
    <xf numFmtId="37" fontId="71" fillId="0" borderId="0" xfId="14" applyFont="1" applyAlignment="1">
      <alignment horizontal="right"/>
    </xf>
    <xf numFmtId="37" fontId="110" fillId="0" borderId="0" xfId="14" applyFont="1" applyAlignment="1">
      <alignment horizontal="right"/>
    </xf>
    <xf numFmtId="167" fontId="71" fillId="0" borderId="0" xfId="1" applyNumberFormat="1" applyFont="1" applyFill="1" applyBorder="1"/>
    <xf numFmtId="165" fontId="71" fillId="0" borderId="11" xfId="1" applyNumberFormat="1" applyFont="1" applyFill="1" applyBorder="1"/>
    <xf numFmtId="165" fontId="60" fillId="0" borderId="0" xfId="1" applyNumberFormat="1" applyFont="1" applyFill="1" applyBorder="1" applyAlignment="1">
      <alignment horizontal="right"/>
    </xf>
    <xf numFmtId="165" fontId="60" fillId="0" borderId="11" xfId="1" applyNumberFormat="1" applyFont="1" applyFill="1" applyBorder="1" applyAlignment="1">
      <alignment horizontal="right"/>
    </xf>
    <xf numFmtId="165" fontId="73" fillId="0" borderId="0" xfId="1" applyNumberFormat="1" applyFont="1" applyFill="1" applyBorder="1" applyAlignment="1">
      <alignment horizontal="center"/>
    </xf>
    <xf numFmtId="167" fontId="72" fillId="0" borderId="1" xfId="1" applyNumberFormat="1" applyFont="1" applyFill="1" applyBorder="1"/>
    <xf numFmtId="167" fontId="70" fillId="0" borderId="0" xfId="1" applyNumberFormat="1" applyFont="1" applyFill="1" applyBorder="1"/>
    <xf numFmtId="167" fontId="69" fillId="0" borderId="0" xfId="1" applyNumberFormat="1" applyFont="1" applyFill="1" applyBorder="1"/>
    <xf numFmtId="165" fontId="33" fillId="27" borderId="41" xfId="1" applyNumberFormat="1" applyFont="1" applyFill="1" applyBorder="1" applyAlignment="1">
      <alignment horizontal="right" vertical="center"/>
    </xf>
    <xf numFmtId="165" fontId="34" fillId="24" borderId="42" xfId="1" applyNumberFormat="1" applyFont="1" applyFill="1" applyBorder="1" applyAlignment="1">
      <alignment horizontal="right" vertical="center"/>
    </xf>
    <xf numFmtId="165" fontId="33" fillId="2" borderId="0" xfId="1" applyNumberFormat="1" applyFont="1" applyFill="1" applyAlignment="1">
      <alignment horizontal="right" vertical="center"/>
    </xf>
    <xf numFmtId="165" fontId="42" fillId="0" borderId="41" xfId="1" applyNumberFormat="1" applyFont="1" applyFill="1" applyBorder="1" applyAlignment="1">
      <alignment horizontal="right" vertical="center"/>
    </xf>
    <xf numFmtId="165" fontId="33" fillId="27" borderId="41" xfId="1" applyNumberFormat="1" applyFont="1" applyFill="1" applyBorder="1" applyAlignment="1">
      <alignment horizontal="right"/>
    </xf>
    <xf numFmtId="9" fontId="71" fillId="0" borderId="0" xfId="2" applyFont="1" applyFill="1" applyBorder="1"/>
    <xf numFmtId="0" fontId="28" fillId="21" borderId="0" xfId="0" applyFont="1" applyFill="1" applyAlignment="1">
      <alignment horizontal="right" vertical="center"/>
    </xf>
    <xf numFmtId="0" fontId="28" fillId="20" borderId="0" xfId="8" applyFont="1" applyFill="1" applyAlignment="1">
      <alignment horizontal="right"/>
    </xf>
    <xf numFmtId="0" fontId="35" fillId="27" borderId="0" xfId="8" applyFont="1" applyFill="1" applyAlignment="1">
      <alignment horizontal="right" vertical="center"/>
    </xf>
    <xf numFmtId="5" fontId="33" fillId="27" borderId="0" xfId="1" applyNumberFormat="1" applyFont="1" applyFill="1" applyAlignment="1">
      <alignment horizontal="right"/>
    </xf>
    <xf numFmtId="5" fontId="30" fillId="27" borderId="41" xfId="0" applyNumberFormat="1" applyFont="1" applyFill="1" applyBorder="1" applyAlignment="1">
      <alignment horizontal="right"/>
    </xf>
    <xf numFmtId="5" fontId="33" fillId="27" borderId="41" xfId="0" applyNumberFormat="1" applyFont="1" applyFill="1" applyBorder="1" applyAlignment="1">
      <alignment horizontal="right"/>
    </xf>
    <xf numFmtId="5" fontId="41" fillId="29" borderId="41" xfId="0" applyNumberFormat="1" applyFont="1" applyFill="1" applyBorder="1" applyAlignment="1">
      <alignment horizontal="right"/>
    </xf>
    <xf numFmtId="5" fontId="25" fillId="24" borderId="42" xfId="0" applyNumberFormat="1" applyFont="1" applyFill="1" applyBorder="1" applyAlignment="1">
      <alignment horizontal="right"/>
    </xf>
    <xf numFmtId="0" fontId="33" fillId="2" borderId="0" xfId="0" applyFont="1" applyFill="1" applyAlignment="1">
      <alignment horizontal="right"/>
    </xf>
    <xf numFmtId="165" fontId="33" fillId="27" borderId="41" xfId="0" applyNumberFormat="1" applyFont="1" applyFill="1" applyBorder="1" applyAlignment="1">
      <alignment horizontal="right"/>
    </xf>
    <xf numFmtId="5" fontId="42" fillId="0" borderId="41" xfId="0" applyNumberFormat="1" applyFont="1" applyBorder="1" applyAlignment="1">
      <alignment horizontal="right"/>
    </xf>
    <xf numFmtId="5" fontId="34" fillId="24" borderId="42" xfId="0" applyNumberFormat="1" applyFont="1" applyFill="1" applyBorder="1" applyAlignment="1">
      <alignment horizontal="right"/>
    </xf>
    <xf numFmtId="5" fontId="34" fillId="28" borderId="42" xfId="0" applyNumberFormat="1" applyFont="1" applyFill="1" applyBorder="1" applyAlignment="1">
      <alignment horizontal="right"/>
    </xf>
    <xf numFmtId="5" fontId="25" fillId="28" borderId="42" xfId="0" applyNumberFormat="1" applyFont="1" applyFill="1" applyBorder="1" applyAlignment="1">
      <alignment horizontal="right"/>
    </xf>
    <xf numFmtId="5" fontId="33" fillId="2" borderId="0" xfId="0" applyNumberFormat="1" applyFont="1" applyFill="1" applyAlignment="1">
      <alignment horizontal="right"/>
    </xf>
    <xf numFmtId="0" fontId="3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5" fontId="28" fillId="21" borderId="42" xfId="0" applyNumberFormat="1" applyFont="1" applyFill="1" applyBorder="1" applyAlignment="1">
      <alignment horizontal="right"/>
    </xf>
    <xf numFmtId="43" fontId="42" fillId="0" borderId="0" xfId="1" applyFont="1" applyFill="1" applyAlignment="1">
      <alignment horizontal="right"/>
    </xf>
    <xf numFmtId="0" fontId="66" fillId="2" borderId="0" xfId="0" applyFont="1" applyFill="1" applyAlignment="1">
      <alignment horizontal="right" vertical="center"/>
    </xf>
    <xf numFmtId="5" fontId="33" fillId="14" borderId="0" xfId="0" applyNumberFormat="1" applyFont="1" applyFill="1" applyAlignment="1">
      <alignment horizontal="right"/>
    </xf>
    <xf numFmtId="43" fontId="65" fillId="2" borderId="0" xfId="1" applyFont="1" applyFill="1" applyAlignment="1">
      <alignment horizontal="right" vertical="center"/>
    </xf>
    <xf numFmtId="43" fontId="42" fillId="14" borderId="0" xfId="1" applyFont="1" applyFill="1" applyAlignment="1">
      <alignment horizontal="right"/>
    </xf>
    <xf numFmtId="9" fontId="77" fillId="0" borderId="0" xfId="2" applyFont="1" applyFill="1" applyBorder="1" applyAlignment="1">
      <alignment horizontal="right"/>
    </xf>
    <xf numFmtId="9" fontId="60" fillId="0" borderId="0" xfId="2" applyFont="1" applyFill="1" applyBorder="1" applyAlignment="1">
      <alignment horizontal="right"/>
    </xf>
    <xf numFmtId="165" fontId="81" fillId="0" borderId="12" xfId="1" applyNumberFormat="1" applyFont="1" applyBorder="1"/>
    <xf numFmtId="165" fontId="73" fillId="0" borderId="12" xfId="1" applyNumberFormat="1" applyFont="1" applyFill="1" applyBorder="1"/>
    <xf numFmtId="165" fontId="83" fillId="0" borderId="11" xfId="1" applyNumberFormat="1" applyFont="1" applyFill="1" applyBorder="1"/>
    <xf numFmtId="165" fontId="73" fillId="0" borderId="11" xfId="1" applyNumberFormat="1" applyFont="1" applyFill="1" applyBorder="1"/>
    <xf numFmtId="165" fontId="73" fillId="0" borderId="31" xfId="1" applyNumberFormat="1" applyFont="1" applyFill="1" applyBorder="1"/>
    <xf numFmtId="37" fontId="71" fillId="0" borderId="11" xfId="14" applyFont="1" applyBorder="1" applyAlignment="1">
      <alignment horizontal="center"/>
    </xf>
    <xf numFmtId="37" fontId="71" fillId="0" borderId="11" xfId="14" applyFont="1" applyBorder="1" applyAlignment="1">
      <alignment horizontal="right"/>
    </xf>
    <xf numFmtId="5" fontId="66" fillId="2" borderId="0" xfId="0" applyNumberFormat="1" applyFont="1" applyFill="1"/>
    <xf numFmtId="5" fontId="66" fillId="14" borderId="0" xfId="0" applyNumberFormat="1" applyFont="1" applyFill="1" applyAlignment="1">
      <alignment horizontal="center"/>
    </xf>
    <xf numFmtId="5" fontId="24" fillId="0" borderId="11" xfId="0" applyNumberFormat="1" applyFont="1" applyBorder="1" applyAlignment="1">
      <alignment horizontal="center"/>
    </xf>
    <xf numFmtId="0" fontId="24" fillId="0" borderId="11" xfId="0" applyFont="1" applyBorder="1" applyAlignment="1">
      <alignment horizontal="right"/>
    </xf>
    <xf numFmtId="0" fontId="35" fillId="2" borderId="11" xfId="8" applyFont="1" applyFill="1" applyBorder="1"/>
    <xf numFmtId="165" fontId="60" fillId="0" borderId="0" xfId="1" applyNumberFormat="1" applyFont="1" applyFill="1" applyBorder="1"/>
    <xf numFmtId="37" fontId="110" fillId="0" borderId="0" xfId="14" applyFont="1" applyAlignment="1">
      <alignment horizontal="left" indent="1"/>
    </xf>
    <xf numFmtId="14" fontId="41" fillId="29" borderId="0" xfId="8" applyNumberFormat="1" applyFont="1" applyFill="1" applyAlignment="1">
      <alignment horizontal="center"/>
    </xf>
    <xf numFmtId="37" fontId="84" fillId="0" borderId="0" xfId="14" applyFont="1"/>
    <xf numFmtId="37" fontId="80" fillId="10" borderId="0" xfId="14" applyFont="1" applyFill="1"/>
    <xf numFmtId="37" fontId="110" fillId="10" borderId="0" xfId="14" applyFont="1" applyFill="1" applyAlignment="1">
      <alignment horizontal="right"/>
    </xf>
    <xf numFmtId="37" fontId="71" fillId="10" borderId="0" xfId="14" applyFont="1" applyFill="1" applyAlignment="1">
      <alignment horizontal="left" indent="1"/>
    </xf>
    <xf numFmtId="165" fontId="111" fillId="10" borderId="0" xfId="1" applyNumberFormat="1" applyFont="1" applyFill="1" applyBorder="1" applyAlignment="1">
      <alignment horizontal="right"/>
    </xf>
    <xf numFmtId="165" fontId="60" fillId="10" borderId="0" xfId="1" applyNumberFormat="1" applyFont="1" applyFill="1" applyBorder="1" applyAlignment="1">
      <alignment horizontal="right"/>
    </xf>
    <xf numFmtId="37" fontId="71" fillId="10" borderId="11" xfId="14" applyFont="1" applyFill="1" applyBorder="1" applyAlignment="1">
      <alignment horizontal="left" indent="1"/>
    </xf>
    <xf numFmtId="165" fontId="60" fillId="10" borderId="11" xfId="1" applyNumberFormat="1" applyFont="1" applyFill="1" applyBorder="1" applyAlignment="1">
      <alignment horizontal="right"/>
    </xf>
    <xf numFmtId="37" fontId="71" fillId="10" borderId="11" xfId="14" applyFont="1" applyFill="1" applyBorder="1"/>
    <xf numFmtId="37" fontId="71" fillId="10" borderId="0" xfId="14" applyFont="1" applyFill="1" applyAlignment="1">
      <alignment horizontal="left"/>
    </xf>
    <xf numFmtId="165" fontId="71" fillId="10" borderId="0" xfId="1" applyNumberFormat="1" applyFont="1" applyFill="1" applyBorder="1"/>
    <xf numFmtId="37" fontId="71" fillId="10" borderId="0" xfId="14" applyFont="1" applyFill="1"/>
    <xf numFmtId="3" fontId="72" fillId="10" borderId="0" xfId="0" applyNumberFormat="1" applyFont="1" applyFill="1"/>
    <xf numFmtId="165" fontId="71" fillId="10" borderId="12" xfId="1" applyNumberFormat="1" applyFont="1" applyFill="1" applyBorder="1"/>
    <xf numFmtId="165" fontId="70" fillId="10" borderId="0" xfId="1" applyNumberFormat="1" applyFont="1" applyFill="1" applyBorder="1" applyAlignment="1">
      <alignment horizontal="right" indent="1"/>
    </xf>
    <xf numFmtId="165" fontId="77" fillId="10" borderId="11" xfId="1" applyNumberFormat="1" applyFont="1" applyFill="1" applyBorder="1" applyAlignment="1">
      <alignment horizontal="right"/>
    </xf>
    <xf numFmtId="165" fontId="70" fillId="10" borderId="0" xfId="1" applyNumberFormat="1" applyFont="1" applyFill="1" applyBorder="1"/>
    <xf numFmtId="37" fontId="70" fillId="10" borderId="0" xfId="14" applyFont="1" applyFill="1"/>
    <xf numFmtId="165" fontId="112" fillId="10" borderId="0" xfId="1" applyNumberFormat="1" applyFont="1" applyFill="1" applyBorder="1" applyAlignment="1">
      <alignment horizontal="right"/>
    </xf>
    <xf numFmtId="10" fontId="70" fillId="0" borderId="0" xfId="2" applyNumberFormat="1" applyFont="1" applyFill="1" applyBorder="1"/>
    <xf numFmtId="10" fontId="70" fillId="10" borderId="0" xfId="2" applyNumberFormat="1" applyFont="1" applyFill="1" applyBorder="1"/>
    <xf numFmtId="167" fontId="71" fillId="10" borderId="0" xfId="1" applyNumberFormat="1" applyFont="1" applyFill="1" applyBorder="1"/>
    <xf numFmtId="165" fontId="73" fillId="0" borderId="0" xfId="1" applyNumberFormat="1" applyFont="1" applyFill="1" applyBorder="1"/>
    <xf numFmtId="165" fontId="71" fillId="0" borderId="12" xfId="1" applyNumberFormat="1" applyFont="1" applyFill="1" applyBorder="1"/>
    <xf numFmtId="37" fontId="73" fillId="0" borderId="21" xfId="14" applyFont="1" applyBorder="1" applyAlignment="1">
      <alignment horizontal="right"/>
    </xf>
    <xf numFmtId="37" fontId="73" fillId="0" borderId="24" xfId="14" applyFont="1" applyBorder="1" applyAlignment="1">
      <alignment horizontal="center"/>
    </xf>
    <xf numFmtId="9" fontId="71" fillId="0" borderId="24" xfId="2" applyFont="1" applyFill="1" applyBorder="1" applyAlignment="1">
      <alignment horizontal="right"/>
    </xf>
    <xf numFmtId="9" fontId="60" fillId="0" borderId="24" xfId="2" applyFont="1" applyFill="1" applyBorder="1" applyAlignment="1">
      <alignment horizontal="center"/>
    </xf>
    <xf numFmtId="165" fontId="71" fillId="0" borderId="24" xfId="1" applyNumberFormat="1" applyFont="1" applyFill="1" applyBorder="1" applyAlignment="1">
      <alignment horizontal="center"/>
    </xf>
    <xf numFmtId="165" fontId="71" fillId="0" borderId="24" xfId="1" applyNumberFormat="1" applyFont="1" applyFill="1" applyBorder="1"/>
    <xf numFmtId="37" fontId="71" fillId="0" borderId="24" xfId="14" applyFont="1" applyBorder="1"/>
    <xf numFmtId="165" fontId="73" fillId="0" borderId="45" xfId="1" applyNumberFormat="1" applyFont="1" applyFill="1" applyBorder="1"/>
    <xf numFmtId="165" fontId="73" fillId="0" borderId="24" xfId="1" applyNumberFormat="1" applyFont="1" applyFill="1" applyBorder="1"/>
    <xf numFmtId="165" fontId="71" fillId="0" borderId="24" xfId="1" applyNumberFormat="1" applyFont="1" applyFill="1" applyBorder="1" applyAlignment="1">
      <alignment horizontal="left" indent="2"/>
    </xf>
    <xf numFmtId="165" fontId="71" fillId="0" borderId="24" xfId="1" applyNumberFormat="1" applyFont="1" applyFill="1" applyBorder="1" applyAlignment="1">
      <alignment horizontal="left" indent="1"/>
    </xf>
    <xf numFmtId="37" fontId="71" fillId="10" borderId="24" xfId="14" applyFont="1" applyFill="1" applyBorder="1"/>
    <xf numFmtId="165" fontId="71" fillId="10" borderId="24" xfId="1" applyNumberFormat="1" applyFont="1" applyFill="1" applyBorder="1"/>
    <xf numFmtId="165" fontId="71" fillId="10" borderId="25" xfId="1" applyNumberFormat="1" applyFont="1" applyFill="1" applyBorder="1"/>
    <xf numFmtId="165" fontId="71" fillId="0" borderId="25" xfId="1" applyNumberFormat="1" applyFont="1" applyFill="1" applyBorder="1"/>
    <xf numFmtId="165" fontId="73" fillId="0" borderId="25" xfId="1" applyNumberFormat="1" applyFont="1" applyFill="1" applyBorder="1"/>
    <xf numFmtId="165" fontId="73" fillId="0" borderId="25" xfId="1" applyNumberFormat="1" applyFont="1" applyFill="1" applyBorder="1" applyAlignment="1">
      <alignment horizontal="center"/>
    </xf>
    <xf numFmtId="37" fontId="71" fillId="0" borderId="23" xfId="14" applyFont="1" applyBorder="1"/>
    <xf numFmtId="14" fontId="41" fillId="29" borderId="0" xfId="0" applyNumberFormat="1" applyFont="1" applyFill="1" applyAlignment="1">
      <alignment horizontal="center"/>
    </xf>
    <xf numFmtId="186" fontId="35" fillId="2" borderId="0" xfId="8" applyNumberFormat="1" applyFont="1" applyFill="1"/>
    <xf numFmtId="3" fontId="33" fillId="0" borderId="0" xfId="0" applyNumberFormat="1" applyFont="1" applyAlignment="1">
      <alignment horizontal="center"/>
    </xf>
    <xf numFmtId="14" fontId="74" fillId="0" borderId="0" xfId="14" applyNumberFormat="1" applyFont="1"/>
    <xf numFmtId="37" fontId="76" fillId="0" borderId="0" xfId="14" applyFont="1" applyAlignment="1">
      <alignment horizontal="right"/>
    </xf>
    <xf numFmtId="37" fontId="72" fillId="0" borderId="0" xfId="14" applyFont="1"/>
    <xf numFmtId="10" fontId="113" fillId="0" borderId="0" xfId="2" applyNumberFormat="1" applyFont="1" applyFill="1" applyBorder="1"/>
    <xf numFmtId="37" fontId="73" fillId="0" borderId="21" xfId="14" applyFont="1" applyBorder="1" applyAlignment="1">
      <alignment horizontal="center"/>
    </xf>
    <xf numFmtId="38" fontId="71" fillId="0" borderId="24" xfId="14" applyNumberFormat="1" applyFont="1" applyBorder="1"/>
    <xf numFmtId="38" fontId="71" fillId="0" borderId="23" xfId="14" applyNumberFormat="1" applyFont="1" applyBorder="1"/>
    <xf numFmtId="38" fontId="73" fillId="0" borderId="25" xfId="14" applyNumberFormat="1" applyFont="1" applyBorder="1"/>
    <xf numFmtId="37" fontId="73" fillId="0" borderId="24" xfId="14" applyFont="1" applyBorder="1"/>
    <xf numFmtId="37" fontId="73" fillId="0" borderId="23" xfId="14" applyFont="1" applyBorder="1"/>
    <xf numFmtId="38" fontId="73" fillId="0" borderId="46" xfId="14" applyNumberFormat="1" applyFont="1" applyBorder="1"/>
    <xf numFmtId="38" fontId="73" fillId="0" borderId="24" xfId="14" applyNumberFormat="1" applyFont="1" applyBorder="1"/>
    <xf numFmtId="2" fontId="73" fillId="0" borderId="25" xfId="15" applyNumberFormat="1" applyFont="1" applyFill="1" applyBorder="1" applyAlignment="1">
      <alignment horizontal="center"/>
    </xf>
    <xf numFmtId="2" fontId="73" fillId="0" borderId="24" xfId="15" applyNumberFormat="1" applyFont="1" applyFill="1" applyBorder="1" applyAlignment="1">
      <alignment horizontal="center"/>
    </xf>
    <xf numFmtId="2" fontId="73" fillId="0" borderId="23" xfId="15" applyNumberFormat="1" applyFont="1" applyFill="1" applyBorder="1" applyAlignment="1">
      <alignment horizontal="center"/>
    </xf>
    <xf numFmtId="40" fontId="71" fillId="0" borderId="24" xfId="14" applyNumberFormat="1" applyFont="1" applyBorder="1"/>
    <xf numFmtId="37" fontId="73" fillId="0" borderId="23" xfId="14" applyFont="1" applyBorder="1" applyAlignment="1">
      <alignment horizontal="center"/>
    </xf>
    <xf numFmtId="176" fontId="71" fillId="0" borderId="24" xfId="2" applyNumberFormat="1" applyFont="1" applyFill="1" applyBorder="1"/>
    <xf numFmtId="37" fontId="71" fillId="0" borderId="17" xfId="14" applyFont="1" applyBorder="1"/>
    <xf numFmtId="165" fontId="73" fillId="0" borderId="17" xfId="1" applyNumberFormat="1" applyFont="1" applyFill="1" applyBorder="1" applyAlignment="1">
      <alignment horizontal="center"/>
    </xf>
    <xf numFmtId="10" fontId="71" fillId="0" borderId="17" xfId="2" applyNumberFormat="1" applyFont="1" applyFill="1" applyBorder="1"/>
    <xf numFmtId="0" fontId="69" fillId="0" borderId="17" xfId="0" applyFont="1" applyBorder="1"/>
    <xf numFmtId="10" fontId="71" fillId="0" borderId="17" xfId="16" applyNumberFormat="1" applyFont="1" applyFill="1" applyBorder="1"/>
    <xf numFmtId="38" fontId="71" fillId="0" borderId="17" xfId="14" applyNumberFormat="1" applyFont="1" applyBorder="1"/>
    <xf numFmtId="38" fontId="73" fillId="0" borderId="17" xfId="14" applyNumberFormat="1" applyFont="1" applyBorder="1"/>
    <xf numFmtId="10" fontId="73" fillId="0" borderId="17" xfId="16" applyNumberFormat="1" applyFont="1" applyFill="1" applyBorder="1"/>
    <xf numFmtId="164" fontId="73" fillId="0" borderId="17" xfId="16" applyNumberFormat="1" applyFont="1" applyFill="1" applyBorder="1"/>
    <xf numFmtId="10" fontId="73" fillId="0" borderId="17" xfId="15" applyNumberFormat="1" applyFont="1" applyFill="1" applyBorder="1" applyAlignment="1">
      <alignment horizontal="center"/>
    </xf>
    <xf numFmtId="10" fontId="71" fillId="0" borderId="17" xfId="15" applyNumberFormat="1" applyFont="1" applyFill="1" applyBorder="1"/>
    <xf numFmtId="10" fontId="71" fillId="0" borderId="17" xfId="14" applyNumberFormat="1" applyFont="1" applyBorder="1"/>
    <xf numFmtId="37" fontId="84" fillId="0" borderId="17" xfId="14" applyFont="1" applyBorder="1"/>
    <xf numFmtId="10" fontId="85" fillId="0" borderId="17" xfId="15" applyNumberFormat="1" applyFont="1" applyFill="1" applyBorder="1"/>
    <xf numFmtId="10" fontId="73" fillId="0" borderId="17" xfId="15" applyNumberFormat="1" applyFont="1" applyFill="1" applyBorder="1"/>
    <xf numFmtId="9" fontId="41" fillId="29" borderId="0" xfId="2" applyFont="1" applyFill="1" applyAlignment="1">
      <alignment horizontal="center"/>
    </xf>
    <xf numFmtId="0" fontId="67" fillId="0" borderId="0" xfId="0" applyFont="1" applyAlignment="1">
      <alignment horizontal="center"/>
    </xf>
    <xf numFmtId="0" fontId="114" fillId="0" borderId="0" xfId="8" applyFont="1" applyAlignment="1">
      <alignment horizontal="center"/>
    </xf>
    <xf numFmtId="167" fontId="71" fillId="0" borderId="0" xfId="1" applyNumberFormat="1" applyFont="1" applyFill="1"/>
    <xf numFmtId="6" fontId="35" fillId="0" borderId="0" xfId="8" applyNumberFormat="1" applyFont="1"/>
    <xf numFmtId="165" fontId="113" fillId="0" borderId="11" xfId="1" applyNumberFormat="1" applyFont="1" applyFill="1" applyBorder="1" applyAlignment="1"/>
    <xf numFmtId="38" fontId="73" fillId="0" borderId="13" xfId="14" applyNumberFormat="1" applyFont="1" applyBorder="1" applyAlignment="1">
      <alignment horizontal="left" wrapText="1"/>
    </xf>
    <xf numFmtId="167" fontId="72" fillId="0" borderId="0" xfId="1" applyNumberFormat="1" applyFont="1" applyFill="1" applyBorder="1"/>
    <xf numFmtId="10" fontId="71" fillId="0" borderId="0" xfId="2" applyNumberFormat="1" applyFont="1" applyFill="1"/>
    <xf numFmtId="7" fontId="24" fillId="2" borderId="0" xfId="0" applyNumberFormat="1" applyFont="1" applyFill="1"/>
    <xf numFmtId="5" fontId="35" fillId="2" borderId="0" xfId="1" applyNumberFormat="1" applyFont="1" applyFill="1" applyAlignment="1"/>
    <xf numFmtId="6" fontId="35" fillId="2" borderId="0" xfId="1" applyNumberFormat="1" applyFont="1" applyFill="1" applyAlignment="1"/>
    <xf numFmtId="10" fontId="70" fillId="0" borderId="0" xfId="2" applyNumberFormat="1" applyFont="1" applyFill="1"/>
    <xf numFmtId="0" fontId="24" fillId="2" borderId="40" xfId="0" applyFont="1" applyFill="1" applyBorder="1" applyAlignment="1">
      <alignment horizontal="right"/>
    </xf>
    <xf numFmtId="0" fontId="35" fillId="27" borderId="0" xfId="8" applyFont="1" applyFill="1" applyAlignment="1">
      <alignment horizontal="right"/>
    </xf>
    <xf numFmtId="0" fontId="41" fillId="27" borderId="41" xfId="8" applyFont="1" applyFill="1" applyBorder="1" applyAlignment="1">
      <alignment horizontal="right" indent="1"/>
    </xf>
    <xf numFmtId="0" fontId="40" fillId="24" borderId="42" xfId="8" applyFont="1" applyFill="1" applyBorder="1" applyAlignment="1">
      <alignment horizontal="right"/>
    </xf>
    <xf numFmtId="0" fontId="35" fillId="2" borderId="0" xfId="8" applyFont="1" applyFill="1" applyAlignment="1">
      <alignment horizontal="right" indent="1"/>
    </xf>
    <xf numFmtId="0" fontId="35" fillId="27" borderId="41" xfId="8" applyFont="1" applyFill="1" applyBorder="1" applyAlignment="1">
      <alignment horizontal="right" indent="1"/>
    </xf>
    <xf numFmtId="0" fontId="50" fillId="0" borderId="41" xfId="8" applyFont="1" applyBorder="1" applyAlignment="1">
      <alignment horizontal="right" indent="1"/>
    </xf>
    <xf numFmtId="0" fontId="28" fillId="21" borderId="42" xfId="8" applyFont="1" applyFill="1" applyBorder="1" applyAlignment="1">
      <alignment horizontal="right"/>
    </xf>
    <xf numFmtId="0" fontId="65" fillId="2" borderId="0" xfId="0" applyFont="1" applyFill="1" applyAlignment="1">
      <alignment horizontal="right"/>
    </xf>
    <xf numFmtId="0" fontId="66" fillId="2" borderId="0" xfId="0" applyFont="1" applyFill="1" applyAlignment="1">
      <alignment horizontal="right"/>
    </xf>
    <xf numFmtId="43" fontId="65" fillId="2" borderId="0" xfId="1" applyFont="1" applyFill="1" applyAlignment="1">
      <alignment horizontal="right"/>
    </xf>
    <xf numFmtId="165" fontId="65" fillId="2" borderId="0" xfId="1" applyNumberFormat="1" applyFont="1" applyFill="1" applyAlignment="1">
      <alignment horizontal="right" vertical="center"/>
    </xf>
    <xf numFmtId="37" fontId="73" fillId="6" borderId="22" xfId="14" applyFont="1" applyFill="1" applyBorder="1"/>
    <xf numFmtId="10" fontId="71" fillId="6" borderId="20" xfId="2" applyNumberFormat="1" applyFont="1" applyFill="1" applyBorder="1"/>
    <xf numFmtId="10" fontId="73" fillId="0" borderId="31" xfId="2" applyNumberFormat="1" applyFont="1" applyFill="1" applyBorder="1"/>
    <xf numFmtId="165" fontId="30" fillId="0" borderId="0" xfId="1" applyNumberFormat="1" applyFont="1" applyFill="1"/>
    <xf numFmtId="168" fontId="46" fillId="0" borderId="0" xfId="0" applyNumberFormat="1" applyFont="1"/>
    <xf numFmtId="37" fontId="71" fillId="0" borderId="12" xfId="14" applyFont="1" applyBorder="1"/>
    <xf numFmtId="38" fontId="71" fillId="0" borderId="12" xfId="14" applyNumberFormat="1" applyFont="1" applyBorder="1"/>
    <xf numFmtId="38" fontId="73" fillId="0" borderId="12" xfId="14" applyNumberFormat="1" applyFont="1" applyBorder="1" applyAlignment="1">
      <alignment horizontal="center" vertical="center"/>
    </xf>
    <xf numFmtId="38" fontId="73" fillId="0" borderId="12" xfId="14" applyNumberFormat="1" applyFont="1" applyBorder="1" applyAlignment="1">
      <alignment horizontal="center" vertical="center" wrapText="1"/>
    </xf>
    <xf numFmtId="37" fontId="72" fillId="0" borderId="12" xfId="14" applyFont="1" applyBorder="1" applyAlignment="1">
      <alignment horizontal="center"/>
    </xf>
    <xf numFmtId="38" fontId="71" fillId="0" borderId="0" xfId="14" applyNumberFormat="1" applyFont="1"/>
    <xf numFmtId="14" fontId="70" fillId="0" borderId="0" xfId="14" applyNumberFormat="1" applyFont="1"/>
    <xf numFmtId="37" fontId="71" fillId="0" borderId="0" xfId="14" applyFont="1" applyAlignment="1">
      <alignment horizontal="center"/>
    </xf>
    <xf numFmtId="37" fontId="82" fillId="0" borderId="0" xfId="14" applyFont="1"/>
    <xf numFmtId="38" fontId="73" fillId="0" borderId="0" xfId="14" applyNumberFormat="1" applyFont="1"/>
    <xf numFmtId="165" fontId="83" fillId="0" borderId="0" xfId="1" applyNumberFormat="1" applyFont="1" applyFill="1" applyBorder="1"/>
    <xf numFmtId="165" fontId="82" fillId="0" borderId="0" xfId="1" applyNumberFormat="1" applyFont="1" applyFill="1" applyBorder="1"/>
    <xf numFmtId="40" fontId="71" fillId="0" borderId="0" xfId="14" applyNumberFormat="1" applyFont="1"/>
    <xf numFmtId="14" fontId="74" fillId="29" borderId="0" xfId="14" applyNumberFormat="1" applyFont="1" applyFill="1"/>
    <xf numFmtId="171" fontId="30" fillId="0" borderId="0" xfId="0" applyNumberFormat="1" applyFont="1" applyAlignment="1">
      <alignment horizontal="center"/>
    </xf>
    <xf numFmtId="171" fontId="30" fillId="2" borderId="0" xfId="0" applyNumberFormat="1" applyFont="1" applyFill="1" applyAlignment="1">
      <alignment horizontal="center"/>
    </xf>
    <xf numFmtId="169" fontId="62" fillId="0" borderId="0" xfId="0" applyNumberFormat="1" applyFont="1" applyAlignment="1">
      <alignment horizontal="centerContinuous"/>
    </xf>
    <xf numFmtId="165" fontId="71" fillId="0" borderId="23" xfId="1" applyNumberFormat="1" applyFont="1" applyFill="1" applyBorder="1"/>
    <xf numFmtId="165" fontId="85" fillId="0" borderId="0" xfId="1" applyNumberFormat="1" applyFont="1" applyFill="1" applyBorder="1"/>
    <xf numFmtId="37" fontId="71" fillId="31" borderId="0" xfId="14" applyFont="1" applyFill="1" applyAlignment="1">
      <alignment horizontal="left" indent="1"/>
    </xf>
    <xf numFmtId="10" fontId="70" fillId="31" borderId="0" xfId="2" applyNumberFormat="1" applyFont="1" applyFill="1" applyBorder="1" applyAlignment="1">
      <alignment horizontal="right" indent="1"/>
    </xf>
    <xf numFmtId="165" fontId="60" fillId="31" borderId="0" xfId="1" applyNumberFormat="1" applyFont="1" applyFill="1" applyBorder="1" applyAlignment="1">
      <alignment horizontal="right"/>
    </xf>
    <xf numFmtId="165" fontId="71" fillId="31" borderId="24" xfId="1" applyNumberFormat="1" applyFont="1" applyFill="1" applyBorder="1"/>
    <xf numFmtId="165" fontId="71" fillId="31" borderId="0" xfId="1" applyNumberFormat="1" applyFont="1" applyFill="1" applyBorder="1"/>
    <xf numFmtId="165" fontId="34" fillId="24" borderId="42" xfId="0" applyNumberFormat="1" applyFont="1" applyFill="1" applyBorder="1" applyAlignment="1">
      <alignment horizontal="right"/>
    </xf>
    <xf numFmtId="165" fontId="30" fillId="27" borderId="41" xfId="1" applyNumberFormat="1" applyFont="1" applyFill="1" applyBorder="1" applyAlignment="1">
      <alignment horizontal="right" vertical="center"/>
    </xf>
    <xf numFmtId="187" fontId="109" fillId="0" borderId="0" xfId="1" applyNumberFormat="1" applyFont="1" applyFill="1" applyBorder="1"/>
    <xf numFmtId="37" fontId="109" fillId="0" borderId="0" xfId="14" applyFont="1" applyAlignment="1">
      <alignment horizontal="left" indent="2"/>
    </xf>
    <xf numFmtId="164" fontId="71" fillId="0" borderId="23" xfId="2" applyNumberFormat="1" applyFont="1" applyFill="1" applyBorder="1"/>
    <xf numFmtId="37" fontId="60" fillId="0" borderId="0" xfId="14" applyFont="1" applyAlignment="1">
      <alignment horizontal="right"/>
    </xf>
    <xf numFmtId="10" fontId="60" fillId="0" borderId="0" xfId="2" applyNumberFormat="1" applyFont="1" applyFill="1" applyBorder="1"/>
    <xf numFmtId="10" fontId="60" fillId="0" borderId="11" xfId="2" applyNumberFormat="1" applyFont="1" applyFill="1" applyBorder="1"/>
    <xf numFmtId="165" fontId="60" fillId="0" borderId="11" xfId="1" applyNumberFormat="1" applyFont="1" applyFill="1" applyBorder="1"/>
    <xf numFmtId="9" fontId="60" fillId="0" borderId="0" xfId="2" applyFont="1" applyFill="1" applyBorder="1"/>
    <xf numFmtId="37" fontId="60" fillId="0" borderId="0" xfId="14" applyFont="1"/>
    <xf numFmtId="165" fontId="55" fillId="0" borderId="0" xfId="0" applyNumberFormat="1" applyFont="1"/>
    <xf numFmtId="0" fontId="116" fillId="0" borderId="7" xfId="0" applyFont="1" applyBorder="1"/>
    <xf numFmtId="0" fontId="117" fillId="0" borderId="0" xfId="0" applyFont="1"/>
    <xf numFmtId="0" fontId="7" fillId="2" borderId="0" xfId="8" applyFill="1"/>
    <xf numFmtId="0" fontId="115" fillId="32" borderId="19" xfId="0" applyFont="1" applyFill="1" applyBorder="1"/>
    <xf numFmtId="0" fontId="115" fillId="32" borderId="12" xfId="0" applyFont="1" applyFill="1" applyBorder="1"/>
    <xf numFmtId="0" fontId="115" fillId="32" borderId="12" xfId="0" applyFont="1" applyFill="1" applyBorder="1" applyAlignment="1">
      <alignment horizontal="centerContinuous"/>
    </xf>
    <xf numFmtId="0" fontId="115" fillId="32" borderId="18" xfId="0" applyFont="1" applyFill="1" applyBorder="1" applyAlignment="1">
      <alignment horizontal="centerContinuous"/>
    </xf>
    <xf numFmtId="164" fontId="118" fillId="33" borderId="19" xfId="0" applyNumberFormat="1" applyFont="1" applyFill="1" applyBorder="1" applyAlignment="1">
      <alignment vertical="top" wrapText="1"/>
    </xf>
    <xf numFmtId="188" fontId="0" fillId="33" borderId="12" xfId="0" applyNumberFormat="1" applyFill="1" applyBorder="1" applyAlignment="1">
      <alignment horizontal="center" vertical="top" wrapText="1"/>
    </xf>
    <xf numFmtId="188" fontId="16" fillId="33" borderId="12" xfId="0" applyNumberFormat="1" applyFont="1" applyFill="1" applyBorder="1" applyAlignment="1">
      <alignment horizontal="center" vertical="top" wrapText="1"/>
    </xf>
    <xf numFmtId="188" fontId="0" fillId="33" borderId="18" xfId="0" applyNumberFormat="1" applyFill="1" applyBorder="1" applyAlignment="1">
      <alignment horizontal="center" vertical="top" wrapText="1"/>
    </xf>
    <xf numFmtId="188" fontId="16" fillId="0" borderId="21" xfId="0" applyNumberFormat="1" applyFont="1" applyBorder="1" applyAlignment="1">
      <alignment horizontal="center"/>
    </xf>
    <xf numFmtId="173" fontId="0" fillId="33" borderId="17" xfId="1" applyNumberFormat="1" applyFont="1" applyFill="1" applyBorder="1" applyAlignment="1">
      <alignment vertical="top" wrapText="1"/>
    </xf>
    <xf numFmtId="189" fontId="0" fillId="0" borderId="19" xfId="0" applyNumberFormat="1" applyBorder="1" applyAlignment="1">
      <alignment horizontal="center" vertical="top" wrapText="1"/>
    </xf>
    <xf numFmtId="189" fontId="0" fillId="0" borderId="12" xfId="0" applyNumberFormat="1" applyBorder="1" applyAlignment="1">
      <alignment horizontal="center" vertical="top" wrapText="1"/>
    </xf>
    <xf numFmtId="189" fontId="0" fillId="0" borderId="18" xfId="0" applyNumberFormat="1" applyBorder="1" applyAlignment="1">
      <alignment horizontal="center" vertical="top" wrapText="1"/>
    </xf>
    <xf numFmtId="190" fontId="16" fillId="0" borderId="21" xfId="0" applyNumberFormat="1" applyFont="1" applyBorder="1" applyAlignment="1">
      <alignment horizontal="center"/>
    </xf>
    <xf numFmtId="189" fontId="0" fillId="0" borderId="17" xfId="0" applyNumberFormat="1" applyBorder="1" applyAlignment="1">
      <alignment horizontal="center" vertical="top" wrapText="1"/>
    </xf>
    <xf numFmtId="189" fontId="0" fillId="0" borderId="0" xfId="0" applyNumberFormat="1" applyAlignment="1">
      <alignment horizontal="center" vertical="top" wrapText="1"/>
    </xf>
    <xf numFmtId="189" fontId="0" fillId="0" borderId="16" xfId="0" applyNumberFormat="1" applyBorder="1" applyAlignment="1">
      <alignment horizontal="center" vertical="top" wrapText="1"/>
    </xf>
    <xf numFmtId="10" fontId="0" fillId="0" borderId="0" xfId="0" applyNumberFormat="1"/>
    <xf numFmtId="173" fontId="16" fillId="33" borderId="17" xfId="1" applyNumberFormat="1" applyFont="1" applyFill="1" applyBorder="1" applyAlignment="1">
      <alignment vertical="top" wrapText="1"/>
    </xf>
    <xf numFmtId="0" fontId="119" fillId="2" borderId="0" xfId="8" applyFont="1" applyFill="1"/>
    <xf numFmtId="173" fontId="0" fillId="33" borderId="14" xfId="1" applyNumberFormat="1" applyFont="1" applyFill="1" applyBorder="1" applyAlignment="1">
      <alignment vertical="top" wrapText="1"/>
    </xf>
    <xf numFmtId="189" fontId="0" fillId="0" borderId="14" xfId="0" applyNumberFormat="1" applyBorder="1" applyAlignment="1">
      <alignment horizontal="center" vertical="top" wrapText="1"/>
    </xf>
    <xf numFmtId="189" fontId="0" fillId="0" borderId="11" xfId="0" applyNumberFormat="1" applyBorder="1" applyAlignment="1">
      <alignment horizontal="center" vertical="top" wrapText="1"/>
    </xf>
    <xf numFmtId="189" fontId="0" fillId="0" borderId="15" xfId="0" applyNumberFormat="1" applyBorder="1" applyAlignment="1">
      <alignment horizontal="center" vertical="top" wrapText="1"/>
    </xf>
    <xf numFmtId="165" fontId="79" fillId="0" borderId="12" xfId="1" applyNumberFormat="1" applyFont="1" applyBorder="1"/>
    <xf numFmtId="0" fontId="120" fillId="0" borderId="0" xfId="0" applyFont="1" applyAlignment="1">
      <alignment vertical="center" wrapText="1"/>
    </xf>
    <xf numFmtId="165" fontId="120" fillId="0" borderId="0" xfId="1" applyNumberFormat="1" applyFont="1" applyFill="1" applyBorder="1" applyAlignment="1">
      <alignment vertical="center" wrapText="1"/>
    </xf>
    <xf numFmtId="0" fontId="120" fillId="0" borderId="0" xfId="0" applyFont="1" applyAlignment="1">
      <alignment horizontal="left" vertical="top"/>
    </xf>
    <xf numFmtId="0" fontId="120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top"/>
    </xf>
    <xf numFmtId="165" fontId="121" fillId="0" borderId="0" xfId="1" applyNumberFormat="1" applyFont="1" applyFill="1" applyBorder="1" applyAlignment="1">
      <alignment vertical="top"/>
    </xf>
    <xf numFmtId="0" fontId="122" fillId="0" borderId="0" xfId="0" applyFont="1" applyAlignment="1">
      <alignment horizontal="left" vertical="center"/>
    </xf>
    <xf numFmtId="0" fontId="122" fillId="0" borderId="0" xfId="0" applyFont="1" applyAlignment="1">
      <alignment horizontal="left" vertical="top"/>
    </xf>
    <xf numFmtId="0" fontId="121" fillId="0" borderId="0" xfId="0" applyFont="1" applyAlignment="1">
      <alignment vertical="top"/>
    </xf>
    <xf numFmtId="0" fontId="123" fillId="0" borderId="0" xfId="0" applyFont="1" applyAlignment="1">
      <alignment vertical="top"/>
    </xf>
    <xf numFmtId="0" fontId="120" fillId="0" borderId="0" xfId="0" applyFont="1" applyAlignment="1">
      <alignment horizontal="left"/>
    </xf>
    <xf numFmtId="165" fontId="120" fillId="0" borderId="0" xfId="1" applyNumberFormat="1" applyFont="1" applyFill="1" applyBorder="1" applyAlignment="1">
      <alignment horizontal="left"/>
    </xf>
    <xf numFmtId="0" fontId="123" fillId="0" borderId="0" xfId="0" applyFont="1" applyAlignment="1">
      <alignment horizontal="left" vertical="top"/>
    </xf>
    <xf numFmtId="165" fontId="123" fillId="0" borderId="0" xfId="1" applyNumberFormat="1" applyFont="1" applyFill="1" applyBorder="1" applyAlignment="1">
      <alignment vertical="top"/>
    </xf>
    <xf numFmtId="0" fontId="121" fillId="0" borderId="0" xfId="0" applyFont="1" applyAlignment="1">
      <alignment horizontal="center" vertical="top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right" vertical="top"/>
    </xf>
    <xf numFmtId="165" fontId="123" fillId="0" borderId="0" xfId="0" applyNumberFormat="1" applyFont="1" applyAlignment="1">
      <alignment horizontal="right" vertical="top"/>
    </xf>
    <xf numFmtId="0" fontId="120" fillId="0" borderId="0" xfId="0" applyFont="1" applyAlignment="1">
      <alignment horizontal="right" vertical="top"/>
    </xf>
    <xf numFmtId="165" fontId="120" fillId="0" borderId="0" xfId="0" applyNumberFormat="1" applyFont="1" applyAlignment="1">
      <alignment horizontal="left"/>
    </xf>
    <xf numFmtId="165" fontId="120" fillId="0" borderId="0" xfId="1" applyNumberFormat="1" applyFont="1" applyFill="1" applyBorder="1" applyAlignment="1">
      <alignment horizontal="left" vertical="top"/>
    </xf>
    <xf numFmtId="165" fontId="30" fillId="0" borderId="0" xfId="1" applyNumberFormat="1" applyFont="1" applyFill="1" applyAlignment="1"/>
    <xf numFmtId="5" fontId="16" fillId="29" borderId="41" xfId="0" applyNumberFormat="1" applyFont="1" applyFill="1" applyBorder="1"/>
    <xf numFmtId="5" fontId="3" fillId="27" borderId="41" xfId="0" applyNumberFormat="1" applyFont="1" applyFill="1" applyBorder="1"/>
    <xf numFmtId="5" fontId="16" fillId="30" borderId="41" xfId="0" applyNumberFormat="1" applyFont="1" applyFill="1" applyBorder="1"/>
    <xf numFmtId="5" fontId="125" fillId="29" borderId="41" xfId="0" applyNumberFormat="1" applyFont="1" applyFill="1" applyBorder="1"/>
    <xf numFmtId="5" fontId="3" fillId="0" borderId="41" xfId="0" applyNumberFormat="1" applyFont="1" applyBorder="1"/>
    <xf numFmtId="37" fontId="127" fillId="0" borderId="41" xfId="1" applyNumberFormat="1" applyFont="1" applyFill="1" applyBorder="1"/>
    <xf numFmtId="5" fontId="127" fillId="0" borderId="41" xfId="0" applyNumberFormat="1" applyFont="1" applyBorder="1"/>
    <xf numFmtId="37" fontId="127" fillId="0" borderId="41" xfId="0" applyNumberFormat="1" applyFont="1" applyBorder="1"/>
    <xf numFmtId="165" fontId="124" fillId="27" borderId="41" xfId="1" applyNumberFormat="1" applyFont="1" applyFill="1" applyBorder="1"/>
    <xf numFmtId="6" fontId="130" fillId="10" borderId="21" xfId="10" applyNumberFormat="1" applyFont="1" applyFill="1" applyBorder="1" applyAlignment="1">
      <alignment horizontal="center"/>
    </xf>
    <xf numFmtId="165" fontId="69" fillId="0" borderId="0" xfId="0" applyNumberFormat="1" applyFont="1"/>
    <xf numFmtId="9" fontId="41" fillId="34" borderId="0" xfId="0" applyNumberFormat="1" applyFont="1" applyFill="1"/>
    <xf numFmtId="10" fontId="33" fillId="0" borderId="0" xfId="2" applyNumberFormat="1" applyFont="1" applyFill="1" applyBorder="1" applyAlignment="1">
      <alignment horizontal="center"/>
    </xf>
    <xf numFmtId="14" fontId="131" fillId="15" borderId="0" xfId="0" applyNumberFormat="1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20" fillId="0" borderId="0" xfId="19" applyFill="1" applyBorder="1" applyAlignment="1">
      <alignment horizontal="right" wrapText="1"/>
    </xf>
    <xf numFmtId="10" fontId="0" fillId="0" borderId="0" xfId="0" applyNumberFormat="1" applyAlignment="1">
      <alignment horizontal="right" wrapText="1"/>
    </xf>
    <xf numFmtId="6" fontId="0" fillId="0" borderId="0" xfId="0" applyNumberFormat="1" applyAlignment="1">
      <alignment horizontal="right" wrapText="1"/>
    </xf>
    <xf numFmtId="0" fontId="0" fillId="0" borderId="0" xfId="0" quotePrefix="1" applyAlignment="1">
      <alignment horizontal="right" wrapText="1"/>
    </xf>
    <xf numFmtId="0" fontId="3" fillId="0" borderId="0" xfId="0" applyFont="1" applyAlignment="1">
      <alignment horizontal="right" wrapText="1"/>
    </xf>
    <xf numFmtId="169" fontId="3" fillId="0" borderId="0" xfId="0" applyNumberFormat="1" applyFont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69" fontId="3" fillId="0" borderId="0" xfId="0" applyNumberFormat="1" applyFont="1" applyAlignment="1">
      <alignment horizontal="right" vertical="top" wrapText="1"/>
    </xf>
    <xf numFmtId="169" fontId="131" fillId="0" borderId="0" xfId="0" applyNumberFormat="1" applyFont="1" applyAlignment="1">
      <alignment wrapText="1"/>
    </xf>
    <xf numFmtId="169" fontId="20" fillId="0" borderId="0" xfId="19" applyNumberFormat="1" applyFill="1" applyBorder="1" applyAlignment="1">
      <alignment horizontal="right" wrapText="1"/>
    </xf>
    <xf numFmtId="169" fontId="3" fillId="0" borderId="0" xfId="0" quotePrefix="1" applyNumberFormat="1" applyFont="1" applyAlignment="1">
      <alignment horizontal="center" vertical="top" wrapText="1"/>
    </xf>
    <xf numFmtId="169" fontId="3" fillId="0" borderId="0" xfId="0" quotePrefix="1" applyNumberFormat="1" applyFont="1" applyAlignment="1">
      <alignment horizontal="right" vertical="top" wrapText="1"/>
    </xf>
    <xf numFmtId="169" fontId="131" fillId="0" borderId="0" xfId="0" applyNumberFormat="1" applyFont="1" applyAlignment="1">
      <alignment horizontal="right" wrapText="1"/>
    </xf>
    <xf numFmtId="0" fontId="34" fillId="0" borderId="11" xfId="8" applyFont="1" applyBorder="1" applyAlignment="1">
      <alignment horizontal="left"/>
    </xf>
    <xf numFmtId="0" fontId="34" fillId="0" borderId="11" xfId="8" applyFont="1" applyBorder="1" applyAlignment="1">
      <alignment horizontal="right" wrapText="1"/>
    </xf>
    <xf numFmtId="165" fontId="33" fillId="0" borderId="0" xfId="8" applyNumberFormat="1" applyFont="1" applyAlignment="1">
      <alignment horizontal="right"/>
    </xf>
    <xf numFmtId="164" fontId="33" fillId="0" borderId="0" xfId="8" applyNumberFormat="1" applyFont="1" applyAlignment="1">
      <alignment horizontal="right"/>
    </xf>
    <xf numFmtId="43" fontId="33" fillId="0" borderId="0" xfId="1" applyFont="1" applyFill="1" applyAlignment="1">
      <alignment horizontal="right"/>
    </xf>
    <xf numFmtId="9" fontId="33" fillId="0" borderId="0" xfId="8" applyNumberFormat="1" applyFont="1" applyAlignment="1">
      <alignment horizontal="right"/>
    </xf>
    <xf numFmtId="0" fontId="34" fillId="0" borderId="27" xfId="8" applyFont="1" applyBorder="1"/>
    <xf numFmtId="165" fontId="34" fillId="0" borderId="27" xfId="1" applyNumberFormat="1" applyFont="1" applyFill="1" applyBorder="1" applyAlignment="1">
      <alignment horizontal="right"/>
    </xf>
    <xf numFmtId="37" fontId="73" fillId="0" borderId="24" xfId="14" applyFont="1" applyBorder="1" applyAlignment="1">
      <alignment horizontal="right"/>
    </xf>
    <xf numFmtId="37" fontId="132" fillId="0" borderId="0" xfId="14" applyFont="1"/>
    <xf numFmtId="3" fontId="69" fillId="0" borderId="0" xfId="0" applyNumberFormat="1" applyFont="1" applyAlignment="1">
      <alignment horizontal="left"/>
    </xf>
    <xf numFmtId="3" fontId="71" fillId="0" borderId="0" xfId="0" applyNumberFormat="1" applyFont="1"/>
    <xf numFmtId="3" fontId="133" fillId="0" borderId="0" xfId="0" applyNumberFormat="1" applyFont="1" applyAlignment="1">
      <alignment horizontal="left"/>
    </xf>
    <xf numFmtId="165" fontId="71" fillId="0" borderId="24" xfId="1" applyNumberFormat="1" applyFont="1" applyFill="1" applyBorder="1" applyAlignment="1">
      <alignment horizontal="right"/>
    </xf>
    <xf numFmtId="165" fontId="71" fillId="0" borderId="45" xfId="1" applyNumberFormat="1" applyFont="1" applyFill="1" applyBorder="1"/>
    <xf numFmtId="0" fontId="69" fillId="0" borderId="0" xfId="0" applyFont="1" applyAlignment="1">
      <alignment horizontal="right"/>
    </xf>
    <xf numFmtId="165" fontId="69" fillId="0" borderId="0" xfId="1" applyNumberFormat="1" applyFont="1" applyFill="1" applyBorder="1" applyAlignment="1">
      <alignment horizontal="right"/>
    </xf>
    <xf numFmtId="0" fontId="114" fillId="2" borderId="0" xfId="8" applyFont="1" applyFill="1"/>
    <xf numFmtId="171" fontId="33" fillId="0" borderId="0" xfId="0" applyNumberFormat="1" applyFont="1" applyAlignment="1">
      <alignment horizontal="right"/>
    </xf>
    <xf numFmtId="171" fontId="33" fillId="0" borderId="11" xfId="0" applyNumberFormat="1" applyFont="1" applyBorder="1" applyAlignment="1">
      <alignment horizontal="right"/>
    </xf>
    <xf numFmtId="0" fontId="33" fillId="0" borderId="11" xfId="0" applyFont="1" applyBorder="1" applyAlignment="1">
      <alignment horizontal="right"/>
    </xf>
    <xf numFmtId="173" fontId="60" fillId="2" borderId="39" xfId="9" applyNumberFormat="1" applyFont="1" applyFill="1" applyBorder="1"/>
    <xf numFmtId="173" fontId="71" fillId="2" borderId="39" xfId="9" applyNumberFormat="1" applyFont="1" applyFill="1" applyBorder="1"/>
    <xf numFmtId="0" fontId="90" fillId="2" borderId="22" xfId="0" applyFont="1" applyFill="1" applyBorder="1"/>
    <xf numFmtId="0" fontId="90" fillId="2" borderId="13" xfId="0" applyFont="1" applyFill="1" applyBorder="1"/>
    <xf numFmtId="167" fontId="90" fillId="2" borderId="20" xfId="1" applyNumberFormat="1" applyFont="1" applyFill="1" applyBorder="1"/>
    <xf numFmtId="0" fontId="24" fillId="35" borderId="0" xfId="0" applyFont="1" applyFill="1" applyAlignment="1">
      <alignment wrapText="1"/>
    </xf>
    <xf numFmtId="0" fontId="28" fillId="35" borderId="0" xfId="0" applyFont="1" applyFill="1" applyAlignment="1">
      <alignment horizontal="center" wrapText="1"/>
    </xf>
    <xf numFmtId="0" fontId="29" fillId="35" borderId="0" xfId="0" applyFont="1" applyFill="1" applyAlignment="1">
      <alignment wrapText="1"/>
    </xf>
    <xf numFmtId="0" fontId="34" fillId="8" borderId="13" xfId="0" applyFont="1" applyFill="1" applyBorder="1"/>
    <xf numFmtId="1" fontId="34" fillId="8" borderId="13" xfId="0" applyNumberFormat="1" applyFont="1" applyFill="1" applyBorder="1"/>
    <xf numFmtId="165" fontId="34" fillId="8" borderId="13" xfId="1" applyNumberFormat="1" applyFont="1" applyFill="1" applyBorder="1"/>
    <xf numFmtId="165" fontId="34" fillId="8" borderId="13" xfId="0" applyNumberFormat="1" applyFont="1" applyFill="1" applyBorder="1"/>
    <xf numFmtId="173" fontId="34" fillId="8" borderId="13" xfId="9" applyNumberFormat="1" applyFont="1" applyFill="1" applyBorder="1"/>
    <xf numFmtId="10" fontId="34" fillId="8" borderId="13" xfId="2" applyNumberFormat="1" applyFont="1" applyFill="1" applyBorder="1" applyAlignment="1">
      <alignment horizontal="center"/>
    </xf>
    <xf numFmtId="0" fontId="34" fillId="8" borderId="20" xfId="0" applyFont="1" applyFill="1" applyBorder="1"/>
    <xf numFmtId="0" fontId="34" fillId="0" borderId="12" xfId="0" applyFont="1" applyBorder="1"/>
    <xf numFmtId="1" fontId="34" fillId="0" borderId="12" xfId="0" applyNumberFormat="1" applyFont="1" applyBorder="1"/>
    <xf numFmtId="165" fontId="34" fillId="0" borderId="12" xfId="1" applyNumberFormat="1" applyFont="1" applyFill="1" applyBorder="1"/>
    <xf numFmtId="165" fontId="34" fillId="0" borderId="12" xfId="0" applyNumberFormat="1" applyFont="1" applyBorder="1"/>
    <xf numFmtId="173" fontId="34" fillId="0" borderId="12" xfId="9" applyNumberFormat="1" applyFont="1" applyFill="1" applyBorder="1"/>
    <xf numFmtId="173" fontId="34" fillId="0" borderId="0" xfId="9" applyNumberFormat="1" applyFont="1" applyFill="1" applyBorder="1"/>
    <xf numFmtId="10" fontId="34" fillId="0" borderId="12" xfId="2" applyNumberFormat="1" applyFont="1" applyFill="1" applyBorder="1" applyAlignment="1">
      <alignment horizontal="center"/>
    </xf>
    <xf numFmtId="165" fontId="92" fillId="2" borderId="0" xfId="1" applyNumberFormat="1" applyFont="1" applyFill="1"/>
    <xf numFmtId="169" fontId="0" fillId="0" borderId="0" xfId="0" applyNumberFormat="1"/>
    <xf numFmtId="165" fontId="24" fillId="0" borderId="0" xfId="1" applyNumberFormat="1" applyFont="1" applyFill="1"/>
    <xf numFmtId="165" fontId="25" fillId="0" borderId="0" xfId="1" applyNumberFormat="1" applyFont="1" applyFill="1"/>
    <xf numFmtId="0" fontId="0" fillId="0" borderId="0" xfId="0" applyAlignment="1">
      <alignment horizontal="left"/>
    </xf>
    <xf numFmtId="168" fontId="16" fillId="0" borderId="0" xfId="0" applyNumberFormat="1" applyFont="1"/>
    <xf numFmtId="165" fontId="41" fillId="0" borderId="0" xfId="8" applyNumberFormat="1" applyFont="1"/>
    <xf numFmtId="165" fontId="126" fillId="29" borderId="0" xfId="8" applyNumberFormat="1" applyFont="1" applyFill="1"/>
    <xf numFmtId="7" fontId="33" fillId="0" borderId="23" xfId="0" applyNumberFormat="1" applyFont="1" applyBorder="1" applyAlignment="1">
      <alignment horizontal="right"/>
    </xf>
    <xf numFmtId="10" fontId="70" fillId="10" borderId="0" xfId="2" applyNumberFormat="1" applyFont="1" applyFill="1" applyBorder="1" applyAlignment="1">
      <alignment horizontal="right" indent="1"/>
    </xf>
    <xf numFmtId="0" fontId="105" fillId="0" borderId="0" xfId="0" applyFont="1" applyAlignment="1">
      <alignment vertical="center" wrapText="1"/>
    </xf>
    <xf numFmtId="3" fontId="95" fillId="13" borderId="0" xfId="0" applyNumberFormat="1" applyFont="1" applyFill="1" applyAlignment="1">
      <alignment horizontal="center" wrapText="1"/>
    </xf>
    <xf numFmtId="165" fontId="33" fillId="2" borderId="0" xfId="8" applyNumberFormat="1" applyFont="1" applyFill="1" applyAlignment="1">
      <alignment horizontal="left" indent="1"/>
    </xf>
    <xf numFmtId="165" fontId="41" fillId="2" borderId="0" xfId="1" applyNumberFormat="1" applyFont="1" applyFill="1" applyAlignment="1"/>
    <xf numFmtId="165" fontId="40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center"/>
    </xf>
    <xf numFmtId="17" fontId="24" fillId="0" borderId="0" xfId="0" applyNumberFormat="1" applyFont="1"/>
    <xf numFmtId="173" fontId="24" fillId="0" borderId="0" xfId="9" applyNumberFormat="1" applyFont="1" applyFill="1"/>
    <xf numFmtId="10" fontId="24" fillId="0" borderId="0" xfId="0" applyNumberFormat="1" applyFont="1" applyAlignment="1">
      <alignment horizontal="center"/>
    </xf>
    <xf numFmtId="0" fontId="76" fillId="2" borderId="0" xfId="10" applyFont="1" applyFill="1"/>
    <xf numFmtId="0" fontId="60" fillId="2" borderId="0" xfId="10" applyFont="1" applyFill="1" applyAlignment="1">
      <alignment horizontal="center"/>
    </xf>
    <xf numFmtId="0" fontId="73" fillId="2" borderId="0" xfId="10" applyFont="1" applyFill="1" applyAlignment="1">
      <alignment horizontal="left" indent="5"/>
    </xf>
    <xf numFmtId="0" fontId="71" fillId="2" borderId="0" xfId="10" applyFont="1" applyFill="1" applyAlignment="1">
      <alignment horizontal="left" indent="5"/>
    </xf>
    <xf numFmtId="0" fontId="73" fillId="10" borderId="13" xfId="10" applyFont="1" applyFill="1" applyBorder="1" applyAlignment="1">
      <alignment horizontal="left" indent="3"/>
    </xf>
    <xf numFmtId="0" fontId="71" fillId="2" borderId="0" xfId="10" applyFont="1" applyFill="1"/>
    <xf numFmtId="0" fontId="73" fillId="3" borderId="13" xfId="10" applyFont="1" applyFill="1" applyBorder="1" applyAlignment="1">
      <alignment horizontal="left" indent="3"/>
    </xf>
    <xf numFmtId="173" fontId="73" fillId="22" borderId="13" xfId="9" applyNumberFormat="1" applyFont="1" applyFill="1" applyBorder="1"/>
    <xf numFmtId="6" fontId="130" fillId="0" borderId="24" xfId="10" applyNumberFormat="1" applyFont="1" applyBorder="1" applyAlignment="1">
      <alignment horizontal="center"/>
    </xf>
    <xf numFmtId="0" fontId="73" fillId="0" borderId="0" xfId="10" applyFont="1"/>
    <xf numFmtId="173" fontId="73" fillId="0" borderId="0" xfId="9" applyNumberFormat="1" applyFont="1" applyFill="1" applyBorder="1"/>
    <xf numFmtId="0" fontId="68" fillId="9" borderId="12" xfId="10" applyFont="1" applyFill="1" applyBorder="1"/>
    <xf numFmtId="0" fontId="89" fillId="9" borderId="12" xfId="10" applyFont="1" applyFill="1" applyBorder="1" applyAlignment="1">
      <alignment horizontal="center"/>
    </xf>
    <xf numFmtId="0" fontId="89" fillId="9" borderId="13" xfId="10" applyFont="1" applyFill="1" applyBorder="1" applyAlignment="1">
      <alignment horizontal="center"/>
    </xf>
    <xf numFmtId="0" fontId="71" fillId="2" borderId="39" xfId="10" applyFont="1" applyFill="1" applyBorder="1" applyAlignment="1">
      <alignment horizontal="left" indent="5"/>
    </xf>
    <xf numFmtId="173" fontId="71" fillId="2" borderId="0" xfId="9" applyNumberFormat="1" applyFont="1" applyFill="1" applyBorder="1" applyAlignment="1">
      <alignment horizontal="right"/>
    </xf>
    <xf numFmtId="0" fontId="32" fillId="2" borderId="0" xfId="0" applyFont="1" applyFill="1" applyAlignment="1">
      <alignment horizontal="center"/>
    </xf>
    <xf numFmtId="3" fontId="137" fillId="2" borderId="0" xfId="0" applyNumberFormat="1" applyFont="1" applyFill="1" applyAlignment="1">
      <alignment horizontal="left" indent="1"/>
    </xf>
    <xf numFmtId="165" fontId="137" fillId="2" borderId="0" xfId="1" applyNumberFormat="1" applyFont="1" applyFill="1" applyBorder="1"/>
    <xf numFmtId="165" fontId="138" fillId="2" borderId="1" xfId="1" applyNumberFormat="1" applyFont="1" applyFill="1" applyBorder="1"/>
    <xf numFmtId="3" fontId="137" fillId="2" borderId="0" xfId="0" applyNumberFormat="1" applyFont="1" applyFill="1" applyAlignment="1">
      <alignment horizontal="left" indent="2"/>
    </xf>
    <xf numFmtId="0" fontId="139" fillId="9" borderId="0" xfId="0" applyFont="1" applyFill="1"/>
    <xf numFmtId="0" fontId="140" fillId="9" borderId="0" xfId="0" applyFont="1" applyFill="1"/>
    <xf numFmtId="0" fontId="140" fillId="9" borderId="0" xfId="0" applyFont="1" applyFill="1" applyAlignment="1">
      <alignment horizontal="center"/>
    </xf>
    <xf numFmtId="3" fontId="137" fillId="2" borderId="0" xfId="0" applyNumberFormat="1" applyFont="1" applyFill="1"/>
    <xf numFmtId="3" fontId="137" fillId="2" borderId="0" xfId="0" applyNumberFormat="1" applyFont="1" applyFill="1" applyAlignment="1">
      <alignment horizontal="right"/>
    </xf>
    <xf numFmtId="10" fontId="137" fillId="2" borderId="0" xfId="0" applyNumberFormat="1" applyFont="1" applyFill="1"/>
    <xf numFmtId="3" fontId="138" fillId="2" borderId="1" xfId="0" applyNumberFormat="1" applyFont="1" applyFill="1" applyBorder="1"/>
    <xf numFmtId="3" fontId="141" fillId="2" borderId="0" xfId="0" applyNumberFormat="1" applyFont="1" applyFill="1"/>
    <xf numFmtId="175" fontId="141" fillId="2" borderId="0" xfId="0" applyNumberFormat="1" applyFont="1" applyFill="1"/>
    <xf numFmtId="3" fontId="138" fillId="2" borderId="0" xfId="0" applyNumberFormat="1" applyFont="1" applyFill="1"/>
    <xf numFmtId="9" fontId="137" fillId="2" borderId="0" xfId="2" applyFont="1" applyFill="1" applyBorder="1" applyAlignment="1">
      <alignment horizontal="center"/>
    </xf>
    <xf numFmtId="0" fontId="134" fillId="2" borderId="0" xfId="0" applyFont="1" applyFill="1"/>
    <xf numFmtId="165" fontId="134" fillId="2" borderId="0" xfId="0" applyNumberFormat="1" applyFont="1" applyFill="1"/>
    <xf numFmtId="191" fontId="34" fillId="8" borderId="13" xfId="0" applyNumberFormat="1" applyFont="1" applyFill="1" applyBorder="1"/>
    <xf numFmtId="9" fontId="24" fillId="0" borderId="0" xfId="2" applyFont="1" applyFill="1"/>
    <xf numFmtId="9" fontId="24" fillId="0" borderId="11" xfId="2" applyFont="1" applyFill="1" applyBorder="1"/>
    <xf numFmtId="0" fontId="33" fillId="0" borderId="26" xfId="0" applyFont="1" applyBorder="1"/>
    <xf numFmtId="0" fontId="34" fillId="0" borderId="26" xfId="0" applyFont="1" applyBorder="1" applyAlignment="1">
      <alignment horizontal="right"/>
    </xf>
    <xf numFmtId="0" fontId="33" fillId="0" borderId="0" xfId="0" applyFont="1" applyAlignment="1">
      <alignment horizontal="left"/>
    </xf>
    <xf numFmtId="9" fontId="33" fillId="0" borderId="0" xfId="0" applyNumberFormat="1" applyFont="1" applyAlignment="1">
      <alignment horizontal="right"/>
    </xf>
    <xf numFmtId="9" fontId="33" fillId="0" borderId="0" xfId="2" applyFont="1" applyFill="1" applyAlignment="1">
      <alignment horizontal="right"/>
    </xf>
    <xf numFmtId="6" fontId="33" fillId="0" borderId="0" xfId="0" applyNumberFormat="1" applyFont="1" applyAlignment="1">
      <alignment horizontal="left"/>
    </xf>
    <xf numFmtId="0" fontId="33" fillId="0" borderId="11" xfId="0" applyFont="1" applyBorder="1" applyAlignment="1">
      <alignment horizontal="left"/>
    </xf>
    <xf numFmtId="9" fontId="33" fillId="0" borderId="11" xfId="2" applyFont="1" applyFill="1" applyBorder="1" applyAlignment="1">
      <alignment horizontal="right"/>
    </xf>
    <xf numFmtId="0" fontId="34" fillId="0" borderId="13" xfId="0" applyFont="1" applyBorder="1"/>
    <xf numFmtId="168" fontId="34" fillId="0" borderId="13" xfId="0" applyNumberFormat="1" applyFont="1" applyBorder="1" applyAlignment="1">
      <alignment horizontal="right"/>
    </xf>
    <xf numFmtId="9" fontId="34" fillId="0" borderId="13" xfId="2" applyFont="1" applyFill="1" applyBorder="1" applyAlignment="1">
      <alignment horizontal="right"/>
    </xf>
    <xf numFmtId="0" fontId="34" fillId="0" borderId="27" xfId="0" applyFont="1" applyBorder="1"/>
    <xf numFmtId="168" fontId="34" fillId="0" borderId="27" xfId="0" applyNumberFormat="1" applyFont="1" applyBorder="1" applyAlignment="1">
      <alignment horizontal="right"/>
    </xf>
    <xf numFmtId="9" fontId="34" fillId="0" borderId="27" xfId="2" applyFont="1" applyFill="1" applyBorder="1" applyAlignment="1">
      <alignment horizontal="right"/>
    </xf>
    <xf numFmtId="169" fontId="33" fillId="0" borderId="0" xfId="0" applyNumberFormat="1" applyFont="1"/>
    <xf numFmtId="168" fontId="33" fillId="0" borderId="0" xfId="1" applyNumberFormat="1" applyFont="1" applyFill="1"/>
    <xf numFmtId="0" fontId="33" fillId="0" borderId="0" xfId="0" applyFont="1"/>
    <xf numFmtId="6" fontId="33" fillId="0" borderId="0" xfId="0" applyNumberFormat="1" applyFont="1" applyAlignment="1">
      <alignment horizontal="left" indent="1"/>
    </xf>
    <xf numFmtId="164" fontId="33" fillId="0" borderId="0" xfId="0" applyNumberFormat="1" applyFont="1" applyAlignment="1">
      <alignment horizontal="right"/>
    </xf>
    <xf numFmtId="6" fontId="33" fillId="0" borderId="11" xfId="0" applyNumberFormat="1" applyFont="1" applyBorder="1" applyAlignment="1">
      <alignment horizontal="left"/>
    </xf>
    <xf numFmtId="6" fontId="33" fillId="0" borderId="11" xfId="0" applyNumberFormat="1" applyFont="1" applyBorder="1" applyAlignment="1">
      <alignment horizontal="left" indent="1"/>
    </xf>
    <xf numFmtId="164" fontId="33" fillId="0" borderId="11" xfId="0" applyNumberFormat="1" applyFont="1" applyBorder="1" applyAlignment="1">
      <alignment horizontal="right"/>
    </xf>
    <xf numFmtId="0" fontId="34" fillId="0" borderId="0" xfId="0" applyFont="1"/>
    <xf numFmtId="168" fontId="34" fillId="0" borderId="0" xfId="0" applyNumberFormat="1" applyFont="1" applyAlignment="1">
      <alignment horizontal="right"/>
    </xf>
    <xf numFmtId="164" fontId="34" fillId="0" borderId="0" xfId="2" applyNumberFormat="1" applyFont="1" applyFill="1" applyAlignment="1">
      <alignment horizontal="right"/>
    </xf>
    <xf numFmtId="0" fontId="33" fillId="0" borderId="12" xfId="0" applyFont="1" applyBorder="1"/>
    <xf numFmtId="164" fontId="33" fillId="0" borderId="12" xfId="0" applyNumberFormat="1" applyFont="1" applyBorder="1" applyAlignment="1">
      <alignment horizontal="right"/>
    </xf>
    <xf numFmtId="0" fontId="33" fillId="0" borderId="11" xfId="0" applyFont="1" applyBorder="1"/>
    <xf numFmtId="0" fontId="34" fillId="0" borderId="26" xfId="0" applyFont="1" applyBorder="1" applyAlignment="1">
      <alignment horizontal="center"/>
    </xf>
    <xf numFmtId="168" fontId="33" fillId="0" borderId="0" xfId="0" applyNumberFormat="1" applyFont="1"/>
    <xf numFmtId="168" fontId="33" fillId="0" borderId="11" xfId="0" applyNumberFormat="1" applyFont="1" applyBorder="1"/>
    <xf numFmtId="10" fontId="33" fillId="0" borderId="0" xfId="0" applyNumberFormat="1" applyFont="1" applyAlignment="1">
      <alignment horizontal="right"/>
    </xf>
    <xf numFmtId="170" fontId="33" fillId="0" borderId="0" xfId="0" applyNumberFormat="1" applyFont="1" applyAlignment="1">
      <alignment horizontal="right"/>
    </xf>
    <xf numFmtId="10" fontId="33" fillId="0" borderId="11" xfId="0" applyNumberFormat="1" applyFont="1" applyBorder="1" applyAlignment="1">
      <alignment horizontal="right"/>
    </xf>
    <xf numFmtId="170" fontId="33" fillId="0" borderId="11" xfId="0" applyNumberFormat="1" applyFont="1" applyBorder="1" applyAlignment="1">
      <alignment horizontal="right"/>
    </xf>
    <xf numFmtId="0" fontId="33" fillId="0" borderId="0" xfId="0" applyFont="1" applyAlignment="1">
      <alignment horizontal="right"/>
    </xf>
    <xf numFmtId="8" fontId="33" fillId="0" borderId="0" xfId="0" applyNumberFormat="1" applyFont="1"/>
    <xf numFmtId="168" fontId="24" fillId="0" borderId="11" xfId="0" applyNumberFormat="1" applyFont="1" applyBorder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165" fontId="33" fillId="0" borderId="0" xfId="1" applyNumberFormat="1" applyFont="1" applyFill="1" applyBorder="1" applyAlignment="1">
      <alignment horizontal="right"/>
    </xf>
    <xf numFmtId="165" fontId="33" fillId="0" borderId="11" xfId="1" applyNumberFormat="1" applyFont="1" applyFill="1" applyBorder="1" applyAlignment="1">
      <alignment horizontal="right"/>
    </xf>
    <xf numFmtId="168" fontId="34" fillId="0" borderId="0" xfId="0" applyNumberFormat="1" applyFont="1"/>
    <xf numFmtId="168" fontId="109" fillId="0" borderId="0" xfId="0" applyNumberFormat="1" applyFont="1"/>
    <xf numFmtId="164" fontId="33" fillId="0" borderId="0" xfId="2" applyNumberFormat="1" applyFont="1" applyFill="1"/>
    <xf numFmtId="10" fontId="33" fillId="0" borderId="0" xfId="2" applyNumberFormat="1" applyFont="1" applyFill="1" applyBorder="1" applyAlignment="1">
      <alignment horizontal="right"/>
    </xf>
    <xf numFmtId="164" fontId="33" fillId="0" borderId="0" xfId="0" applyNumberFormat="1" applyFont="1"/>
    <xf numFmtId="3" fontId="33" fillId="0" borderId="0" xfId="0" applyNumberFormat="1" applyFont="1" applyAlignment="1">
      <alignment horizontal="right"/>
    </xf>
    <xf numFmtId="0" fontId="34" fillId="0" borderId="11" xfId="0" applyFont="1" applyBorder="1"/>
    <xf numFmtId="0" fontId="34" fillId="0" borderId="11" xfId="0" applyFont="1" applyBorder="1" applyAlignment="1">
      <alignment horizontal="right"/>
    </xf>
    <xf numFmtId="171" fontId="33" fillId="0" borderId="11" xfId="0" applyNumberFormat="1" applyFont="1" applyBorder="1" applyAlignment="1">
      <alignment horizontal="center"/>
    </xf>
    <xf numFmtId="165" fontId="34" fillId="0" borderId="0" xfId="1" applyNumberFormat="1" applyFont="1" applyFill="1" applyAlignment="1">
      <alignment horizontal="right"/>
    </xf>
    <xf numFmtId="0" fontId="109" fillId="0" borderId="0" xfId="0" applyFont="1" applyAlignment="1">
      <alignment horizontal="left"/>
    </xf>
    <xf numFmtId="170" fontId="34" fillId="0" borderId="0" xfId="0" applyNumberFormat="1" applyFont="1" applyAlignment="1">
      <alignment horizontal="right"/>
    </xf>
    <xf numFmtId="0" fontId="24" fillId="0" borderId="13" xfId="0" applyFont="1" applyBorder="1"/>
    <xf numFmtId="1" fontId="24" fillId="0" borderId="13" xfId="0" applyNumberFormat="1" applyFont="1" applyBorder="1"/>
    <xf numFmtId="165" fontId="24" fillId="0" borderId="13" xfId="1" applyNumberFormat="1" applyFont="1" applyFill="1" applyBorder="1"/>
    <xf numFmtId="165" fontId="24" fillId="0" borderId="13" xfId="0" applyNumberFormat="1" applyFont="1" applyBorder="1"/>
    <xf numFmtId="173" fontId="24" fillId="0" borderId="13" xfId="9" applyNumberFormat="1" applyFont="1" applyFill="1" applyBorder="1"/>
    <xf numFmtId="10" fontId="24" fillId="0" borderId="13" xfId="2" applyNumberFormat="1" applyFont="1" applyFill="1" applyBorder="1" applyAlignment="1">
      <alignment horizontal="center"/>
    </xf>
    <xf numFmtId="1" fontId="24" fillId="0" borderId="0" xfId="0" applyNumberFormat="1" applyFont="1"/>
    <xf numFmtId="0" fontId="32" fillId="0" borderId="0" xfId="0" applyFont="1"/>
    <xf numFmtId="0" fontId="71" fillId="0" borderId="0" xfId="0" applyFont="1" applyAlignment="1">
      <alignment vertical="top" wrapText="1"/>
    </xf>
    <xf numFmtId="37" fontId="71" fillId="0" borderId="32" xfId="1" applyNumberFormat="1" applyFont="1" applyFill="1" applyBorder="1" applyAlignment="1">
      <alignment horizontal="center" vertical="top" wrapText="1"/>
    </xf>
    <xf numFmtId="164" fontId="71" fillId="0" borderId="0" xfId="0" applyNumberFormat="1" applyFont="1" applyAlignment="1">
      <alignment vertical="top" wrapText="1"/>
    </xf>
    <xf numFmtId="168" fontId="71" fillId="0" borderId="32" xfId="0" applyNumberFormat="1" applyFont="1" applyBorder="1" applyAlignment="1">
      <alignment vertical="top" wrapText="1"/>
    </xf>
    <xf numFmtId="164" fontId="71" fillId="0" borderId="39" xfId="2" applyNumberFormat="1" applyFont="1" applyFill="1" applyBorder="1" applyAlignment="1">
      <alignment vertical="top" wrapText="1"/>
    </xf>
    <xf numFmtId="37" fontId="71" fillId="0" borderId="32" xfId="1" applyNumberFormat="1" applyFont="1" applyFill="1" applyBorder="1" applyAlignment="1">
      <alignment vertical="top" wrapText="1"/>
    </xf>
    <xf numFmtId="169" fontId="71" fillId="0" borderId="38" xfId="9" applyNumberFormat="1" applyFont="1" applyFill="1" applyBorder="1" applyAlignment="1">
      <alignment vertical="top" wrapText="1"/>
    </xf>
    <xf numFmtId="8" fontId="71" fillId="0" borderId="38" xfId="0" applyNumberFormat="1" applyFont="1" applyBorder="1" applyAlignment="1">
      <alignment vertical="center" wrapText="1"/>
    </xf>
    <xf numFmtId="168" fontId="71" fillId="0" borderId="32" xfId="9" applyNumberFormat="1" applyFont="1" applyFill="1" applyBorder="1" applyAlignment="1">
      <alignment vertical="top" wrapText="1"/>
    </xf>
    <xf numFmtId="0" fontId="69" fillId="0" borderId="32" xfId="0" applyFont="1" applyBorder="1" applyAlignment="1">
      <alignment horizontal="center"/>
    </xf>
    <xf numFmtId="0" fontId="71" fillId="0" borderId="32" xfId="0" applyFont="1" applyBorder="1" applyAlignment="1">
      <alignment horizontal="center"/>
    </xf>
    <xf numFmtId="0" fontId="71" fillId="0" borderId="0" xfId="0" applyFont="1"/>
    <xf numFmtId="1" fontId="69" fillId="0" borderId="32" xfId="0" applyNumberFormat="1" applyFont="1" applyBorder="1" applyAlignment="1">
      <alignment horizontal="center"/>
    </xf>
    <xf numFmtId="0" fontId="71" fillId="0" borderId="34" xfId="0" applyFont="1" applyBorder="1" applyAlignment="1">
      <alignment vertical="top" wrapText="1"/>
    </xf>
    <xf numFmtId="0" fontId="71" fillId="0" borderId="37" xfId="0" applyFont="1" applyBorder="1" applyAlignment="1">
      <alignment vertical="top" wrapText="1"/>
    </xf>
    <xf numFmtId="164" fontId="71" fillId="0" borderId="32" xfId="2" applyNumberFormat="1" applyFont="1" applyFill="1" applyBorder="1" applyAlignment="1">
      <alignment horizontal="center" vertical="top" wrapText="1"/>
    </xf>
    <xf numFmtId="164" fontId="71" fillId="0" borderId="0" xfId="2" applyNumberFormat="1" applyFont="1" applyFill="1" applyBorder="1" applyAlignment="1">
      <alignment horizontal="center" vertical="top" wrapText="1"/>
    </xf>
    <xf numFmtId="168" fontId="71" fillId="0" borderId="0" xfId="9" applyNumberFormat="1" applyFont="1" applyFill="1" applyBorder="1" applyAlignment="1">
      <alignment horizontal="center" vertical="top" wrapText="1"/>
    </xf>
    <xf numFmtId="169" fontId="71" fillId="0" borderId="0" xfId="9" applyNumberFormat="1" applyFont="1" applyFill="1" applyBorder="1" applyAlignment="1">
      <alignment horizontal="center" vertical="top" wrapText="1"/>
    </xf>
    <xf numFmtId="164" fontId="71" fillId="0" borderId="35" xfId="0" applyNumberFormat="1" applyFont="1" applyBorder="1" applyAlignment="1">
      <alignment vertical="top" wrapText="1"/>
    </xf>
    <xf numFmtId="37" fontId="71" fillId="0" borderId="0" xfId="9" applyNumberFormat="1" applyFont="1" applyFill="1" applyBorder="1" applyAlignment="1">
      <alignment horizontal="center" vertical="top" wrapText="1"/>
    </xf>
    <xf numFmtId="0" fontId="72" fillId="0" borderId="39" xfId="0" applyFont="1" applyBorder="1" applyAlignment="1">
      <alignment horizontal="center"/>
    </xf>
    <xf numFmtId="0" fontId="69" fillId="0" borderId="40" xfId="0" applyFont="1" applyBorder="1"/>
    <xf numFmtId="0" fontId="71" fillId="0" borderId="36" xfId="0" applyFont="1" applyBorder="1" applyAlignment="1">
      <alignment vertical="top" wrapText="1"/>
    </xf>
    <xf numFmtId="164" fontId="69" fillId="0" borderId="0" xfId="2" applyNumberFormat="1" applyFont="1" applyFill="1" applyBorder="1"/>
    <xf numFmtId="42" fontId="69" fillId="0" borderId="0" xfId="9" applyNumberFormat="1" applyFont="1" applyFill="1" applyBorder="1" applyAlignment="1">
      <alignment horizontal="center"/>
    </xf>
    <xf numFmtId="164" fontId="71" fillId="0" borderId="36" xfId="0" applyNumberFormat="1" applyFont="1" applyBorder="1" applyAlignment="1">
      <alignment vertical="top" wrapText="1"/>
    </xf>
    <xf numFmtId="0" fontId="102" fillId="0" borderId="11" xfId="0" applyFont="1" applyBorder="1" applyAlignment="1">
      <alignment horizontal="centerContinuous"/>
    </xf>
    <xf numFmtId="0" fontId="71" fillId="0" borderId="0" xfId="0" applyFont="1" applyAlignment="1">
      <alignment horizontal="center" vertical="top" wrapText="1"/>
    </xf>
    <xf numFmtId="8" fontId="101" fillId="0" borderId="0" xfId="0" applyNumberFormat="1" applyFont="1" applyAlignment="1">
      <alignment horizontal="center" vertical="center" wrapText="1"/>
    </xf>
    <xf numFmtId="15" fontId="33" fillId="0" borderId="9" xfId="0" applyNumberFormat="1" applyFont="1" applyBorder="1" applyAlignment="1">
      <alignment horizontal="left"/>
    </xf>
    <xf numFmtId="165" fontId="0" fillId="0" borderId="0" xfId="0" applyNumberFormat="1"/>
    <xf numFmtId="165" fontId="0" fillId="0" borderId="11" xfId="1" applyNumberFormat="1" applyFont="1" applyBorder="1"/>
    <xf numFmtId="43" fontId="0" fillId="0" borderId="0" xfId="0" applyNumberFormat="1"/>
    <xf numFmtId="0" fontId="0" fillId="0" borderId="11" xfId="0" applyBorder="1" applyAlignment="1">
      <alignment horizontal="left"/>
    </xf>
    <xf numFmtId="165" fontId="4" fillId="0" borderId="0" xfId="0" applyNumberFormat="1" applyFont="1"/>
    <xf numFmtId="10" fontId="0" fillId="0" borderId="0" xfId="2" applyNumberFormat="1" applyFont="1"/>
    <xf numFmtId="165" fontId="69" fillId="31" borderId="11" xfId="0" applyNumberFormat="1" applyFont="1" applyFill="1" applyBorder="1"/>
    <xf numFmtId="168" fontId="69" fillId="31" borderId="11" xfId="0" applyNumberFormat="1" applyFont="1" applyFill="1" applyBorder="1" applyAlignment="1">
      <alignment horizontal="right"/>
    </xf>
    <xf numFmtId="165" fontId="46" fillId="2" borderId="0" xfId="8" applyNumberFormat="1" applyFont="1" applyFill="1"/>
    <xf numFmtId="0" fontId="0" fillId="8" borderId="0" xfId="0" applyFill="1"/>
    <xf numFmtId="165" fontId="0" fillId="8" borderId="0" xfId="1" applyNumberFormat="1" applyFont="1" applyFill="1"/>
    <xf numFmtId="0" fontId="0" fillId="0" borderId="11" xfId="0" applyBorder="1" applyAlignment="1">
      <alignment horizontal="right"/>
    </xf>
    <xf numFmtId="164" fontId="71" fillId="2" borderId="0" xfId="0" applyNumberFormat="1" applyFont="1" applyFill="1" applyAlignment="1">
      <alignment vertical="top" wrapText="1"/>
    </xf>
    <xf numFmtId="164" fontId="71" fillId="10" borderId="38" xfId="0" applyNumberFormat="1" applyFont="1" applyFill="1" applyBorder="1" applyAlignment="1">
      <alignment vertical="top" wrapText="1"/>
    </xf>
    <xf numFmtId="0" fontId="124" fillId="27" borderId="41" xfId="1" applyNumberFormat="1" applyFont="1" applyFill="1" applyBorder="1"/>
    <xf numFmtId="0" fontId="33" fillId="29" borderId="41" xfId="0" applyFont="1" applyFill="1" applyBorder="1"/>
    <xf numFmtId="167" fontId="33" fillId="29" borderId="41" xfId="1" applyNumberFormat="1" applyFont="1" applyFill="1" applyBorder="1"/>
    <xf numFmtId="10" fontId="41" fillId="27" borderId="41" xfId="8" applyNumberFormat="1" applyFont="1" applyFill="1" applyBorder="1" applyAlignment="1">
      <alignment horizontal="center" vertical="center"/>
    </xf>
    <xf numFmtId="9" fontId="24" fillId="0" borderId="0" xfId="0" applyNumberFormat="1" applyFont="1"/>
    <xf numFmtId="37" fontId="8" fillId="0" borderId="41" xfId="0" applyNumberFormat="1" applyFont="1" applyBorder="1"/>
    <xf numFmtId="37" fontId="103" fillId="0" borderId="0" xfId="14" applyFont="1"/>
    <xf numFmtId="0" fontId="134" fillId="0" borderId="0" xfId="0" applyFont="1"/>
    <xf numFmtId="0" fontId="25" fillId="8" borderId="0" xfId="0" applyFont="1" applyFill="1"/>
    <xf numFmtId="0" fontId="25" fillId="8" borderId="0" xfId="0" applyFont="1" applyFill="1" applyAlignment="1">
      <alignment horizontal="center"/>
    </xf>
    <xf numFmtId="17" fontId="25" fillId="8" borderId="0" xfId="0" applyNumberFormat="1" applyFont="1" applyFill="1"/>
    <xf numFmtId="165" fontId="25" fillId="8" borderId="0" xfId="1" applyNumberFormat="1" applyFont="1" applyFill="1"/>
    <xf numFmtId="165" fontId="25" fillId="8" borderId="0" xfId="0" applyNumberFormat="1" applyFont="1" applyFill="1"/>
    <xf numFmtId="173" fontId="25" fillId="8" borderId="0" xfId="9" applyNumberFormat="1" applyFont="1" applyFill="1"/>
    <xf numFmtId="10" fontId="25" fillId="8" borderId="0" xfId="0" applyNumberFormat="1" applyFont="1" applyFill="1" applyAlignment="1">
      <alignment horizontal="center"/>
    </xf>
    <xf numFmtId="173" fontId="25" fillId="8" borderId="0" xfId="9" applyNumberFormat="1" applyFont="1" applyFill="1" applyAlignment="1">
      <alignment horizontal="right"/>
    </xf>
    <xf numFmtId="0" fontId="24" fillId="0" borderId="25" xfId="0" applyFont="1" applyBorder="1"/>
    <xf numFmtId="43" fontId="24" fillId="0" borderId="24" xfId="0" applyNumberFormat="1" applyFont="1" applyBorder="1"/>
    <xf numFmtId="168" fontId="24" fillId="0" borderId="24" xfId="0" applyNumberFormat="1" applyFont="1" applyBorder="1"/>
    <xf numFmtId="43" fontId="24" fillId="0" borderId="23" xfId="0" applyNumberFormat="1" applyFont="1" applyBorder="1"/>
    <xf numFmtId="168" fontId="24" fillId="0" borderId="23" xfId="0" applyNumberFormat="1" applyFont="1" applyBorder="1"/>
    <xf numFmtId="173" fontId="60" fillId="2" borderId="0" xfId="9" applyNumberFormat="1" applyFont="1" applyFill="1" applyBorder="1"/>
    <xf numFmtId="6" fontId="135" fillId="0" borderId="24" xfId="10" applyNumberFormat="1" applyFont="1" applyBorder="1" applyAlignment="1">
      <alignment horizontal="center"/>
    </xf>
    <xf numFmtId="6" fontId="136" fillId="0" borderId="43" xfId="10" applyNumberFormat="1" applyFont="1" applyBorder="1" applyAlignment="1">
      <alignment horizontal="center"/>
    </xf>
    <xf numFmtId="173" fontId="71" fillId="14" borderId="0" xfId="9" applyNumberFormat="1" applyFont="1" applyFill="1" applyBorder="1"/>
    <xf numFmtId="173" fontId="90" fillId="0" borderId="0" xfId="0" applyNumberFormat="1" applyFont="1"/>
    <xf numFmtId="10" fontId="41" fillId="0" borderId="0" xfId="2" applyNumberFormat="1" applyFont="1" applyFill="1"/>
    <xf numFmtId="10" fontId="74" fillId="29" borderId="0" xfId="2" applyNumberFormat="1" applyFont="1" applyFill="1"/>
    <xf numFmtId="37" fontId="5" fillId="2" borderId="0" xfId="14" applyFont="1" applyFill="1"/>
    <xf numFmtId="37" fontId="142" fillId="2" borderId="40" xfId="14" applyFont="1" applyFill="1" applyBorder="1"/>
    <xf numFmtId="165" fontId="142" fillId="2" borderId="40" xfId="1" applyNumberFormat="1" applyFont="1" applyFill="1" applyBorder="1"/>
    <xf numFmtId="37" fontId="5" fillId="2" borderId="40" xfId="14" applyFont="1" applyFill="1" applyBorder="1"/>
    <xf numFmtId="37" fontId="143" fillId="0" borderId="0" xfId="14" applyFont="1"/>
    <xf numFmtId="9" fontId="143" fillId="0" borderId="0" xfId="16" applyFont="1"/>
    <xf numFmtId="165" fontId="143" fillId="0" borderId="0" xfId="1" applyNumberFormat="1" applyFont="1"/>
    <xf numFmtId="165" fontId="145" fillId="0" borderId="0" xfId="1" applyNumberFormat="1" applyFont="1" applyFill="1"/>
    <xf numFmtId="9" fontId="143" fillId="0" borderId="0" xfId="16" applyFont="1" applyFill="1"/>
    <xf numFmtId="37" fontId="142" fillId="0" borderId="0" xfId="14" applyFont="1"/>
    <xf numFmtId="37" fontId="146" fillId="0" borderId="0" xfId="14" applyFont="1"/>
    <xf numFmtId="165" fontId="143" fillId="0" borderId="0" xfId="1" applyNumberFormat="1" applyFont="1" applyFill="1" applyBorder="1"/>
    <xf numFmtId="37" fontId="147" fillId="0" borderId="0" xfId="14" applyFont="1"/>
    <xf numFmtId="165" fontId="143" fillId="0" borderId="11" xfId="1" applyNumberFormat="1" applyFont="1" applyBorder="1"/>
    <xf numFmtId="37" fontId="148" fillId="0" borderId="0" xfId="14" applyFont="1"/>
    <xf numFmtId="10" fontId="148" fillId="0" borderId="0" xfId="15" applyNumberFormat="1" applyFont="1" applyFill="1" applyBorder="1"/>
    <xf numFmtId="165" fontId="148" fillId="0" borderId="0" xfId="1" applyNumberFormat="1" applyFont="1"/>
    <xf numFmtId="37" fontId="149" fillId="0" borderId="0" xfId="14" applyFont="1"/>
    <xf numFmtId="37" fontId="142" fillId="2" borderId="0" xfId="14" applyFont="1" applyFill="1"/>
    <xf numFmtId="37" fontId="143" fillId="2" borderId="0" xfId="14" applyFont="1" applyFill="1"/>
    <xf numFmtId="165" fontId="143" fillId="2" borderId="0" xfId="1" applyNumberFormat="1" applyFont="1" applyFill="1"/>
    <xf numFmtId="43" fontId="143" fillId="2" borderId="0" xfId="1" applyFont="1" applyFill="1"/>
    <xf numFmtId="37" fontId="142" fillId="36" borderId="2" xfId="14" applyFont="1" applyFill="1" applyBorder="1"/>
    <xf numFmtId="37" fontId="142" fillId="36" borderId="3" xfId="14" applyFont="1" applyFill="1" applyBorder="1" applyAlignment="1">
      <alignment horizontal="center"/>
    </xf>
    <xf numFmtId="167" fontId="143" fillId="2" borderId="0" xfId="1" applyNumberFormat="1" applyFont="1" applyFill="1"/>
    <xf numFmtId="10" fontId="143" fillId="36" borderId="4" xfId="16" applyNumberFormat="1" applyFont="1" applyFill="1" applyBorder="1" applyAlignment="1"/>
    <xf numFmtId="10" fontId="143" fillId="36" borderId="5" xfId="16" applyNumberFormat="1" applyFont="1" applyFill="1" applyBorder="1" applyAlignment="1">
      <alignment horizontal="center"/>
    </xf>
    <xf numFmtId="10" fontId="143" fillId="36" borderId="6" xfId="16" applyNumberFormat="1" applyFont="1" applyFill="1" applyBorder="1" applyAlignment="1"/>
    <xf numFmtId="10" fontId="143" fillId="36" borderId="8" xfId="16" applyNumberFormat="1" applyFont="1" applyFill="1" applyBorder="1" applyAlignment="1">
      <alignment horizontal="center"/>
    </xf>
    <xf numFmtId="170" fontId="143" fillId="36" borderId="4" xfId="1" applyNumberFormat="1" applyFont="1" applyFill="1" applyBorder="1" applyAlignment="1"/>
    <xf numFmtId="170" fontId="143" fillId="36" borderId="5" xfId="1" applyNumberFormat="1" applyFont="1" applyFill="1" applyBorder="1" applyAlignment="1">
      <alignment horizontal="center"/>
    </xf>
    <xf numFmtId="170" fontId="143" fillId="36" borderId="6" xfId="1" applyNumberFormat="1" applyFont="1" applyFill="1" applyBorder="1" applyAlignment="1"/>
    <xf numFmtId="170" fontId="143" fillId="36" borderId="8" xfId="1" applyNumberFormat="1" applyFont="1" applyFill="1" applyBorder="1" applyAlignment="1">
      <alignment horizontal="center"/>
    </xf>
    <xf numFmtId="37" fontId="150" fillId="2" borderId="0" xfId="14" applyFont="1" applyFill="1" applyAlignment="1">
      <alignment horizontal="right"/>
    </xf>
    <xf numFmtId="9" fontId="144" fillId="34" borderId="21" xfId="16" applyFont="1" applyFill="1" applyBorder="1"/>
    <xf numFmtId="10" fontId="144" fillId="34" borderId="21" xfId="14" applyNumberFormat="1" applyFont="1" applyFill="1" applyBorder="1"/>
    <xf numFmtId="165" fontId="30" fillId="0" borderId="0" xfId="8" applyNumberFormat="1" applyFont="1"/>
    <xf numFmtId="43" fontId="47" fillId="0" borderId="0" xfId="1" applyFont="1" applyFill="1" applyBorder="1"/>
    <xf numFmtId="0" fontId="55" fillId="0" borderId="0" xfId="0" applyFont="1" applyAlignment="1">
      <alignment horizontal="right"/>
    </xf>
    <xf numFmtId="0" fontId="28" fillId="0" borderId="0" xfId="0" applyFont="1"/>
    <xf numFmtId="0" fontId="36" fillId="0" borderId="0" xfId="8" applyFont="1" applyAlignment="1">
      <alignment horizontal="center"/>
    </xf>
    <xf numFmtId="0" fontId="37" fillId="0" borderId="0" xfId="8" applyFont="1" applyAlignment="1">
      <alignment horizontal="center"/>
    </xf>
    <xf numFmtId="43" fontId="33" fillId="0" borderId="0" xfId="8" applyNumberFormat="1" applyFont="1"/>
    <xf numFmtId="43" fontId="35" fillId="0" borderId="0" xfId="8" applyNumberFormat="1" applyFont="1"/>
    <xf numFmtId="0" fontId="16" fillId="0" borderId="0" xfId="0" applyFont="1"/>
    <xf numFmtId="0" fontId="16" fillId="0" borderId="0" xfId="0" applyFont="1" applyAlignment="1">
      <alignment horizontal="right"/>
    </xf>
    <xf numFmtId="0" fontId="69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1" fontId="69" fillId="0" borderId="0" xfId="0" applyNumberFormat="1" applyFont="1" applyAlignment="1">
      <alignment horizontal="center"/>
    </xf>
    <xf numFmtId="9" fontId="69" fillId="0" borderId="0" xfId="2" applyFont="1" applyFill="1" applyBorder="1" applyAlignment="1">
      <alignment horizontal="center"/>
    </xf>
    <xf numFmtId="37" fontId="71" fillId="0" borderId="0" xfId="1" applyNumberFormat="1" applyFont="1" applyFill="1" applyBorder="1" applyAlignment="1">
      <alignment horizontal="center" vertical="top" wrapText="1"/>
    </xf>
    <xf numFmtId="168" fontId="69" fillId="0" borderId="0" xfId="0" applyNumberFormat="1" applyFont="1" applyAlignment="1">
      <alignment horizontal="right"/>
    </xf>
    <xf numFmtId="169" fontId="69" fillId="0" borderId="0" xfId="0" applyNumberFormat="1" applyFont="1" applyAlignment="1">
      <alignment horizontal="right"/>
    </xf>
    <xf numFmtId="168" fontId="71" fillId="0" borderId="0" xfId="0" applyNumberFormat="1" applyFont="1" applyAlignment="1">
      <alignment horizontal="center" vertical="top" wrapText="1"/>
    </xf>
    <xf numFmtId="169" fontId="71" fillId="0" borderId="0" xfId="0" applyNumberFormat="1" applyFont="1" applyAlignment="1">
      <alignment horizontal="center" vertical="top" wrapText="1"/>
    </xf>
    <xf numFmtId="0" fontId="71" fillId="0" borderId="0" xfId="1" applyNumberFormat="1" applyFont="1" applyFill="1" applyBorder="1" applyAlignment="1">
      <alignment horizontal="center" vertical="top" wrapText="1"/>
    </xf>
    <xf numFmtId="0" fontId="102" fillId="0" borderId="0" xfId="0" applyFont="1" applyAlignment="1">
      <alignment horizontal="centerContinuous"/>
    </xf>
    <xf numFmtId="0" fontId="72" fillId="0" borderId="0" xfId="0" applyFont="1" applyAlignment="1">
      <alignment horizontal="right"/>
    </xf>
    <xf numFmtId="0" fontId="73" fillId="0" borderId="13" xfId="0" applyFont="1" applyBorder="1" applyAlignment="1">
      <alignment horizontal="center"/>
    </xf>
    <xf numFmtId="0" fontId="72" fillId="0" borderId="13" xfId="0" applyFont="1" applyBorder="1" applyAlignment="1">
      <alignment horizontal="center"/>
    </xf>
    <xf numFmtId="0" fontId="72" fillId="2" borderId="13" xfId="0" applyFont="1" applyFill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69" fillId="2" borderId="0" xfId="0" applyFont="1" applyFill="1" applyAlignment="1">
      <alignment horizontal="center"/>
    </xf>
    <xf numFmtId="169" fontId="69" fillId="2" borderId="0" xfId="0" applyNumberFormat="1" applyFont="1" applyFill="1" applyAlignment="1">
      <alignment horizontal="center"/>
    </xf>
    <xf numFmtId="165" fontId="69" fillId="0" borderId="0" xfId="1" applyNumberFormat="1" applyFont="1" applyFill="1" applyBorder="1" applyAlignment="1"/>
    <xf numFmtId="168" fontId="69" fillId="31" borderId="0" xfId="0" applyNumberFormat="1" applyFont="1" applyFill="1"/>
    <xf numFmtId="165" fontId="69" fillId="2" borderId="0" xfId="1" applyNumberFormat="1" applyFont="1" applyFill="1" applyAlignment="1"/>
    <xf numFmtId="165" fontId="69" fillId="2" borderId="11" xfId="1" applyNumberFormat="1" applyFont="1" applyFill="1" applyBorder="1" applyAlignment="1"/>
    <xf numFmtId="165" fontId="69" fillId="0" borderId="11" xfId="1" applyNumberFormat="1" applyFont="1" applyFill="1" applyBorder="1" applyAlignment="1"/>
    <xf numFmtId="165" fontId="69" fillId="0" borderId="0" xfId="1" applyNumberFormat="1" applyFont="1" applyFill="1" applyAlignment="1"/>
    <xf numFmtId="165" fontId="69" fillId="31" borderId="11" xfId="1" applyNumberFormat="1" applyFont="1" applyFill="1" applyBorder="1" applyAlignment="1"/>
    <xf numFmtId="0" fontId="69" fillId="31" borderId="11" xfId="0" applyFont="1" applyFill="1" applyBorder="1"/>
    <xf numFmtId="168" fontId="69" fillId="2" borderId="0" xfId="0" applyNumberFormat="1" applyFont="1" applyFill="1"/>
    <xf numFmtId="168" fontId="69" fillId="0" borderId="0" xfId="0" applyNumberFormat="1" applyFont="1"/>
    <xf numFmtId="168" fontId="69" fillId="2" borderId="11" xfId="0" applyNumberFormat="1" applyFont="1" applyFill="1" applyBorder="1"/>
    <xf numFmtId="168" fontId="69" fillId="31" borderId="11" xfId="0" applyNumberFormat="1" applyFont="1" applyFill="1" applyBorder="1"/>
    <xf numFmtId="169" fontId="69" fillId="2" borderId="11" xfId="0" applyNumberFormat="1" applyFont="1" applyFill="1" applyBorder="1"/>
    <xf numFmtId="168" fontId="69" fillId="0" borderId="11" xfId="0" applyNumberFormat="1" applyFont="1" applyBorder="1"/>
    <xf numFmtId="8" fontId="34" fillId="0" borderId="0" xfId="0" applyNumberFormat="1" applyFont="1" applyAlignment="1">
      <alignment horizontal="center" wrapText="1"/>
    </xf>
    <xf numFmtId="165" fontId="41" fillId="30" borderId="41" xfId="1" applyNumberFormat="1" applyFont="1" applyFill="1" applyBorder="1" applyAlignment="1">
      <alignment horizontal="center" vertical="center"/>
    </xf>
    <xf numFmtId="165" fontId="42" fillId="14" borderId="11" xfId="1" applyNumberFormat="1" applyFont="1" applyFill="1" applyBorder="1" applyAlignment="1"/>
    <xf numFmtId="169" fontId="33" fillId="2" borderId="0" xfId="8" applyNumberFormat="1" applyFont="1" applyFill="1"/>
    <xf numFmtId="7" fontId="33" fillId="2" borderId="0" xfId="0" applyNumberFormat="1" applyFont="1" applyFill="1"/>
    <xf numFmtId="181" fontId="0" fillId="0" borderId="0" xfId="0" applyNumberFormat="1"/>
    <xf numFmtId="0" fontId="2" fillId="0" borderId="11" xfId="0" applyFont="1" applyBorder="1"/>
    <xf numFmtId="0" fontId="0" fillId="0" borderId="13" xfId="0" applyBorder="1"/>
    <xf numFmtId="0" fontId="0" fillId="0" borderId="13" xfId="0" applyBorder="1" applyAlignment="1">
      <alignment horizontal="right" wrapText="1"/>
    </xf>
    <xf numFmtId="165" fontId="0" fillId="0" borderId="0" xfId="1" applyNumberFormat="1" applyFont="1" applyAlignment="1">
      <alignment horizontal="right"/>
    </xf>
    <xf numFmtId="165" fontId="0" fillId="0" borderId="11" xfId="1" applyNumberFormat="1" applyFont="1" applyBorder="1" applyAlignment="1">
      <alignment horizontal="right"/>
    </xf>
    <xf numFmtId="43" fontId="0" fillId="0" borderId="0" xfId="1" applyFont="1" applyAlignment="1">
      <alignment horizontal="right"/>
    </xf>
    <xf numFmtId="0" fontId="0" fillId="0" borderId="11" xfId="0" applyBorder="1" applyAlignment="1">
      <alignment horizontal="right" wrapText="1"/>
    </xf>
    <xf numFmtId="9" fontId="0" fillId="0" borderId="0" xfId="2" applyFont="1"/>
    <xf numFmtId="7" fontId="35" fillId="2" borderId="0" xfId="8" applyNumberFormat="1" applyFont="1" applyFill="1"/>
    <xf numFmtId="165" fontId="0" fillId="0" borderId="0" xfId="1" applyNumberFormat="1" applyFont="1" applyFill="1"/>
    <xf numFmtId="165" fontId="16" fillId="0" borderId="0" xfId="1" applyNumberFormat="1" applyFont="1"/>
    <xf numFmtId="0" fontId="16" fillId="0" borderId="11" xfId="0" applyFont="1" applyBorder="1"/>
    <xf numFmtId="165" fontId="16" fillId="0" borderId="11" xfId="1" applyNumberFormat="1" applyFont="1" applyBorder="1"/>
    <xf numFmtId="165" fontId="24" fillId="0" borderId="0" xfId="1" applyNumberFormat="1" applyFont="1"/>
    <xf numFmtId="0" fontId="115" fillId="21" borderId="11" xfId="0" applyFont="1" applyFill="1" applyBorder="1"/>
    <xf numFmtId="0" fontId="124" fillId="0" borderId="0" xfId="0" applyFont="1"/>
    <xf numFmtId="165" fontId="124" fillId="0" borderId="0" xfId="1" applyNumberFormat="1" applyFont="1"/>
    <xf numFmtId="0" fontId="16" fillId="34" borderId="11" xfId="0" applyFont="1" applyFill="1" applyBorder="1"/>
    <xf numFmtId="0" fontId="16" fillId="34" borderId="0" xfId="0" applyFont="1" applyFill="1" applyAlignment="1">
      <alignment horizontal="right"/>
    </xf>
    <xf numFmtId="9" fontId="16" fillId="34" borderId="0" xfId="0" applyNumberFormat="1" applyFont="1" applyFill="1" applyAlignment="1">
      <alignment horizontal="right"/>
    </xf>
    <xf numFmtId="0" fontId="152" fillId="0" borderId="0" xfId="0" applyFont="1"/>
    <xf numFmtId="0" fontId="0" fillId="0" borderId="0" xfId="0" applyAlignment="1">
      <alignment horizontal="left" indent="1"/>
    </xf>
    <xf numFmtId="165" fontId="124" fillId="0" borderId="0" xfId="1" applyNumberFormat="1" applyFont="1" applyFill="1"/>
    <xf numFmtId="0" fontId="0" fillId="0" borderId="11" xfId="0" applyBorder="1" applyAlignment="1">
      <alignment horizontal="left" indent="1"/>
    </xf>
    <xf numFmtId="165" fontId="124" fillId="0" borderId="11" xfId="1" applyNumberFormat="1" applyFont="1" applyFill="1" applyBorder="1"/>
    <xf numFmtId="164" fontId="4" fillId="0" borderId="0" xfId="2" applyNumberFormat="1" applyFont="1" applyFill="1"/>
    <xf numFmtId="43" fontId="4" fillId="0" borderId="0" xfId="1" applyFont="1" applyFill="1"/>
    <xf numFmtId="0" fontId="0" fillId="0" borderId="0" xfId="0" applyAlignment="1">
      <alignment horizontal="left" indent="2"/>
    </xf>
    <xf numFmtId="9" fontId="16" fillId="34" borderId="0" xfId="0" applyNumberFormat="1" applyFont="1" applyFill="1"/>
    <xf numFmtId="0" fontId="0" fillId="0" borderId="11" xfId="0" applyBorder="1" applyAlignment="1">
      <alignment horizontal="left" indent="2"/>
    </xf>
    <xf numFmtId="9" fontId="16" fillId="34" borderId="11" xfId="0" applyNumberFormat="1" applyFont="1" applyFill="1" applyBorder="1"/>
    <xf numFmtId="165" fontId="124" fillId="0" borderId="0" xfId="0" applyNumberFormat="1" applyFont="1"/>
    <xf numFmtId="165" fontId="16" fillId="34" borderId="0" xfId="0" applyNumberFormat="1" applyFont="1" applyFill="1"/>
    <xf numFmtId="165" fontId="0" fillId="0" borderId="11" xfId="0" applyNumberFormat="1" applyBorder="1"/>
    <xf numFmtId="0" fontId="152" fillId="0" borderId="0" xfId="0" applyFont="1" applyAlignment="1">
      <alignment horizontal="left" indent="1"/>
    </xf>
    <xf numFmtId="10" fontId="16" fillId="34" borderId="0" xfId="0" applyNumberFormat="1" applyFont="1" applyFill="1"/>
    <xf numFmtId="192" fontId="16" fillId="34" borderId="11" xfId="2" applyNumberFormat="1" applyFont="1" applyFill="1" applyBorder="1"/>
    <xf numFmtId="0" fontId="2" fillId="8" borderId="0" xfId="0" applyFont="1" applyFill="1" applyAlignment="1">
      <alignment horizontal="left" indent="1"/>
    </xf>
    <xf numFmtId="0" fontId="2" fillId="8" borderId="0" xfId="0" applyFont="1" applyFill="1"/>
    <xf numFmtId="165" fontId="2" fillId="8" borderId="0" xfId="0" applyNumberFormat="1" applyFont="1" applyFill="1"/>
    <xf numFmtId="0" fontId="21" fillId="8" borderId="0" xfId="0" applyFont="1" applyFill="1" applyAlignment="1">
      <alignment horizontal="left" indent="1"/>
    </xf>
    <xf numFmtId="0" fontId="21" fillId="8" borderId="0" xfId="0" applyFont="1" applyFill="1"/>
    <xf numFmtId="165" fontId="21" fillId="8" borderId="0" xfId="0" applyNumberFormat="1" applyFont="1" applyFill="1"/>
    <xf numFmtId="10" fontId="0" fillId="0" borderId="0" xfId="2" applyNumberFormat="1" applyFont="1" applyBorder="1"/>
    <xf numFmtId="192" fontId="0" fillId="0" borderId="11" xfId="2" applyNumberFormat="1" applyFont="1" applyFill="1" applyBorder="1"/>
    <xf numFmtId="192" fontId="0" fillId="0" borderId="0" xfId="2" applyNumberFormat="1" applyFont="1"/>
    <xf numFmtId="9" fontId="0" fillId="0" borderId="0" xfId="0" applyNumberFormat="1"/>
    <xf numFmtId="165" fontId="30" fillId="27" borderId="41" xfId="0" applyNumberFormat="1" applyFont="1" applyFill="1" applyBorder="1" applyAlignment="1">
      <alignment horizontal="right"/>
    </xf>
    <xf numFmtId="0" fontId="5" fillId="0" borderId="0" xfId="8" applyFont="1"/>
    <xf numFmtId="0" fontId="73" fillId="0" borderId="0" xfId="8" applyFont="1" applyAlignment="1">
      <alignment horizontal="left"/>
    </xf>
    <xf numFmtId="0" fontId="73" fillId="0" borderId="0" xfId="8" applyFont="1" applyAlignment="1">
      <alignment horizontal="center"/>
    </xf>
    <xf numFmtId="0" fontId="71" fillId="0" borderId="0" xfId="8" applyFont="1"/>
    <xf numFmtId="168" fontId="71" fillId="0" borderId="0" xfId="8" applyNumberFormat="1" applyFont="1"/>
    <xf numFmtId="168" fontId="73" fillId="0" borderId="48" xfId="8" applyNumberFormat="1" applyFont="1" applyBorder="1" applyAlignment="1">
      <alignment horizontal="center"/>
    </xf>
    <xf numFmtId="0" fontId="71" fillId="0" borderId="6" xfId="8" applyFont="1" applyBorder="1"/>
    <xf numFmtId="0" fontId="60" fillId="0" borderId="7" xfId="8" applyFont="1" applyBorder="1" applyAlignment="1">
      <alignment horizontal="right"/>
    </xf>
    <xf numFmtId="0" fontId="73" fillId="0" borderId="2" xfId="8" applyFont="1" applyBorder="1"/>
    <xf numFmtId="0" fontId="69" fillId="0" borderId="48" xfId="0" applyFont="1" applyBorder="1"/>
    <xf numFmtId="168" fontId="73" fillId="0" borderId="3" xfId="8" applyNumberFormat="1" applyFont="1" applyBorder="1" applyAlignment="1">
      <alignment horizontal="right"/>
    </xf>
    <xf numFmtId="0" fontId="69" fillId="0" borderId="7" xfId="0" applyFont="1" applyBorder="1"/>
    <xf numFmtId="168" fontId="74" fillId="34" borderId="0" xfId="8" applyNumberFormat="1" applyFont="1" applyFill="1" applyAlignment="1">
      <alignment horizontal="center"/>
    </xf>
    <xf numFmtId="169" fontId="60" fillId="0" borderId="8" xfId="8" applyNumberFormat="1" applyFont="1" applyBorder="1"/>
    <xf numFmtId="0" fontId="69" fillId="0" borderId="50" xfId="0" applyFont="1" applyBorder="1"/>
    <xf numFmtId="168" fontId="72" fillId="0" borderId="0" xfId="2" applyNumberFormat="1" applyFont="1" applyBorder="1" applyAlignment="1">
      <alignment horizontal="center"/>
    </xf>
    <xf numFmtId="0" fontId="155" fillId="0" borderId="0" xfId="0" applyFont="1" applyAlignment="1">
      <alignment horizontal="right"/>
    </xf>
    <xf numFmtId="168" fontId="72" fillId="0" borderId="0" xfId="0" applyNumberFormat="1" applyFont="1" applyAlignment="1">
      <alignment horizontal="center"/>
    </xf>
    <xf numFmtId="0" fontId="155" fillId="2" borderId="0" xfId="0" applyFont="1" applyFill="1" applyAlignment="1">
      <alignment horizontal="right"/>
    </xf>
    <xf numFmtId="168" fontId="72" fillId="0" borderId="50" xfId="0" applyNumberFormat="1" applyFont="1" applyBorder="1" applyAlignment="1">
      <alignment horizontal="center"/>
    </xf>
    <xf numFmtId="0" fontId="69" fillId="38" borderId="0" xfId="0" applyFont="1" applyFill="1"/>
    <xf numFmtId="0" fontId="156" fillId="38" borderId="0" xfId="0" applyFont="1" applyFill="1" applyAlignment="1">
      <alignment horizontal="right"/>
    </xf>
    <xf numFmtId="0" fontId="69" fillId="38" borderId="0" xfId="0" applyFont="1" applyFill="1" applyAlignment="1">
      <alignment horizontal="right"/>
    </xf>
    <xf numFmtId="168" fontId="72" fillId="38" borderId="0" xfId="0" applyNumberFormat="1" applyFont="1" applyFill="1" applyAlignment="1">
      <alignment horizontal="center"/>
    </xf>
    <xf numFmtId="168" fontId="72" fillId="38" borderId="0" xfId="9" applyNumberFormat="1" applyFont="1" applyFill="1" applyBorder="1" applyAlignment="1">
      <alignment horizontal="center" vertical="center" wrapText="1"/>
    </xf>
    <xf numFmtId="0" fontId="69" fillId="0" borderId="49" xfId="0" applyFont="1" applyBorder="1"/>
    <xf numFmtId="0" fontId="72" fillId="38" borderId="49" xfId="0" applyFont="1" applyFill="1" applyBorder="1" applyAlignment="1">
      <alignment horizontal="left" vertical="center" wrapText="1"/>
    </xf>
    <xf numFmtId="0" fontId="72" fillId="38" borderId="0" xfId="0" applyFont="1" applyFill="1" applyAlignment="1">
      <alignment horizontal="center" vertical="center" wrapText="1"/>
    </xf>
    <xf numFmtId="0" fontId="72" fillId="39" borderId="0" xfId="0" applyFont="1" applyFill="1" applyAlignment="1">
      <alignment horizontal="center" vertical="center" wrapText="1"/>
    </xf>
    <xf numFmtId="5" fontId="69" fillId="0" borderId="0" xfId="0" applyNumberFormat="1" applyFont="1" applyAlignment="1">
      <alignment horizontal="center"/>
    </xf>
    <xf numFmtId="168" fontId="69" fillId="0" borderId="0" xfId="0" applyNumberFormat="1" applyFont="1" applyAlignment="1">
      <alignment horizontal="center"/>
    </xf>
    <xf numFmtId="9" fontId="69" fillId="0" borderId="0" xfId="2" applyFont="1" applyBorder="1" applyAlignment="1">
      <alignment horizontal="center"/>
    </xf>
    <xf numFmtId="0" fontId="72" fillId="10" borderId="51" xfId="0" applyFont="1" applyFill="1" applyBorder="1" applyAlignment="1">
      <alignment horizontal="left" indent="1"/>
    </xf>
    <xf numFmtId="168" fontId="69" fillId="10" borderId="52" xfId="0" applyNumberFormat="1" applyFont="1" applyFill="1" applyBorder="1" applyAlignment="1">
      <alignment horizontal="center"/>
    </xf>
    <xf numFmtId="9" fontId="69" fillId="10" borderId="52" xfId="2" applyFont="1" applyFill="1" applyBorder="1" applyAlignment="1">
      <alignment horizontal="center"/>
    </xf>
    <xf numFmtId="9" fontId="69" fillId="0" borderId="0" xfId="2" applyFont="1" applyBorder="1"/>
    <xf numFmtId="9" fontId="72" fillId="0" borderId="0" xfId="2" applyFont="1" applyBorder="1" applyAlignment="1">
      <alignment horizontal="left"/>
    </xf>
    <xf numFmtId="9" fontId="72" fillId="19" borderId="2" xfId="2" applyFont="1" applyFill="1" applyBorder="1" applyAlignment="1">
      <alignment horizontal="left"/>
    </xf>
    <xf numFmtId="0" fontId="72" fillId="19" borderId="48" xfId="0" applyFont="1" applyFill="1" applyBorder="1" applyAlignment="1">
      <alignment horizontal="right"/>
    </xf>
    <xf numFmtId="168" fontId="72" fillId="19" borderId="3" xfId="0" applyNumberFormat="1" applyFont="1" applyFill="1" applyBorder="1" applyAlignment="1">
      <alignment horizontal="center"/>
    </xf>
    <xf numFmtId="9" fontId="72" fillId="19" borderId="6" xfId="2" applyFont="1" applyFill="1" applyBorder="1" applyAlignment="1">
      <alignment horizontal="left"/>
    </xf>
    <xf numFmtId="0" fontId="156" fillId="19" borderId="7" xfId="0" applyFont="1" applyFill="1" applyBorder="1" applyAlignment="1">
      <alignment horizontal="right"/>
    </xf>
    <xf numFmtId="168" fontId="72" fillId="19" borderId="8" xfId="9" applyNumberFormat="1" applyFont="1" applyFill="1" applyBorder="1" applyAlignment="1">
      <alignment horizontal="center" vertical="center" wrapText="1"/>
    </xf>
    <xf numFmtId="9" fontId="72" fillId="0" borderId="49" xfId="2" applyFont="1" applyBorder="1" applyAlignment="1">
      <alignment horizontal="left"/>
    </xf>
    <xf numFmtId="0" fontId="69" fillId="38" borderId="49" xfId="0" applyFont="1" applyFill="1" applyBorder="1"/>
    <xf numFmtId="168" fontId="74" fillId="34" borderId="0" xfId="0" applyNumberFormat="1" applyFont="1" applyFill="1" applyAlignment="1">
      <alignment horizontal="center"/>
    </xf>
    <xf numFmtId="5" fontId="74" fillId="34" borderId="0" xfId="0" applyNumberFormat="1" applyFont="1" applyFill="1" applyAlignment="1">
      <alignment horizontal="center"/>
    </xf>
    <xf numFmtId="9" fontId="74" fillId="34" borderId="0" xfId="2" applyFont="1" applyFill="1" applyBorder="1" applyAlignment="1">
      <alignment horizontal="center"/>
    </xf>
    <xf numFmtId="2" fontId="5" fillId="0" borderId="0" xfId="8" applyNumberFormat="1" applyFont="1" applyAlignment="1">
      <alignment horizontal="center"/>
    </xf>
    <xf numFmtId="168" fontId="5" fillId="0" borderId="0" xfId="8" applyNumberFormat="1" applyFont="1" applyAlignment="1">
      <alignment horizontal="center"/>
    </xf>
    <xf numFmtId="0" fontId="5" fillId="2" borderId="0" xfId="8" applyFont="1" applyFill="1"/>
    <xf numFmtId="6" fontId="5" fillId="2" borderId="0" xfId="8" applyNumberFormat="1" applyFont="1" applyFill="1" applyAlignment="1">
      <alignment horizontal="center"/>
    </xf>
    <xf numFmtId="9" fontId="5" fillId="2" borderId="0" xfId="8" applyNumberFormat="1" applyFont="1" applyFill="1" applyAlignment="1">
      <alignment horizontal="center"/>
    </xf>
    <xf numFmtId="0" fontId="1" fillId="0" borderId="0" xfId="21"/>
    <xf numFmtId="168" fontId="153" fillId="0" borderId="12" xfId="8" applyNumberFormat="1" applyFont="1" applyBorder="1" applyAlignment="1">
      <alignment horizontal="center"/>
    </xf>
    <xf numFmtId="0" fontId="7" fillId="0" borderId="12" xfId="8" applyBorder="1" applyAlignment="1">
      <alignment horizontal="right"/>
    </xf>
    <xf numFmtId="168" fontId="7" fillId="40" borderId="12" xfId="8" applyNumberFormat="1" applyFill="1" applyBorder="1" applyAlignment="1">
      <alignment horizontal="center"/>
    </xf>
    <xf numFmtId="9" fontId="16" fillId="34" borderId="0" xfId="20" applyNumberFormat="1" applyFont="1" applyFill="1" applyBorder="1" applyAlignment="1">
      <alignment horizontal="center"/>
    </xf>
    <xf numFmtId="9" fontId="157" fillId="34" borderId="0" xfId="8" applyNumberFormat="1" applyFont="1" applyFill="1" applyAlignment="1">
      <alignment horizontal="center"/>
    </xf>
    <xf numFmtId="6" fontId="128" fillId="34" borderId="24" xfId="10" applyNumberFormat="1" applyFont="1" applyFill="1" applyBorder="1" applyAlignment="1">
      <alignment horizontal="center"/>
    </xf>
    <xf numFmtId="6" fontId="136" fillId="34" borderId="24" xfId="10" applyNumberFormat="1" applyFont="1" applyFill="1" applyBorder="1" applyAlignment="1">
      <alignment horizontal="center"/>
    </xf>
    <xf numFmtId="6" fontId="129" fillId="34" borderId="24" xfId="10" applyNumberFormat="1" applyFont="1" applyFill="1" applyBorder="1" applyAlignment="1">
      <alignment horizontal="center"/>
    </xf>
    <xf numFmtId="168" fontId="157" fillId="34" borderId="0" xfId="8" applyNumberFormat="1" applyFont="1" applyFill="1" applyAlignment="1">
      <alignment horizontal="center"/>
    </xf>
    <xf numFmtId="6" fontId="157" fillId="34" borderId="0" xfId="8" applyNumberFormat="1" applyFont="1" applyFill="1" applyAlignment="1">
      <alignment horizontal="center"/>
    </xf>
    <xf numFmtId="0" fontId="68" fillId="9" borderId="49" xfId="0" applyFont="1" applyFill="1" applyBorder="1"/>
    <xf numFmtId="0" fontId="100" fillId="9" borderId="0" xfId="0" applyFont="1" applyFill="1"/>
    <xf numFmtId="0" fontId="158" fillId="9" borderId="11" xfId="8" applyFont="1" applyFill="1" applyBorder="1" applyAlignment="1">
      <alignment wrapText="1"/>
    </xf>
    <xf numFmtId="0" fontId="29" fillId="9" borderId="11" xfId="0" applyFont="1" applyFill="1" applyBorder="1" applyAlignment="1">
      <alignment wrapText="1"/>
    </xf>
    <xf numFmtId="0" fontId="158" fillId="9" borderId="11" xfId="8" applyFont="1" applyFill="1" applyBorder="1" applyAlignment="1">
      <alignment horizontal="center" wrapText="1"/>
    </xf>
    <xf numFmtId="0" fontId="159" fillId="9" borderId="11" xfId="8" applyFont="1" applyFill="1" applyBorder="1" applyAlignment="1">
      <alignment wrapText="1"/>
    </xf>
    <xf numFmtId="0" fontId="68" fillId="9" borderId="11" xfId="8" applyFont="1" applyFill="1" applyBorder="1"/>
    <xf numFmtId="0" fontId="100" fillId="9" borderId="11" xfId="8" applyFont="1" applyFill="1" applyBorder="1"/>
    <xf numFmtId="0" fontId="100" fillId="9" borderId="11" xfId="0" applyFont="1" applyFill="1" applyBorder="1"/>
    <xf numFmtId="43" fontId="92" fillId="2" borderId="11" xfId="0" applyNumberFormat="1" applyFont="1" applyFill="1" applyBorder="1"/>
    <xf numFmtId="6" fontId="92" fillId="2" borderId="11" xfId="0" applyNumberFormat="1" applyFont="1" applyFill="1" applyBorder="1"/>
    <xf numFmtId="0" fontId="92" fillId="2" borderId="11" xfId="0" applyFont="1" applyFill="1" applyBorder="1"/>
    <xf numFmtId="168" fontId="34" fillId="24" borderId="42" xfId="0" applyNumberFormat="1" applyFont="1" applyFill="1" applyBorder="1" applyAlignment="1">
      <alignment horizontal="right"/>
    </xf>
    <xf numFmtId="168" fontId="34" fillId="28" borderId="42" xfId="0" applyNumberFormat="1" applyFont="1" applyFill="1" applyBorder="1" applyAlignment="1">
      <alignment horizontal="right"/>
    </xf>
    <xf numFmtId="168" fontId="33" fillId="27" borderId="41" xfId="8" applyNumberFormat="1" applyFont="1" applyFill="1" applyBorder="1" applyAlignment="1">
      <alignment horizontal="right" vertical="center"/>
    </xf>
    <xf numFmtId="168" fontId="33" fillId="2" borderId="0" xfId="8" applyNumberFormat="1" applyFont="1" applyFill="1" applyAlignment="1">
      <alignment horizontal="right" vertical="center"/>
    </xf>
    <xf numFmtId="168" fontId="33" fillId="27" borderId="41" xfId="2" applyNumberFormat="1" applyFont="1" applyFill="1" applyBorder="1" applyAlignment="1">
      <alignment horizontal="right" vertical="center"/>
    </xf>
    <xf numFmtId="168" fontId="42" fillId="0" borderId="41" xfId="8" applyNumberFormat="1" applyFont="1" applyBorder="1" applyAlignment="1">
      <alignment horizontal="right" vertical="center"/>
    </xf>
    <xf numFmtId="168" fontId="33" fillId="27" borderId="41" xfId="2" applyNumberFormat="1" applyFont="1" applyFill="1" applyBorder="1" applyAlignment="1">
      <alignment horizontal="right"/>
    </xf>
    <xf numFmtId="168" fontId="33" fillId="2" borderId="0" xfId="0" applyNumberFormat="1" applyFont="1" applyFill="1" applyAlignment="1">
      <alignment horizontal="right" vertical="center"/>
    </xf>
    <xf numFmtId="5" fontId="65" fillId="2" borderId="0" xfId="0" applyNumberFormat="1" applyFont="1" applyFill="1" applyAlignment="1">
      <alignment horizontal="center" vertical="center"/>
    </xf>
    <xf numFmtId="168" fontId="41" fillId="27" borderId="41" xfId="8" applyNumberFormat="1" applyFont="1" applyFill="1" applyBorder="1" applyAlignment="1">
      <alignment horizontal="right" vertical="center"/>
    </xf>
    <xf numFmtId="168" fontId="41" fillId="27" borderId="41" xfId="2" applyNumberFormat="1" applyFont="1" applyFill="1" applyBorder="1" applyAlignment="1">
      <alignment horizontal="right" vertical="center"/>
    </xf>
    <xf numFmtId="168" fontId="64" fillId="0" borderId="41" xfId="8" applyNumberFormat="1" applyFont="1" applyBorder="1" applyAlignment="1">
      <alignment horizontal="right" vertical="center"/>
    </xf>
    <xf numFmtId="168" fontId="41" fillId="27" borderId="41" xfId="2" applyNumberFormat="1" applyFont="1" applyFill="1" applyBorder="1" applyAlignment="1">
      <alignment horizontal="right"/>
    </xf>
    <xf numFmtId="168" fontId="41" fillId="0" borderId="41" xfId="0" applyNumberFormat="1" applyFont="1" applyBorder="1" applyAlignment="1">
      <alignment horizontal="right"/>
    </xf>
    <xf numFmtId="168" fontId="33" fillId="0" borderId="41" xfId="0" applyNumberFormat="1" applyFont="1" applyBorder="1" applyAlignment="1">
      <alignment horizontal="right"/>
    </xf>
    <xf numFmtId="165" fontId="33" fillId="0" borderId="41" xfId="1" applyNumberFormat="1" applyFont="1" applyFill="1" applyBorder="1" applyAlignment="1">
      <alignment horizontal="right" vertical="center"/>
    </xf>
    <xf numFmtId="5" fontId="33" fillId="0" borderId="41" xfId="0" applyNumberFormat="1" applyFont="1" applyBorder="1" applyAlignment="1">
      <alignment horizontal="right"/>
    </xf>
    <xf numFmtId="168" fontId="41" fillId="0" borderId="41" xfId="8" applyNumberFormat="1" applyFont="1" applyBorder="1" applyAlignment="1">
      <alignment horizontal="right" vertical="center"/>
    </xf>
    <xf numFmtId="168" fontId="33" fillId="0" borderId="41" xfId="8" applyNumberFormat="1" applyFont="1" applyBorder="1" applyAlignment="1">
      <alignment horizontal="right" vertical="center"/>
    </xf>
    <xf numFmtId="10" fontId="24" fillId="0" borderId="0" xfId="2" applyNumberFormat="1" applyFont="1"/>
    <xf numFmtId="10" fontId="71" fillId="0" borderId="0" xfId="2" applyNumberFormat="1" applyFont="1"/>
    <xf numFmtId="165" fontId="66" fillId="2" borderId="0" xfId="1" applyNumberFormat="1" applyFont="1" applyFill="1" applyAlignment="1">
      <alignment horizontal="center" vertical="center"/>
    </xf>
    <xf numFmtId="165" fontId="24" fillId="2" borderId="0" xfId="1" applyNumberFormat="1" applyFont="1" applyFill="1" applyAlignment="1">
      <alignment horizontal="center" vertical="center"/>
    </xf>
    <xf numFmtId="165" fontId="24" fillId="2" borderId="0" xfId="0" applyNumberFormat="1" applyFont="1" applyFill="1" applyAlignment="1">
      <alignment horizontal="center" vertical="center"/>
    </xf>
    <xf numFmtId="9" fontId="24" fillId="2" borderId="0" xfId="2" applyFont="1" applyFill="1" applyAlignment="1">
      <alignment horizontal="center" vertical="center"/>
    </xf>
    <xf numFmtId="9" fontId="24" fillId="2" borderId="0" xfId="0" applyNumberFormat="1" applyFont="1" applyFill="1" applyAlignment="1">
      <alignment horizontal="center" vertical="center"/>
    </xf>
    <xf numFmtId="10" fontId="24" fillId="2" borderId="0" xfId="0" applyNumberFormat="1" applyFont="1" applyFill="1" applyAlignment="1">
      <alignment horizontal="center" vertical="center"/>
    </xf>
    <xf numFmtId="165" fontId="24" fillId="2" borderId="0" xfId="1" applyNumberFormat="1" applyFont="1" applyFill="1" applyAlignment="1">
      <alignment horizontal="right"/>
    </xf>
    <xf numFmtId="0" fontId="34" fillId="14" borderId="27" xfId="8" applyFont="1" applyFill="1" applyBorder="1" applyAlignment="1">
      <alignment horizontal="right"/>
    </xf>
    <xf numFmtId="0" fontId="160" fillId="41" borderId="53" xfId="0" applyFont="1" applyFill="1" applyBorder="1"/>
    <xf numFmtId="0" fontId="160" fillId="41" borderId="54" xfId="0" applyFont="1" applyFill="1" applyBorder="1"/>
    <xf numFmtId="14" fontId="119" fillId="0" borderId="55" xfId="0" applyNumberFormat="1" applyFont="1" applyBorder="1"/>
    <xf numFmtId="10" fontId="119" fillId="0" borderId="56" xfId="0" applyNumberFormat="1" applyFont="1" applyBorder="1" applyAlignment="1">
      <alignment horizontal="center" vertical="center"/>
    </xf>
    <xf numFmtId="14" fontId="119" fillId="0" borderId="57" xfId="0" applyNumberFormat="1" applyFont="1" applyBorder="1"/>
    <xf numFmtId="10" fontId="119" fillId="0" borderId="58" xfId="0" applyNumberFormat="1" applyFont="1" applyBorder="1" applyAlignment="1">
      <alignment horizontal="center" vertical="center"/>
    </xf>
    <xf numFmtId="0" fontId="160" fillId="41" borderId="59" xfId="0" applyFont="1" applyFill="1" applyBorder="1"/>
    <xf numFmtId="14" fontId="119" fillId="0" borderId="0" xfId="0" applyNumberFormat="1" applyFont="1"/>
    <xf numFmtId="14" fontId="119" fillId="0" borderId="60" xfId="0" applyNumberFormat="1" applyFont="1" applyBorder="1"/>
    <xf numFmtId="43" fontId="71" fillId="0" borderId="11" xfId="1" applyFont="1" applyFill="1" applyBorder="1"/>
    <xf numFmtId="10" fontId="74" fillId="34" borderId="0" xfId="1" applyNumberFormat="1" applyFont="1" applyFill="1"/>
    <xf numFmtId="165" fontId="33" fillId="0" borderId="0" xfId="1" applyNumberFormat="1" applyFont="1" applyAlignment="1">
      <alignment horizontal="right"/>
    </xf>
    <xf numFmtId="169" fontId="33" fillId="2" borderId="0" xfId="1" applyNumberFormat="1" applyFont="1" applyFill="1" applyAlignment="1">
      <alignment horizontal="right"/>
    </xf>
    <xf numFmtId="169" fontId="33" fillId="2" borderId="0" xfId="8" applyNumberFormat="1" applyFont="1" applyFill="1" applyAlignment="1">
      <alignment horizontal="right"/>
    </xf>
    <xf numFmtId="169" fontId="34" fillId="2" borderId="27" xfId="1" applyNumberFormat="1" applyFont="1" applyFill="1" applyBorder="1" applyAlignment="1">
      <alignment horizontal="right"/>
    </xf>
    <xf numFmtId="168" fontId="33" fillId="2" borderId="0" xfId="1" applyNumberFormat="1" applyFont="1" applyFill="1" applyAlignment="1">
      <alignment horizontal="right"/>
    </xf>
    <xf numFmtId="168" fontId="33" fillId="2" borderId="0" xfId="8" applyNumberFormat="1" applyFont="1" applyFill="1" applyAlignment="1">
      <alignment horizontal="right"/>
    </xf>
    <xf numFmtId="168" fontId="34" fillId="2" borderId="27" xfId="1" applyNumberFormat="1" applyFont="1" applyFill="1" applyBorder="1" applyAlignment="1">
      <alignment horizontal="right"/>
    </xf>
    <xf numFmtId="168" fontId="34" fillId="14" borderId="27" xfId="1" applyNumberFormat="1" applyFont="1" applyFill="1" applyBorder="1" applyAlignment="1">
      <alignment horizontal="right"/>
    </xf>
    <xf numFmtId="6" fontId="154" fillId="0" borderId="24" xfId="10" applyNumberFormat="1" applyFont="1" applyBorder="1" applyAlignment="1">
      <alignment horizontal="center"/>
    </xf>
    <xf numFmtId="6" fontId="129" fillId="0" borderId="24" xfId="10" applyNumberFormat="1" applyFont="1" applyBorder="1" applyAlignment="1">
      <alignment horizontal="center"/>
    </xf>
    <xf numFmtId="7" fontId="33" fillId="2" borderId="0" xfId="0" applyNumberFormat="1" applyFont="1" applyFill="1" applyAlignment="1">
      <alignment horizontal="right"/>
    </xf>
    <xf numFmtId="0" fontId="161" fillId="0" borderId="40" xfId="0" applyFont="1" applyBorder="1"/>
    <xf numFmtId="0" fontId="162" fillId="0" borderId="40" xfId="0" applyFont="1" applyBorder="1"/>
    <xf numFmtId="0" fontId="162" fillId="0" borderId="40" xfId="0" applyFont="1" applyBorder="1" applyAlignment="1">
      <alignment horizontal="center"/>
    </xf>
    <xf numFmtId="0" fontId="163" fillId="0" borderId="0" xfId="0" applyFont="1"/>
    <xf numFmtId="0" fontId="164" fillId="0" borderId="0" xfId="0" applyFont="1"/>
    <xf numFmtId="0" fontId="163" fillId="0" borderId="0" xfId="0" applyFont="1" applyAlignment="1">
      <alignment horizontal="center"/>
    </xf>
    <xf numFmtId="0" fontId="130" fillId="42" borderId="22" xfId="0" applyFont="1" applyFill="1" applyBorder="1"/>
    <xf numFmtId="0" fontId="130" fillId="42" borderId="13" xfId="0" applyFont="1" applyFill="1" applyBorder="1"/>
    <xf numFmtId="1" fontId="130" fillId="42" borderId="13" xfId="0" applyNumberFormat="1" applyFont="1" applyFill="1" applyBorder="1" applyAlignment="1">
      <alignment horizontal="center"/>
    </xf>
    <xf numFmtId="193" fontId="130" fillId="42" borderId="13" xfId="0" applyNumberFormat="1" applyFont="1" applyFill="1" applyBorder="1" applyAlignment="1">
      <alignment horizontal="center"/>
    </xf>
    <xf numFmtId="0" fontId="165" fillId="42" borderId="20" xfId="0" applyFont="1" applyFill="1" applyBorder="1" applyAlignment="1">
      <alignment horizontal="center"/>
    </xf>
    <xf numFmtId="0" fontId="166" fillId="0" borderId="17" xfId="0" applyFont="1" applyBorder="1"/>
    <xf numFmtId="0" fontId="166" fillId="0" borderId="0" xfId="0" applyFont="1"/>
    <xf numFmtId="1" fontId="166" fillId="0" borderId="0" xfId="0" applyNumberFormat="1" applyFont="1" applyAlignment="1">
      <alignment horizontal="center"/>
    </xf>
    <xf numFmtId="194" fontId="166" fillId="0" borderId="0" xfId="0" applyNumberFormat="1" applyFont="1" applyAlignment="1">
      <alignment horizontal="center"/>
    </xf>
    <xf numFmtId="194" fontId="163" fillId="0" borderId="16" xfId="0" applyNumberFormat="1" applyFont="1" applyBorder="1" applyAlignment="1">
      <alignment horizontal="center"/>
    </xf>
    <xf numFmtId="1" fontId="165" fillId="10" borderId="61" xfId="0" applyNumberFormat="1" applyFont="1" applyFill="1" applyBorder="1" applyAlignment="1">
      <alignment horizontal="left"/>
    </xf>
    <xf numFmtId="0" fontId="165" fillId="10" borderId="62" xfId="0" applyFont="1" applyFill="1" applyBorder="1"/>
    <xf numFmtId="3" fontId="165" fillId="10" borderId="62" xfId="0" applyNumberFormat="1" applyFont="1" applyFill="1" applyBorder="1" applyAlignment="1">
      <alignment horizontal="center"/>
    </xf>
    <xf numFmtId="194" fontId="165" fillId="10" borderId="62" xfId="0" applyNumberFormat="1" applyFont="1" applyFill="1" applyBorder="1" applyAlignment="1">
      <alignment horizontal="center"/>
    </xf>
    <xf numFmtId="194" fontId="165" fillId="10" borderId="63" xfId="0" applyNumberFormat="1" applyFont="1" applyFill="1" applyBorder="1" applyAlignment="1">
      <alignment horizontal="center"/>
    </xf>
    <xf numFmtId="0" fontId="165" fillId="0" borderId="0" xfId="0" applyFont="1"/>
    <xf numFmtId="1" fontId="163" fillId="0" borderId="0" xfId="0" applyNumberFormat="1" applyFont="1" applyAlignment="1">
      <alignment horizontal="center"/>
    </xf>
    <xf numFmtId="193" fontId="163" fillId="0" borderId="0" xfId="0" applyNumberFormat="1" applyFont="1" applyAlignment="1">
      <alignment horizontal="center"/>
    </xf>
    <xf numFmtId="0" fontId="162" fillId="0" borderId="0" xfId="0" applyFont="1"/>
    <xf numFmtId="0" fontId="165" fillId="42" borderId="64" xfId="0" applyFont="1" applyFill="1" applyBorder="1" applyAlignment="1">
      <alignment horizontal="centerContinuous"/>
    </xf>
    <xf numFmtId="0" fontId="165" fillId="42" borderId="66" xfId="0" applyFont="1" applyFill="1" applyBorder="1" applyAlignment="1">
      <alignment horizontal="centerContinuous"/>
    </xf>
    <xf numFmtId="0" fontId="165" fillId="42" borderId="65" xfId="0" applyFont="1" applyFill="1" applyBorder="1" applyAlignment="1">
      <alignment horizontal="centerContinuous"/>
    </xf>
    <xf numFmtId="196" fontId="163" fillId="0" borderId="0" xfId="0" applyNumberFormat="1" applyFont="1"/>
    <xf numFmtId="0" fontId="162" fillId="0" borderId="0" xfId="0" applyFont="1" applyAlignment="1">
      <alignment horizontal="center"/>
    </xf>
    <xf numFmtId="0" fontId="165" fillId="42" borderId="22" xfId="0" applyFont="1" applyFill="1" applyBorder="1"/>
    <xf numFmtId="0" fontId="165" fillId="42" borderId="13" xfId="0" applyFont="1" applyFill="1" applyBorder="1" applyAlignment="1">
      <alignment horizontal="center"/>
    </xf>
    <xf numFmtId="0" fontId="172" fillId="0" borderId="0" xfId="0" applyFont="1"/>
    <xf numFmtId="0" fontId="165" fillId="0" borderId="22" xfId="0" applyFont="1" applyBorder="1"/>
    <xf numFmtId="164" fontId="163" fillId="0" borderId="13" xfId="2" applyNumberFormat="1" applyFont="1" applyFill="1" applyBorder="1" applyAlignment="1">
      <alignment horizontal="center"/>
    </xf>
    <xf numFmtId="164" fontId="163" fillId="0" borderId="20" xfId="2" applyNumberFormat="1" applyFont="1" applyFill="1" applyBorder="1" applyAlignment="1">
      <alignment horizontal="center"/>
    </xf>
    <xf numFmtId="164" fontId="163" fillId="0" borderId="0" xfId="2" applyNumberFormat="1" applyFont="1" applyFill="1" applyBorder="1" applyAlignment="1">
      <alignment horizontal="center"/>
    </xf>
    <xf numFmtId="197" fontId="165" fillId="42" borderId="66" xfId="0" applyNumberFormat="1" applyFont="1" applyFill="1" applyBorder="1" applyAlignment="1">
      <alignment horizontal="centerContinuous"/>
    </xf>
    <xf numFmtId="197" fontId="165" fillId="42" borderId="65" xfId="0" applyNumberFormat="1" applyFont="1" applyFill="1" applyBorder="1" applyAlignment="1">
      <alignment horizontal="centerContinuous"/>
    </xf>
    <xf numFmtId="197" fontId="165" fillId="0" borderId="0" xfId="0" applyNumberFormat="1" applyFont="1"/>
    <xf numFmtId="0" fontId="163" fillId="42" borderId="66" xfId="0" applyFont="1" applyFill="1" applyBorder="1" applyAlignment="1">
      <alignment horizontal="centerContinuous"/>
    </xf>
    <xf numFmtId="0" fontId="163" fillId="42" borderId="65" xfId="0" applyFont="1" applyFill="1" applyBorder="1" applyAlignment="1">
      <alignment horizontal="centerContinuous"/>
    </xf>
    <xf numFmtId="0" fontId="173" fillId="0" borderId="17" xfId="0" applyFont="1" applyBorder="1"/>
    <xf numFmtId="197" fontId="173" fillId="0" borderId="0" xfId="0" applyNumberFormat="1" applyFont="1" applyAlignment="1">
      <alignment horizontal="center"/>
    </xf>
    <xf numFmtId="197" fontId="173" fillId="0" borderId="16" xfId="0" applyNumberFormat="1" applyFont="1" applyBorder="1" applyAlignment="1">
      <alignment horizontal="center"/>
    </xf>
    <xf numFmtId="0" fontId="174" fillId="0" borderId="0" xfId="0" applyFont="1"/>
    <xf numFmtId="0" fontId="173" fillId="0" borderId="14" xfId="0" applyFont="1" applyBorder="1"/>
    <xf numFmtId="197" fontId="173" fillId="0" borderId="11" xfId="0" applyNumberFormat="1" applyFont="1" applyBorder="1" applyAlignment="1">
      <alignment horizontal="center"/>
    </xf>
    <xf numFmtId="197" fontId="173" fillId="0" borderId="15" xfId="0" applyNumberFormat="1" applyFont="1" applyBorder="1" applyAlignment="1">
      <alignment horizontal="center"/>
    </xf>
    <xf numFmtId="164" fontId="163" fillId="0" borderId="0" xfId="0" applyNumberFormat="1" applyFont="1"/>
    <xf numFmtId="197" fontId="163" fillId="0" borderId="0" xfId="0" applyNumberFormat="1" applyFont="1"/>
    <xf numFmtId="0" fontId="165" fillId="42" borderId="22" xfId="0" applyFont="1" applyFill="1" applyBorder="1" applyAlignment="1">
      <alignment horizontal="centerContinuous"/>
    </xf>
    <xf numFmtId="0" fontId="165" fillId="42" borderId="13" xfId="0" applyFont="1" applyFill="1" applyBorder="1" applyAlignment="1">
      <alignment horizontal="centerContinuous"/>
    </xf>
    <xf numFmtId="0" fontId="165" fillId="42" borderId="20" xfId="0" applyFont="1" applyFill="1" applyBorder="1" applyAlignment="1">
      <alignment horizontal="centerContinuous"/>
    </xf>
    <xf numFmtId="0" fontId="169" fillId="42" borderId="22" xfId="0" applyFont="1" applyFill="1" applyBorder="1" applyAlignment="1">
      <alignment horizontal="centerContinuous"/>
    </xf>
    <xf numFmtId="0" fontId="169" fillId="42" borderId="20" xfId="0" applyFont="1" applyFill="1" applyBorder="1" applyAlignment="1">
      <alignment horizontal="centerContinuous"/>
    </xf>
    <xf numFmtId="0" fontId="163" fillId="0" borderId="17" xfId="0" applyFont="1" applyBorder="1"/>
    <xf numFmtId="0" fontId="166" fillId="0" borderId="16" xfId="0" applyFont="1" applyBorder="1" applyAlignment="1">
      <alignment horizontal="right"/>
    </xf>
    <xf numFmtId="9" fontId="175" fillId="0" borderId="22" xfId="2" applyFont="1" applyFill="1" applyBorder="1" applyAlignment="1">
      <alignment horizontal="left"/>
    </xf>
    <xf numFmtId="0" fontId="162" fillId="0" borderId="13" xfId="0" applyFont="1" applyBorder="1"/>
    <xf numFmtId="9" fontId="175" fillId="0" borderId="13" xfId="2" applyFont="1" applyFill="1" applyBorder="1" applyAlignment="1">
      <alignment horizontal="center"/>
    </xf>
    <xf numFmtId="9" fontId="176" fillId="0" borderId="21" xfId="2" applyFont="1" applyFill="1" applyBorder="1" applyAlignment="1">
      <alignment horizontal="right"/>
    </xf>
    <xf numFmtId="0" fontId="162" fillId="0" borderId="21" xfId="0" applyFont="1" applyBorder="1"/>
    <xf numFmtId="0" fontId="162" fillId="0" borderId="21" xfId="0" applyFont="1" applyBorder="1" applyAlignment="1">
      <alignment horizontal="right"/>
    </xf>
    <xf numFmtId="0" fontId="177" fillId="0" borderId="20" xfId="0" applyFont="1" applyBorder="1" applyAlignment="1">
      <alignment horizontal="right"/>
    </xf>
    <xf numFmtId="0" fontId="163" fillId="0" borderId="22" xfId="0" applyFont="1" applyBorder="1"/>
    <xf numFmtId="0" fontId="166" fillId="0" borderId="20" xfId="0" applyFont="1" applyBorder="1" applyAlignment="1">
      <alignment horizontal="right"/>
    </xf>
    <xf numFmtId="198" fontId="168" fillId="0" borderId="16" xfId="0" applyNumberFormat="1" applyFont="1" applyBorder="1"/>
    <xf numFmtId="0" fontId="172" fillId="0" borderId="17" xfId="0" applyFont="1" applyBorder="1"/>
    <xf numFmtId="197" fontId="166" fillId="0" borderId="0" xfId="0" applyNumberFormat="1" applyFont="1" applyAlignment="1">
      <alignment horizontal="center"/>
    </xf>
    <xf numFmtId="0" fontId="163" fillId="0" borderId="25" xfId="0" applyFont="1" applyBorder="1" applyAlignment="1">
      <alignment horizontal="left"/>
    </xf>
    <xf numFmtId="165" fontId="163" fillId="0" borderId="25" xfId="1" applyNumberFormat="1" applyFont="1" applyBorder="1"/>
    <xf numFmtId="165" fontId="163" fillId="0" borderId="18" xfId="1" applyNumberFormat="1" applyFont="1" applyBorder="1"/>
    <xf numFmtId="0" fontId="178" fillId="0" borderId="17" xfId="0" applyFont="1" applyBorder="1" applyAlignment="1">
      <alignment horizontal="center"/>
    </xf>
    <xf numFmtId="0" fontId="178" fillId="0" borderId="16" xfId="0" applyFont="1" applyBorder="1" applyAlignment="1">
      <alignment horizontal="center"/>
    </xf>
    <xf numFmtId="197" fontId="166" fillId="0" borderId="16" xfId="0" applyNumberFormat="1" applyFont="1" applyBorder="1"/>
    <xf numFmtId="0" fontId="163" fillId="0" borderId="24" xfId="0" applyFont="1" applyBorder="1" applyAlignment="1">
      <alignment horizontal="left"/>
    </xf>
    <xf numFmtId="194" fontId="170" fillId="0" borderId="24" xfId="0" applyNumberFormat="1" applyFont="1" applyBorder="1"/>
    <xf numFmtId="194" fontId="163" fillId="0" borderId="16" xfId="0" applyNumberFormat="1" applyFont="1" applyBorder="1"/>
    <xf numFmtId="0" fontId="172" fillId="0" borderId="17" xfId="0" applyFont="1" applyBorder="1" applyAlignment="1">
      <alignment horizontal="center"/>
    </xf>
    <xf numFmtId="197" fontId="166" fillId="0" borderId="16" xfId="0" applyNumberFormat="1" applyFont="1" applyBorder="1" applyAlignment="1">
      <alignment horizontal="center"/>
    </xf>
    <xf numFmtId="0" fontId="163" fillId="0" borderId="14" xfId="0" applyFont="1" applyBorder="1"/>
    <xf numFmtId="197" fontId="166" fillId="0" borderId="15" xfId="0" applyNumberFormat="1" applyFont="1" applyBorder="1"/>
    <xf numFmtId="164" fontId="170" fillId="0" borderId="24" xfId="2" applyNumberFormat="1" applyFont="1" applyFill="1" applyBorder="1"/>
    <xf numFmtId="164" fontId="166" fillId="16" borderId="24" xfId="2" applyNumberFormat="1" applyFont="1" applyFill="1" applyBorder="1"/>
    <xf numFmtId="164" fontId="163" fillId="0" borderId="16" xfId="2" applyNumberFormat="1" applyFont="1" applyBorder="1"/>
    <xf numFmtId="0" fontId="163" fillId="0" borderId="23" xfId="0" applyFont="1" applyBorder="1" applyAlignment="1">
      <alignment horizontal="left"/>
    </xf>
    <xf numFmtId="194" fontId="163" fillId="0" borderId="23" xfId="0" applyNumberFormat="1" applyFont="1" applyBorder="1"/>
    <xf numFmtId="194" fontId="163" fillId="0" borderId="15" xfId="0" applyNumberFormat="1" applyFont="1" applyBorder="1"/>
    <xf numFmtId="194" fontId="166" fillId="0" borderId="24" xfId="0" applyNumberFormat="1" applyFont="1" applyBorder="1"/>
    <xf numFmtId="0" fontId="172" fillId="0" borderId="24" xfId="0" applyFont="1" applyBorder="1" applyAlignment="1">
      <alignment horizontal="left"/>
    </xf>
    <xf numFmtId="1" fontId="166" fillId="0" borderId="16" xfId="0" applyNumberFormat="1" applyFont="1" applyBorder="1" applyAlignment="1">
      <alignment horizontal="right"/>
    </xf>
    <xf numFmtId="0" fontId="169" fillId="10" borderId="22" xfId="0" applyFont="1" applyFill="1" applyBorder="1"/>
    <xf numFmtId="0" fontId="163" fillId="10" borderId="13" xfId="0" applyFont="1" applyFill="1" applyBorder="1"/>
    <xf numFmtId="197" fontId="169" fillId="10" borderId="13" xfId="0" applyNumberFormat="1" applyFont="1" applyFill="1" applyBorder="1" applyAlignment="1">
      <alignment horizontal="center"/>
    </xf>
    <xf numFmtId="194" fontId="169" fillId="43" borderId="21" xfId="20" applyNumberFormat="1" applyFont="1" applyFill="1" applyBorder="1"/>
    <xf numFmtId="0" fontId="163" fillId="0" borderId="11" xfId="0" applyFont="1" applyBorder="1"/>
    <xf numFmtId="0" fontId="166" fillId="0" borderId="15" xfId="0" applyFont="1" applyBorder="1" applyAlignment="1">
      <alignment horizontal="right"/>
    </xf>
    <xf numFmtId="10" fontId="166" fillId="0" borderId="24" xfId="2" applyNumberFormat="1" applyFont="1" applyBorder="1"/>
    <xf numFmtId="10" fontId="163" fillId="0" borderId="16" xfId="2" applyNumberFormat="1" applyFont="1" applyBorder="1"/>
    <xf numFmtId="0" fontId="172" fillId="0" borderId="14" xfId="0" applyFont="1" applyBorder="1" applyAlignment="1">
      <alignment horizontal="center"/>
    </xf>
    <xf numFmtId="197" fontId="166" fillId="0" borderId="15" xfId="0" applyNumberFormat="1" applyFont="1" applyBorder="1" applyAlignment="1">
      <alignment horizontal="center"/>
    </xf>
    <xf numFmtId="14" fontId="166" fillId="0" borderId="16" xfId="0" applyNumberFormat="1" applyFont="1" applyBorder="1" applyAlignment="1">
      <alignment horizontal="right"/>
    </xf>
    <xf numFmtId="200" fontId="166" fillId="0" borderId="16" xfId="23" applyNumberFormat="1" applyFont="1" applyBorder="1" applyAlignment="1">
      <alignment horizontal="right"/>
    </xf>
    <xf numFmtId="201" fontId="166" fillId="0" borderId="16" xfId="23" applyNumberFormat="1" applyFont="1" applyBorder="1" applyAlignment="1">
      <alignment horizontal="right"/>
    </xf>
    <xf numFmtId="202" fontId="163" fillId="0" borderId="16" xfId="0" applyNumberFormat="1" applyFont="1" applyBorder="1" applyAlignment="1">
      <alignment horizontal="right"/>
    </xf>
    <xf numFmtId="0" fontId="172" fillId="0" borderId="14" xfId="0" applyFont="1" applyBorder="1"/>
    <xf numFmtId="197" fontId="166" fillId="0" borderId="11" xfId="0" applyNumberFormat="1" applyFont="1" applyBorder="1" applyAlignment="1">
      <alignment horizontal="center"/>
    </xf>
    <xf numFmtId="199" fontId="166" fillId="0" borderId="23" xfId="0" applyNumberFormat="1" applyFont="1" applyBorder="1"/>
    <xf numFmtId="0" fontId="163" fillId="0" borderId="0" xfId="0" applyFont="1" applyAlignment="1">
      <alignment horizontal="left"/>
    </xf>
    <xf numFmtId="0" fontId="163" fillId="42" borderId="13" xfId="0" applyFont="1" applyFill="1" applyBorder="1" applyAlignment="1">
      <alignment horizontal="centerContinuous"/>
    </xf>
    <xf numFmtId="0" fontId="163" fillId="42" borderId="20" xfId="0" applyFont="1" applyFill="1" applyBorder="1" applyAlignment="1">
      <alignment horizontal="centerContinuous"/>
    </xf>
    <xf numFmtId="199" fontId="169" fillId="43" borderId="21" xfId="20" applyNumberFormat="1" applyFont="1" applyFill="1" applyBorder="1"/>
    <xf numFmtId="203" fontId="166" fillId="0" borderId="16" xfId="0" applyNumberFormat="1" applyFont="1" applyBorder="1" applyAlignment="1">
      <alignment horizontal="center"/>
    </xf>
    <xf numFmtId="0" fontId="163" fillId="0" borderId="21" xfId="0" applyFont="1" applyBorder="1"/>
    <xf numFmtId="0" fontId="162" fillId="0" borderId="13" xfId="0" applyFont="1" applyBorder="1" applyAlignment="1">
      <alignment horizontal="right"/>
    </xf>
    <xf numFmtId="0" fontId="177" fillId="0" borderId="21" xfId="0" applyFont="1" applyBorder="1" applyAlignment="1">
      <alignment horizontal="right"/>
    </xf>
    <xf numFmtId="0" fontId="163" fillId="0" borderId="24" xfId="0" applyFont="1" applyBorder="1"/>
    <xf numFmtId="204" fontId="166" fillId="0" borderId="0" xfId="0" applyNumberFormat="1" applyFont="1" applyAlignment="1">
      <alignment horizontal="center"/>
    </xf>
    <xf numFmtId="204" fontId="163" fillId="0" borderId="24" xfId="0" applyNumberFormat="1" applyFont="1" applyBorder="1"/>
    <xf numFmtId="204" fontId="163" fillId="0" borderId="24" xfId="1" applyNumberFormat="1" applyFont="1" applyBorder="1"/>
    <xf numFmtId="14" fontId="163" fillId="0" borderId="16" xfId="0" applyNumberFormat="1" applyFont="1" applyBorder="1"/>
    <xf numFmtId="0" fontId="172" fillId="44" borderId="24" xfId="0" applyFont="1" applyFill="1" applyBorder="1" applyAlignment="1">
      <alignment horizontal="left"/>
    </xf>
    <xf numFmtId="194" fontId="166" fillId="44" borderId="24" xfId="0" applyNumberFormat="1" applyFont="1" applyFill="1" applyBorder="1"/>
    <xf numFmtId="194" fontId="163" fillId="44" borderId="16" xfId="0" applyNumberFormat="1" applyFont="1" applyFill="1" applyBorder="1"/>
    <xf numFmtId="0" fontId="177" fillId="0" borderId="25" xfId="0" applyFont="1" applyBorder="1"/>
    <xf numFmtId="204" fontId="169" fillId="0" borderId="12" xfId="0" applyNumberFormat="1" applyFont="1" applyBorder="1" applyAlignment="1">
      <alignment horizontal="center"/>
    </xf>
    <xf numFmtId="204" fontId="165" fillId="0" borderId="25" xfId="0" applyNumberFormat="1" applyFont="1" applyBorder="1"/>
    <xf numFmtId="198" fontId="166" fillId="0" borderId="16" xfId="0" applyNumberFormat="1" applyFont="1" applyBorder="1"/>
    <xf numFmtId="194" fontId="166" fillId="0" borderId="23" xfId="0" applyNumberFormat="1" applyFont="1" applyBorder="1"/>
    <xf numFmtId="0" fontId="162" fillId="0" borderId="24" xfId="0" applyFont="1" applyBorder="1"/>
    <xf numFmtId="0" fontId="180" fillId="0" borderId="0" xfId="0" applyFont="1"/>
    <xf numFmtId="0" fontId="165" fillId="0" borderId="24" xfId="0" applyFont="1" applyBorder="1"/>
    <xf numFmtId="205" fontId="166" fillId="0" borderId="16" xfId="0" applyNumberFormat="1" applyFont="1" applyBorder="1"/>
    <xf numFmtId="206" fontId="166" fillId="0" borderId="0" xfId="0" applyNumberFormat="1" applyFont="1"/>
    <xf numFmtId="172" fontId="165" fillId="0" borderId="24" xfId="0" applyNumberFormat="1" applyFont="1" applyBorder="1"/>
    <xf numFmtId="0" fontId="181" fillId="0" borderId="17" xfId="0" applyFont="1" applyBorder="1" applyAlignment="1">
      <alignment horizontal="center"/>
    </xf>
    <xf numFmtId="0" fontId="181" fillId="0" borderId="0" xfId="0" applyFont="1" applyAlignment="1">
      <alignment horizontal="center"/>
    </xf>
    <xf numFmtId="205" fontId="182" fillId="0" borderId="16" xfId="0" applyNumberFormat="1" applyFont="1" applyBorder="1" applyAlignment="1">
      <alignment horizontal="right"/>
    </xf>
    <xf numFmtId="164" fontId="166" fillId="0" borderId="18" xfId="2" applyNumberFormat="1" applyFont="1" applyBorder="1" applyAlignment="1">
      <alignment horizontal="right"/>
    </xf>
    <xf numFmtId="207" fontId="166" fillId="0" borderId="17" xfId="0" applyNumberFormat="1" applyFont="1" applyBorder="1" applyAlignment="1">
      <alignment horizontal="center"/>
    </xf>
    <xf numFmtId="207" fontId="166" fillId="0" borderId="0" xfId="0" applyNumberFormat="1" applyFont="1" applyAlignment="1">
      <alignment horizontal="center"/>
    </xf>
    <xf numFmtId="10" fontId="166" fillId="0" borderId="0" xfId="0" applyNumberFormat="1" applyFont="1" applyAlignment="1">
      <alignment horizontal="center"/>
    </xf>
    <xf numFmtId="9" fontId="168" fillId="0" borderId="16" xfId="0" applyNumberFormat="1" applyFont="1" applyBorder="1" applyAlignment="1">
      <alignment horizontal="right"/>
    </xf>
    <xf numFmtId="0" fontId="172" fillId="44" borderId="17" xfId="0" applyFont="1" applyFill="1" applyBorder="1"/>
    <xf numFmtId="0" fontId="163" fillId="44" borderId="0" xfId="0" applyFont="1" applyFill="1"/>
    <xf numFmtId="194" fontId="170" fillId="44" borderId="16" xfId="0" applyNumberFormat="1" applyFont="1" applyFill="1" applyBorder="1"/>
    <xf numFmtId="208" fontId="166" fillId="0" borderId="17" xfId="1" applyNumberFormat="1" applyFont="1" applyBorder="1"/>
    <xf numFmtId="208" fontId="166" fillId="0" borderId="0" xfId="1" applyNumberFormat="1" applyFont="1" applyBorder="1"/>
    <xf numFmtId="208" fontId="166" fillId="0" borderId="16" xfId="1" applyNumberFormat="1" applyFont="1" applyBorder="1"/>
    <xf numFmtId="208" fontId="163" fillId="0" borderId="24" xfId="0" applyNumberFormat="1" applyFont="1" applyBorder="1"/>
    <xf numFmtId="207" fontId="163" fillId="0" borderId="17" xfId="0" applyNumberFormat="1" applyFont="1" applyBorder="1" applyAlignment="1">
      <alignment horizontal="center"/>
    </xf>
    <xf numFmtId="207" fontId="163" fillId="0" borderId="0" xfId="0" applyNumberFormat="1" applyFont="1" applyAlignment="1">
      <alignment horizontal="center"/>
    </xf>
    <xf numFmtId="10" fontId="163" fillId="0" borderId="0" xfId="0" applyNumberFormat="1" applyFont="1" applyAlignment="1">
      <alignment horizontal="center"/>
    </xf>
    <xf numFmtId="9" fontId="168" fillId="0" borderId="16" xfId="0" applyNumberFormat="1" applyFont="1" applyBorder="1"/>
    <xf numFmtId="194" fontId="166" fillId="44" borderId="16" xfId="0" applyNumberFormat="1" applyFont="1" applyFill="1" applyBorder="1"/>
    <xf numFmtId="195" fontId="166" fillId="0" borderId="16" xfId="0" applyNumberFormat="1" applyFont="1" applyBorder="1" applyAlignment="1">
      <alignment horizontal="right"/>
    </xf>
    <xf numFmtId="209" fontId="180" fillId="0" borderId="0" xfId="0" applyNumberFormat="1" applyFont="1"/>
    <xf numFmtId="0" fontId="172" fillId="44" borderId="22" xfId="0" applyFont="1" applyFill="1" applyBorder="1"/>
    <xf numFmtId="0" fontId="163" fillId="44" borderId="13" xfId="0" applyFont="1" applyFill="1" applyBorder="1"/>
    <xf numFmtId="0" fontId="172" fillId="44" borderId="20" xfId="0" applyFont="1" applyFill="1" applyBorder="1"/>
    <xf numFmtId="203" fontId="166" fillId="0" borderId="15" xfId="0" applyNumberFormat="1" applyFont="1" applyBorder="1" applyAlignment="1">
      <alignment horizontal="center"/>
    </xf>
    <xf numFmtId="210" fontId="168" fillId="0" borderId="16" xfId="0" applyNumberFormat="1" applyFont="1" applyBorder="1" applyAlignment="1">
      <alignment horizontal="right"/>
    </xf>
    <xf numFmtId="0" fontId="183" fillId="0" borderId="0" xfId="0" applyFont="1"/>
    <xf numFmtId="0" fontId="171" fillId="0" borderId="0" xfId="0" applyFont="1"/>
    <xf numFmtId="208" fontId="169" fillId="0" borderId="12" xfId="0" applyNumberFormat="1" applyFont="1" applyBorder="1"/>
    <xf numFmtId="208" fontId="165" fillId="0" borderId="25" xfId="0" applyNumberFormat="1" applyFont="1" applyBorder="1"/>
    <xf numFmtId="194" fontId="172" fillId="0" borderId="0" xfId="0" applyNumberFormat="1" applyFont="1"/>
    <xf numFmtId="194" fontId="165" fillId="0" borderId="24" xfId="0" applyNumberFormat="1" applyFont="1" applyBorder="1"/>
    <xf numFmtId="198" fontId="166" fillId="0" borderId="15" xfId="0" applyNumberFormat="1" applyFont="1" applyBorder="1"/>
    <xf numFmtId="0" fontId="169" fillId="42" borderId="13" xfId="0" applyFont="1" applyFill="1" applyBorder="1" applyAlignment="1">
      <alignment horizontal="centerContinuous"/>
    </xf>
    <xf numFmtId="0" fontId="178" fillId="0" borderId="19" xfId="0" applyFont="1" applyBorder="1" applyAlignment="1">
      <alignment horizontal="center"/>
    </xf>
    <xf numFmtId="0" fontId="178" fillId="0" borderId="18" xfId="0" applyFont="1" applyBorder="1" applyAlignment="1">
      <alignment horizontal="center"/>
    </xf>
    <xf numFmtId="194" fontId="163" fillId="0" borderId="24" xfId="0" applyNumberFormat="1" applyFont="1" applyBorder="1"/>
    <xf numFmtId="0" fontId="163" fillId="44" borderId="22" xfId="0" applyFont="1" applyFill="1" applyBorder="1" applyAlignment="1">
      <alignment horizontal="left"/>
    </xf>
    <xf numFmtId="194" fontId="166" fillId="44" borderId="20" xfId="0" applyNumberFormat="1" applyFont="1" applyFill="1" applyBorder="1"/>
    <xf numFmtId="3" fontId="163" fillId="0" borderId="17" xfId="0" applyNumberFormat="1" applyFont="1" applyBorder="1" applyAlignment="1">
      <alignment horizontal="center"/>
    </xf>
    <xf numFmtId="195" fontId="163" fillId="0" borderId="16" xfId="0" applyNumberFormat="1" applyFont="1" applyBorder="1" applyAlignment="1">
      <alignment horizontal="center"/>
    </xf>
    <xf numFmtId="10" fontId="166" fillId="0" borderId="16" xfId="0" applyNumberFormat="1" applyFont="1" applyBorder="1" applyAlignment="1">
      <alignment horizontal="center"/>
    </xf>
    <xf numFmtId="0" fontId="165" fillId="0" borderId="25" xfId="0" applyFont="1" applyBorder="1"/>
    <xf numFmtId="194" fontId="169" fillId="0" borderId="12" xfId="0" applyNumberFormat="1" applyFont="1" applyBorder="1"/>
    <xf numFmtId="194" fontId="165" fillId="0" borderId="25" xfId="0" applyNumberFormat="1" applyFont="1" applyBorder="1"/>
    <xf numFmtId="194" fontId="163" fillId="0" borderId="0" xfId="0" applyNumberFormat="1" applyFont="1"/>
    <xf numFmtId="194" fontId="166" fillId="0" borderId="16" xfId="0" applyNumberFormat="1" applyFont="1" applyBorder="1"/>
    <xf numFmtId="194" fontId="172" fillId="0" borderId="0" xfId="1" applyNumberFormat="1" applyFont="1" applyBorder="1"/>
    <xf numFmtId="164" fontId="166" fillId="0" borderId="16" xfId="0" applyNumberFormat="1" applyFont="1" applyBorder="1"/>
    <xf numFmtId="164" fontId="166" fillId="0" borderId="15" xfId="0" applyNumberFormat="1" applyFont="1" applyBorder="1"/>
    <xf numFmtId="0" fontId="165" fillId="45" borderId="20" xfId="0" applyFont="1" applyFill="1" applyBorder="1" applyAlignment="1">
      <alignment horizontal="centerContinuous"/>
    </xf>
    <xf numFmtId="0" fontId="162" fillId="0" borderId="22" xfId="0" applyFont="1" applyBorder="1"/>
    <xf numFmtId="0" fontId="162" fillId="0" borderId="20" xfId="0" applyFont="1" applyBorder="1" applyAlignment="1">
      <alignment horizontal="right"/>
    </xf>
    <xf numFmtId="0" fontId="177" fillId="10" borderId="21" xfId="0" applyFont="1" applyFill="1" applyBorder="1"/>
    <xf numFmtId="194" fontId="169" fillId="10" borderId="13" xfId="0" applyNumberFormat="1" applyFont="1" applyFill="1" applyBorder="1"/>
    <xf numFmtId="194" fontId="165" fillId="10" borderId="21" xfId="0" applyNumberFormat="1" applyFont="1" applyFill="1" applyBorder="1"/>
    <xf numFmtId="10" fontId="166" fillId="0" borderId="15" xfId="0" applyNumberFormat="1" applyFont="1" applyBorder="1" applyAlignment="1">
      <alignment horizontal="center"/>
    </xf>
    <xf numFmtId="3" fontId="163" fillId="0" borderId="14" xfId="0" applyNumberFormat="1" applyFont="1" applyBorder="1" applyAlignment="1">
      <alignment horizontal="center"/>
    </xf>
    <xf numFmtId="195" fontId="163" fillId="0" borderId="15" xfId="0" applyNumberFormat="1" applyFont="1" applyBorder="1" applyAlignment="1">
      <alignment horizontal="center"/>
    </xf>
    <xf numFmtId="0" fontId="169" fillId="42" borderId="19" xfId="0" applyFont="1" applyFill="1" applyBorder="1" applyAlignment="1">
      <alignment horizontal="centerContinuous"/>
    </xf>
    <xf numFmtId="0" fontId="169" fillId="42" borderId="12" xfId="0" applyFont="1" applyFill="1" applyBorder="1" applyAlignment="1">
      <alignment horizontal="centerContinuous"/>
    </xf>
    <xf numFmtId="0" fontId="172" fillId="42" borderId="12" xfId="0" applyFont="1" applyFill="1" applyBorder="1" applyAlignment="1">
      <alignment horizontal="centerContinuous"/>
    </xf>
    <xf numFmtId="0" fontId="172" fillId="42" borderId="18" xfId="0" applyFont="1" applyFill="1" applyBorder="1" applyAlignment="1">
      <alignment horizontal="centerContinuous"/>
    </xf>
    <xf numFmtId="0" fontId="172" fillId="0" borderId="21" xfId="0" applyFont="1" applyBorder="1"/>
    <xf numFmtId="211" fontId="163" fillId="0" borderId="24" xfId="0" applyNumberFormat="1" applyFont="1" applyBorder="1" applyAlignment="1">
      <alignment horizontal="left"/>
    </xf>
    <xf numFmtId="194" fontId="168" fillId="0" borderId="0" xfId="0" applyNumberFormat="1" applyFont="1"/>
    <xf numFmtId="194" fontId="168" fillId="0" borderId="24" xfId="0" applyNumberFormat="1" applyFont="1" applyBorder="1"/>
    <xf numFmtId="0" fontId="165" fillId="10" borderId="22" xfId="0" applyFont="1" applyFill="1" applyBorder="1"/>
    <xf numFmtId="0" fontId="165" fillId="10" borderId="13" xfId="0" applyFont="1" applyFill="1" applyBorder="1"/>
    <xf numFmtId="194" fontId="165" fillId="10" borderId="20" xfId="0" applyNumberFormat="1" applyFont="1" applyFill="1" applyBorder="1"/>
    <xf numFmtId="211" fontId="163" fillId="0" borderId="23" xfId="0" applyNumberFormat="1" applyFont="1" applyBorder="1" applyAlignment="1">
      <alignment horizontal="left"/>
    </xf>
    <xf numFmtId="194" fontId="168" fillId="0" borderId="11" xfId="0" applyNumberFormat="1" applyFont="1" applyBorder="1"/>
    <xf numFmtId="194" fontId="168" fillId="0" borderId="23" xfId="0" applyNumberFormat="1" applyFont="1" applyBorder="1"/>
    <xf numFmtId="0" fontId="172" fillId="42" borderId="13" xfId="0" applyFont="1" applyFill="1" applyBorder="1" applyAlignment="1">
      <alignment horizontal="centerContinuous"/>
    </xf>
    <xf numFmtId="0" fontId="172" fillId="42" borderId="20" xfId="0" applyFont="1" applyFill="1" applyBorder="1" applyAlignment="1">
      <alignment horizontal="centerContinuous"/>
    </xf>
    <xf numFmtId="0" fontId="172" fillId="0" borderId="24" xfId="0" applyFont="1" applyBorder="1"/>
    <xf numFmtId="194" fontId="168" fillId="0" borderId="0" xfId="0" applyNumberFormat="1" applyFont="1" applyAlignment="1">
      <alignment horizontal="center"/>
    </xf>
    <xf numFmtId="194" fontId="168" fillId="0" borderId="24" xfId="0" applyNumberFormat="1" applyFont="1" applyBorder="1" applyAlignment="1">
      <alignment horizontal="center"/>
    </xf>
    <xf numFmtId="0" fontId="172" fillId="0" borderId="23" xfId="0" applyFont="1" applyBorder="1"/>
    <xf numFmtId="194" fontId="166" fillId="0" borderId="11" xfId="0" applyNumberFormat="1" applyFont="1" applyBorder="1"/>
    <xf numFmtId="10" fontId="180" fillId="0" borderId="0" xfId="0" applyNumberFormat="1" applyFont="1"/>
    <xf numFmtId="194" fontId="168" fillId="0" borderId="16" xfId="0" applyNumberFormat="1" applyFont="1" applyBorder="1" applyAlignment="1">
      <alignment horizontal="right"/>
    </xf>
    <xf numFmtId="164" fontId="166" fillId="0" borderId="16" xfId="0" applyNumberFormat="1" applyFont="1" applyBorder="1" applyAlignment="1">
      <alignment horizontal="right"/>
    </xf>
    <xf numFmtId="211" fontId="165" fillId="0" borderId="0" xfId="0" applyNumberFormat="1" applyFont="1" applyAlignment="1">
      <alignment horizontal="center"/>
    </xf>
    <xf numFmtId="212" fontId="166" fillId="0" borderId="16" xfId="0" applyNumberFormat="1" applyFont="1" applyBorder="1" applyAlignment="1">
      <alignment horizontal="right"/>
    </xf>
    <xf numFmtId="211" fontId="165" fillId="0" borderId="11" xfId="0" applyNumberFormat="1" applyFont="1" applyBorder="1" applyAlignment="1">
      <alignment horizontal="center"/>
    </xf>
    <xf numFmtId="194" fontId="168" fillId="0" borderId="15" xfId="0" applyNumberFormat="1" applyFont="1" applyBorder="1" applyAlignment="1">
      <alignment horizontal="right"/>
    </xf>
    <xf numFmtId="0" fontId="161" fillId="0" borderId="0" xfId="0" applyFont="1" applyAlignment="1">
      <alignment horizontal="centerContinuous"/>
    </xf>
    <xf numFmtId="0" fontId="185" fillId="0" borderId="0" xfId="0" applyFont="1" applyAlignment="1">
      <alignment horizontal="centerContinuous"/>
    </xf>
    <xf numFmtId="0" fontId="163" fillId="0" borderId="0" xfId="0" applyFont="1" applyAlignment="1">
      <alignment horizontal="centerContinuous"/>
    </xf>
    <xf numFmtId="0" fontId="186" fillId="0" borderId="0" xfId="0" applyFont="1" applyAlignment="1">
      <alignment horizontal="centerContinuous"/>
    </xf>
    <xf numFmtId="0" fontId="187" fillId="0" borderId="0" xfId="0" applyFont="1" applyAlignment="1">
      <alignment horizontal="centerContinuous"/>
    </xf>
    <xf numFmtId="0" fontId="162" fillId="0" borderId="11" xfId="0" applyFont="1" applyBorder="1"/>
    <xf numFmtId="213" fontId="162" fillId="0" borderId="0" xfId="0" applyNumberFormat="1" applyFont="1"/>
    <xf numFmtId="211" fontId="165" fillId="0" borderId="0" xfId="0" applyNumberFormat="1" applyFont="1" applyAlignment="1">
      <alignment horizontal="right"/>
    </xf>
    <xf numFmtId="214" fontId="165" fillId="0" borderId="0" xfId="0" applyNumberFormat="1" applyFont="1" applyAlignment="1">
      <alignment horizontal="right"/>
    </xf>
    <xf numFmtId="0" fontId="165" fillId="0" borderId="11" xfId="0" applyFont="1" applyBorder="1" applyAlignment="1">
      <alignment horizontal="center"/>
    </xf>
    <xf numFmtId="0" fontId="163" fillId="0" borderId="0" xfId="0" quotePrefix="1" applyFont="1"/>
    <xf numFmtId="0" fontId="165" fillId="0" borderId="0" xfId="0" applyFont="1" applyAlignment="1">
      <alignment horizontal="left"/>
    </xf>
    <xf numFmtId="37" fontId="163" fillId="0" borderId="0" xfId="0" applyNumberFormat="1" applyFont="1"/>
    <xf numFmtId="165" fontId="163" fillId="0" borderId="0" xfId="1" applyNumberFormat="1" applyFont="1"/>
    <xf numFmtId="215" fontId="163" fillId="0" borderId="0" xfId="2" applyNumberFormat="1" applyFont="1"/>
    <xf numFmtId="216" fontId="163" fillId="0" borderId="0" xfId="2" applyNumberFormat="1" applyFont="1"/>
    <xf numFmtId="9" fontId="163" fillId="0" borderId="11" xfId="2" applyFont="1" applyBorder="1"/>
    <xf numFmtId="43" fontId="163" fillId="0" borderId="0" xfId="0" applyNumberFormat="1" applyFont="1"/>
    <xf numFmtId="0" fontId="163" fillId="0" borderId="0" xfId="0" applyFont="1" applyAlignment="1">
      <alignment horizontal="left" indent="1"/>
    </xf>
    <xf numFmtId="194" fontId="163" fillId="0" borderId="0" xfId="1" applyNumberFormat="1" applyFont="1"/>
    <xf numFmtId="217" fontId="163" fillId="0" borderId="0" xfId="1" applyNumberFormat="1" applyFont="1"/>
    <xf numFmtId="0" fontId="165" fillId="0" borderId="12" xfId="0" applyFont="1" applyBorder="1" applyAlignment="1">
      <alignment horizontal="left"/>
    </xf>
    <xf numFmtId="0" fontId="165" fillId="0" borderId="12" xfId="0" applyFont="1" applyBorder="1"/>
    <xf numFmtId="194" fontId="165" fillId="0" borderId="12" xfId="0" applyNumberFormat="1" applyFont="1" applyBorder="1"/>
    <xf numFmtId="218" fontId="163" fillId="0" borderId="0" xfId="1" applyNumberFormat="1" applyFont="1"/>
    <xf numFmtId="217" fontId="163" fillId="0" borderId="0" xfId="1" applyNumberFormat="1" applyFont="1" applyBorder="1"/>
    <xf numFmtId="0" fontId="188" fillId="0" borderId="11" xfId="0" applyFont="1" applyBorder="1" applyAlignment="1">
      <alignment horizontal="left" indent="2"/>
    </xf>
    <xf numFmtId="0" fontId="188" fillId="0" borderId="11" xfId="0" applyFont="1" applyBorder="1"/>
    <xf numFmtId="219" fontId="188" fillId="0" borderId="11" xfId="1" applyNumberFormat="1" applyFont="1" applyBorder="1"/>
    <xf numFmtId="218" fontId="163" fillId="0" borderId="0" xfId="1" applyNumberFormat="1" applyFont="1" applyBorder="1"/>
    <xf numFmtId="9" fontId="163" fillId="0" borderId="0" xfId="1" applyNumberFormat="1" applyFont="1" applyBorder="1"/>
    <xf numFmtId="0" fontId="163" fillId="0" borderId="0" xfId="0" applyFont="1" applyAlignment="1">
      <alignment horizontal="left" indent="2"/>
    </xf>
    <xf numFmtId="0" fontId="163" fillId="0" borderId="11" xfId="0" applyFont="1" applyBorder="1" applyAlignment="1">
      <alignment horizontal="left" indent="2"/>
    </xf>
    <xf numFmtId="217" fontId="163" fillId="0" borderId="11" xfId="1" applyNumberFormat="1" applyFont="1" applyBorder="1"/>
    <xf numFmtId="0" fontId="165" fillId="0" borderId="0" xfId="0" applyFont="1" applyAlignment="1">
      <alignment horizontal="center"/>
    </xf>
    <xf numFmtId="0" fontId="162" fillId="0" borderId="0" xfId="0" applyFont="1" applyAlignment="1">
      <alignment horizontal="left" indent="2"/>
    </xf>
    <xf numFmtId="0" fontId="163" fillId="0" borderId="12" xfId="0" applyFont="1" applyBorder="1"/>
    <xf numFmtId="0" fontId="189" fillId="0" borderId="11" xfId="0" applyFont="1" applyBorder="1"/>
    <xf numFmtId="0" fontId="163" fillId="0" borderId="12" xfId="0" applyFont="1" applyBorder="1" applyAlignment="1">
      <alignment horizontal="left" indent="1"/>
    </xf>
    <xf numFmtId="194" fontId="165" fillId="0" borderId="0" xfId="0" applyNumberFormat="1" applyFont="1"/>
    <xf numFmtId="0" fontId="188" fillId="0" borderId="0" xfId="0" applyFont="1" applyAlignment="1">
      <alignment horizontal="left" indent="2"/>
    </xf>
    <xf numFmtId="0" fontId="190" fillId="0" borderId="0" xfId="0" applyFont="1"/>
    <xf numFmtId="219" fontId="188" fillId="0" borderId="0" xfId="1" applyNumberFormat="1" applyFont="1" applyBorder="1"/>
    <xf numFmtId="0" fontId="165" fillId="0" borderId="0" xfId="0" applyFont="1" applyAlignment="1">
      <alignment horizontal="left" indent="1"/>
    </xf>
    <xf numFmtId="216" fontId="165" fillId="0" borderId="0" xfId="1" applyNumberFormat="1" applyFont="1" applyBorder="1"/>
    <xf numFmtId="218" fontId="163" fillId="0" borderId="0" xfId="0" applyNumberFormat="1" applyFont="1"/>
    <xf numFmtId="215" fontId="177" fillId="0" borderId="0" xfId="2" applyNumberFormat="1" applyFont="1" applyAlignment="1">
      <alignment horizontal="right"/>
    </xf>
    <xf numFmtId="0" fontId="189" fillId="0" borderId="0" xfId="0" applyFont="1" applyAlignment="1">
      <alignment horizontal="left" indent="2"/>
    </xf>
    <xf numFmtId="215" fontId="188" fillId="0" borderId="0" xfId="2" applyNumberFormat="1" applyFont="1" applyAlignment="1">
      <alignment horizontal="right"/>
    </xf>
    <xf numFmtId="164" fontId="188" fillId="0" borderId="0" xfId="0" applyNumberFormat="1" applyFont="1"/>
    <xf numFmtId="0" fontId="165" fillId="46" borderId="0" xfId="0" applyFont="1" applyFill="1" applyAlignment="1">
      <alignment horizontal="left"/>
    </xf>
    <xf numFmtId="0" fontId="163" fillId="46" borderId="0" xfId="0" applyFont="1" applyFill="1"/>
    <xf numFmtId="194" fontId="165" fillId="46" borderId="0" xfId="0" applyNumberFormat="1" applyFont="1" applyFill="1"/>
    <xf numFmtId="0" fontId="188" fillId="46" borderId="0" xfId="0" applyFont="1" applyFill="1" applyAlignment="1">
      <alignment horizontal="left" indent="2"/>
    </xf>
    <xf numFmtId="0" fontId="188" fillId="46" borderId="0" xfId="0" applyFont="1" applyFill="1"/>
    <xf numFmtId="219" fontId="188" fillId="46" borderId="0" xfId="0" applyNumberFormat="1" applyFont="1" applyFill="1"/>
    <xf numFmtId="0" fontId="163" fillId="0" borderId="11" xfId="0" applyFont="1" applyBorder="1" applyAlignment="1">
      <alignment horizontal="left" indent="1"/>
    </xf>
    <xf numFmtId="217" fontId="165" fillId="0" borderId="0" xfId="1" applyNumberFormat="1" applyFont="1" applyBorder="1"/>
    <xf numFmtId="0" fontId="165" fillId="46" borderId="0" xfId="0" applyFont="1" applyFill="1"/>
    <xf numFmtId="0" fontId="189" fillId="0" borderId="0" xfId="0" applyFont="1" applyAlignment="1">
      <alignment horizontal="center"/>
    </xf>
    <xf numFmtId="0" fontId="189" fillId="0" borderId="0" xfId="0" applyFont="1"/>
    <xf numFmtId="217" fontId="189" fillId="0" borderId="0" xfId="0" applyNumberFormat="1" applyFont="1"/>
    <xf numFmtId="0" fontId="169" fillId="42" borderId="19" xfId="0" applyFont="1" applyFill="1" applyBorder="1" applyAlignment="1">
      <alignment horizontal="left"/>
    </xf>
    <xf numFmtId="0" fontId="169" fillId="42" borderId="12" xfId="0" applyFont="1" applyFill="1" applyBorder="1" applyAlignment="1">
      <alignment horizontal="right"/>
    </xf>
    <xf numFmtId="220" fontId="169" fillId="42" borderId="12" xfId="0" applyNumberFormat="1" applyFont="1" applyFill="1" applyBorder="1" applyAlignment="1">
      <alignment horizontal="right"/>
    </xf>
    <xf numFmtId="220" fontId="169" fillId="42" borderId="18" xfId="0" applyNumberFormat="1" applyFont="1" applyFill="1" applyBorder="1" applyAlignment="1">
      <alignment horizontal="right"/>
    </xf>
    <xf numFmtId="0" fontId="169" fillId="42" borderId="17" xfId="0" applyFont="1" applyFill="1" applyBorder="1" applyAlignment="1">
      <alignment horizontal="left"/>
    </xf>
    <xf numFmtId="0" fontId="169" fillId="42" borderId="0" xfId="0" applyFont="1" applyFill="1" applyAlignment="1">
      <alignment horizontal="right"/>
    </xf>
    <xf numFmtId="1" fontId="169" fillId="42" borderId="0" xfId="0" applyNumberFormat="1" applyFont="1" applyFill="1" applyAlignment="1">
      <alignment horizontal="right"/>
    </xf>
    <xf numFmtId="1" fontId="169" fillId="42" borderId="16" xfId="0" applyNumberFormat="1" applyFont="1" applyFill="1" applyBorder="1" applyAlignment="1">
      <alignment horizontal="right"/>
    </xf>
    <xf numFmtId="207" fontId="169" fillId="42" borderId="0" xfId="0" applyNumberFormat="1" applyFont="1" applyFill="1" applyAlignment="1">
      <alignment horizontal="right"/>
    </xf>
    <xf numFmtId="207" fontId="169" fillId="42" borderId="16" xfId="0" applyNumberFormat="1" applyFont="1" applyFill="1" applyBorder="1" applyAlignment="1">
      <alignment horizontal="right"/>
    </xf>
    <xf numFmtId="0" fontId="169" fillId="42" borderId="14" xfId="0" applyFont="1" applyFill="1" applyBorder="1" applyAlignment="1">
      <alignment horizontal="left"/>
    </xf>
    <xf numFmtId="0" fontId="169" fillId="42" borderId="11" xfId="0" applyFont="1" applyFill="1" applyBorder="1" applyAlignment="1">
      <alignment horizontal="right"/>
    </xf>
    <xf numFmtId="214" fontId="169" fillId="42" borderId="11" xfId="0" applyNumberFormat="1" applyFont="1" applyFill="1" applyBorder="1" applyAlignment="1">
      <alignment horizontal="right"/>
    </xf>
    <xf numFmtId="214" fontId="169" fillId="42" borderId="15" xfId="0" applyNumberFormat="1" applyFont="1" applyFill="1" applyBorder="1" applyAlignment="1">
      <alignment horizontal="right"/>
    </xf>
    <xf numFmtId="219" fontId="162" fillId="0" borderId="0" xfId="0" applyNumberFormat="1" applyFont="1"/>
    <xf numFmtId="221" fontId="162" fillId="0" borderId="0" xfId="0" applyNumberFormat="1" applyFont="1"/>
    <xf numFmtId="219" fontId="162" fillId="0" borderId="0" xfId="0" applyNumberFormat="1" applyFont="1" applyAlignment="1">
      <alignment horizontal="right"/>
    </xf>
    <xf numFmtId="208" fontId="162" fillId="0" borderId="0" xfId="0" applyNumberFormat="1" applyFont="1"/>
    <xf numFmtId="204" fontId="162" fillId="0" borderId="0" xfId="0" applyNumberFormat="1" applyFont="1"/>
    <xf numFmtId="0" fontId="168" fillId="0" borderId="0" xfId="0" applyFont="1" applyAlignment="1">
      <alignment horizontal="left"/>
    </xf>
    <xf numFmtId="204" fontId="163" fillId="0" borderId="0" xfId="0" applyNumberFormat="1" applyFont="1"/>
    <xf numFmtId="222" fontId="163" fillId="0" borderId="0" xfId="0" applyNumberFormat="1" applyFont="1"/>
    <xf numFmtId="164" fontId="163" fillId="0" borderId="0" xfId="2" applyNumberFormat="1" applyFont="1"/>
    <xf numFmtId="5" fontId="163" fillId="0" borderId="0" xfId="2" applyNumberFormat="1" applyFont="1"/>
    <xf numFmtId="5" fontId="163" fillId="0" borderId="0" xfId="0" applyNumberFormat="1" applyFont="1"/>
    <xf numFmtId="44" fontId="163" fillId="0" borderId="0" xfId="0" applyNumberFormat="1" applyFont="1"/>
    <xf numFmtId="168" fontId="165" fillId="0" borderId="0" xfId="0" applyNumberFormat="1" applyFont="1"/>
    <xf numFmtId="0" fontId="162" fillId="0" borderId="11" xfId="0" applyFont="1" applyBorder="1" applyAlignment="1">
      <alignment horizontal="left" indent="1"/>
    </xf>
    <xf numFmtId="219" fontId="162" fillId="0" borderId="11" xfId="1" applyNumberFormat="1" applyFont="1" applyBorder="1"/>
    <xf numFmtId="217" fontId="163" fillId="0" borderId="0" xfId="1" applyNumberFormat="1" applyFont="1" applyFill="1" applyBorder="1"/>
    <xf numFmtId="9" fontId="162" fillId="0" borderId="0" xfId="2" applyFont="1"/>
    <xf numFmtId="219" fontId="162" fillId="0" borderId="0" xfId="1" applyNumberFormat="1" applyFont="1" applyBorder="1"/>
    <xf numFmtId="217" fontId="163" fillId="0" borderId="0" xfId="0" applyNumberFormat="1" applyFont="1"/>
    <xf numFmtId="9" fontId="163" fillId="0" borderId="0" xfId="2" applyFont="1" applyBorder="1"/>
    <xf numFmtId="0" fontId="165" fillId="0" borderId="13" xfId="0" applyFont="1" applyBorder="1"/>
    <xf numFmtId="0" fontId="163" fillId="0" borderId="13" xfId="0" applyFont="1" applyBorder="1"/>
    <xf numFmtId="194" fontId="165" fillId="0" borderId="13" xfId="0" applyNumberFormat="1" applyFont="1" applyBorder="1"/>
    <xf numFmtId="223" fontId="163" fillId="0" borderId="0" xfId="0" applyNumberFormat="1" applyFont="1"/>
    <xf numFmtId="204" fontId="191" fillId="0" borderId="0" xfId="0" applyNumberFormat="1" applyFont="1" applyAlignment="1">
      <alignment horizontal="center"/>
    </xf>
    <xf numFmtId="3" fontId="191" fillId="0" borderId="16" xfId="0" applyNumberFormat="1" applyFont="1" applyBorder="1" applyAlignment="1">
      <alignment horizontal="right"/>
    </xf>
    <xf numFmtId="0" fontId="192" fillId="0" borderId="0" xfId="0" applyFont="1" applyAlignment="1">
      <alignment horizontal="right"/>
    </xf>
    <xf numFmtId="206" fontId="191" fillId="0" borderId="0" xfId="0" applyNumberFormat="1" applyFont="1"/>
    <xf numFmtId="199" fontId="166" fillId="0" borderId="24" xfId="0" applyNumberFormat="1" applyFont="1" applyBorder="1"/>
    <xf numFmtId="0" fontId="34" fillId="0" borderId="11" xfId="8" applyFont="1" applyBorder="1" applyAlignment="1">
      <alignment horizontal="right"/>
    </xf>
    <xf numFmtId="0" fontId="169" fillId="42" borderId="22" xfId="0" applyFont="1" applyFill="1" applyBorder="1" applyAlignment="1">
      <alignment horizontal="left"/>
    </xf>
    <xf numFmtId="0" fontId="169" fillId="42" borderId="13" xfId="0" applyFont="1" applyFill="1" applyBorder="1" applyAlignment="1">
      <alignment horizontal="center"/>
    </xf>
    <xf numFmtId="0" fontId="169" fillId="42" borderId="13" xfId="0" applyFont="1" applyFill="1" applyBorder="1" applyAlignment="1">
      <alignment horizontal="right"/>
    </xf>
    <xf numFmtId="204" fontId="172" fillId="0" borderId="0" xfId="0" applyNumberFormat="1" applyFont="1"/>
    <xf numFmtId="199" fontId="170" fillId="0" borderId="0" xfId="0" applyNumberFormat="1" applyFont="1"/>
    <xf numFmtId="194" fontId="166" fillId="0" borderId="0" xfId="0" applyNumberFormat="1" applyFont="1"/>
    <xf numFmtId="219" fontId="166" fillId="0" borderId="0" xfId="0" applyNumberFormat="1" applyFont="1"/>
    <xf numFmtId="204" fontId="169" fillId="10" borderId="13" xfId="0" applyNumberFormat="1" applyFont="1" applyFill="1" applyBorder="1"/>
    <xf numFmtId="9" fontId="169" fillId="10" borderId="13" xfId="2" applyFont="1" applyFill="1" applyBorder="1"/>
    <xf numFmtId="164" fontId="169" fillId="10" borderId="13" xfId="0" applyNumberFormat="1" applyFont="1" applyFill="1" applyBorder="1"/>
    <xf numFmtId="219" fontId="166" fillId="31" borderId="0" xfId="0" applyNumberFormat="1" applyFont="1" applyFill="1"/>
    <xf numFmtId="167" fontId="24" fillId="0" borderId="0" xfId="1" applyNumberFormat="1" applyFont="1"/>
    <xf numFmtId="6" fontId="34" fillId="0" borderId="27" xfId="1" applyNumberFormat="1" applyFont="1" applyFill="1" applyBorder="1" applyAlignment="1">
      <alignment horizontal="right"/>
    </xf>
    <xf numFmtId="164" fontId="188" fillId="46" borderId="0" xfId="2" applyNumberFormat="1" applyFont="1" applyFill="1"/>
    <xf numFmtId="165" fontId="73" fillId="0" borderId="24" xfId="1" applyNumberFormat="1" applyFont="1" applyFill="1" applyBorder="1" applyAlignment="1">
      <alignment horizontal="center"/>
    </xf>
    <xf numFmtId="165" fontId="81" fillId="0" borderId="0" xfId="1" applyNumberFormat="1" applyFont="1" applyBorder="1"/>
    <xf numFmtId="165" fontId="71" fillId="0" borderId="11" xfId="1" applyNumberFormat="1" applyFont="1" applyBorder="1"/>
    <xf numFmtId="165" fontId="71" fillId="0" borderId="0" xfId="1" applyNumberFormat="1" applyFont="1"/>
    <xf numFmtId="37" fontId="74" fillId="34" borderId="11" xfId="14" applyFont="1" applyFill="1" applyBorder="1"/>
    <xf numFmtId="165" fontId="71" fillId="31" borderId="11" xfId="1" applyNumberFormat="1" applyFont="1" applyFill="1" applyBorder="1"/>
    <xf numFmtId="37" fontId="71" fillId="0" borderId="40" xfId="14" applyFont="1" applyBorder="1"/>
    <xf numFmtId="165" fontId="73" fillId="0" borderId="40" xfId="1" applyNumberFormat="1" applyFont="1" applyFill="1" applyBorder="1" applyAlignment="1">
      <alignment horizontal="center"/>
    </xf>
    <xf numFmtId="165" fontId="73" fillId="0" borderId="72" xfId="1" applyNumberFormat="1" applyFont="1" applyFill="1" applyBorder="1" applyAlignment="1">
      <alignment horizontal="center"/>
    </xf>
    <xf numFmtId="165" fontId="81" fillId="0" borderId="40" xfId="1" applyNumberFormat="1" applyFont="1" applyBorder="1"/>
    <xf numFmtId="165" fontId="73" fillId="0" borderId="11" xfId="1" applyNumberFormat="1" applyFont="1" applyFill="1" applyBorder="1" applyAlignment="1">
      <alignment horizontal="center"/>
    </xf>
    <xf numFmtId="165" fontId="73" fillId="0" borderId="23" xfId="1" applyNumberFormat="1" applyFont="1" applyFill="1" applyBorder="1" applyAlignment="1">
      <alignment horizontal="center"/>
    </xf>
    <xf numFmtId="165" fontId="81" fillId="0" borderId="11" xfId="1" applyNumberFormat="1" applyFont="1" applyBorder="1"/>
    <xf numFmtId="37" fontId="72" fillId="8" borderId="0" xfId="14" applyFont="1" applyFill="1"/>
    <xf numFmtId="165" fontId="81" fillId="31" borderId="11" xfId="1" applyNumberFormat="1" applyFont="1" applyFill="1" applyBorder="1"/>
    <xf numFmtId="165" fontId="33" fillId="0" borderId="11" xfId="1" applyNumberFormat="1" applyFont="1" applyBorder="1" applyAlignment="1">
      <alignment horizontal="right"/>
    </xf>
    <xf numFmtId="9" fontId="41" fillId="0" borderId="0" xfId="2" applyFont="1"/>
    <xf numFmtId="0" fontId="191" fillId="0" borderId="16" xfId="0" applyFont="1" applyBorder="1" applyAlignment="1">
      <alignment horizontal="right"/>
    </xf>
    <xf numFmtId="224" fontId="163" fillId="0" borderId="0" xfId="0" applyNumberFormat="1" applyFont="1"/>
    <xf numFmtId="171" fontId="33" fillId="0" borderId="0" xfId="0" applyNumberFormat="1" applyFont="1" applyAlignment="1">
      <alignment horizontal="center"/>
    </xf>
    <xf numFmtId="198" fontId="166" fillId="0" borderId="16" xfId="0" applyNumberFormat="1" applyFont="1" applyBorder="1" applyAlignment="1">
      <alignment horizontal="center"/>
    </xf>
    <xf numFmtId="198" fontId="166" fillId="0" borderId="15" xfId="0" applyNumberFormat="1" applyFont="1" applyBorder="1" applyAlignment="1">
      <alignment horizontal="center"/>
    </xf>
    <xf numFmtId="164" fontId="60" fillId="0" borderId="0" xfId="2" applyNumberFormat="1" applyFont="1" applyFill="1" applyBorder="1" applyAlignment="1">
      <alignment horizontal="right"/>
    </xf>
    <xf numFmtId="164" fontId="72" fillId="0" borderId="0" xfId="2" applyNumberFormat="1" applyFont="1" applyFill="1" applyBorder="1"/>
    <xf numFmtId="9" fontId="163" fillId="0" borderId="0" xfId="2" applyFont="1"/>
    <xf numFmtId="194" fontId="163" fillId="0" borderId="0" xfId="2" applyNumberFormat="1" applyFont="1" applyBorder="1"/>
    <xf numFmtId="194" fontId="165" fillId="16" borderId="0" xfId="0" applyNumberFormat="1" applyFont="1" applyFill="1"/>
    <xf numFmtId="43" fontId="33" fillId="0" borderId="0" xfId="1" applyFont="1"/>
    <xf numFmtId="165" fontId="0" fillId="0" borderId="0" xfId="1" applyNumberFormat="1" applyFont="1" applyFill="1" applyBorder="1"/>
    <xf numFmtId="9" fontId="0" fillId="0" borderId="0" xfId="2" applyFont="1" applyFill="1" applyBorder="1"/>
    <xf numFmtId="167" fontId="33" fillId="0" borderId="0" xfId="1" applyNumberFormat="1" applyFont="1" applyFill="1" applyBorder="1"/>
    <xf numFmtId="0" fontId="0" fillId="47" borderId="0" xfId="0" applyFill="1"/>
    <xf numFmtId="0" fontId="115" fillId="47" borderId="0" xfId="0" applyFont="1" applyFill="1"/>
    <xf numFmtId="0" fontId="0" fillId="2" borderId="0" xfId="0" applyFill="1"/>
    <xf numFmtId="0" fontId="194" fillId="2" borderId="0" xfId="0" applyFont="1" applyFill="1" applyAlignment="1">
      <alignment horizontal="left" vertical="center"/>
    </xf>
    <xf numFmtId="5" fontId="41" fillId="29" borderId="0" xfId="9" applyNumberFormat="1" applyFont="1" applyFill="1" applyBorder="1" applyAlignment="1">
      <alignment horizontal="center"/>
    </xf>
    <xf numFmtId="0" fontId="138" fillId="0" borderId="0" xfId="0" applyFont="1"/>
    <xf numFmtId="0" fontId="137" fillId="0" borderId="0" xfId="0" applyFont="1" applyAlignment="1">
      <alignment horizontal="left" indent="1"/>
    </xf>
    <xf numFmtId="0" fontId="137" fillId="0" borderId="0" xfId="0" applyFont="1"/>
    <xf numFmtId="0" fontId="137" fillId="0" borderId="13" xfId="0" applyFont="1" applyBorder="1"/>
    <xf numFmtId="0" fontId="137" fillId="0" borderId="11" xfId="0" applyFont="1" applyBorder="1"/>
    <xf numFmtId="165" fontId="137" fillId="0" borderId="0" xfId="1" applyNumberFormat="1" applyFont="1"/>
    <xf numFmtId="9" fontId="137" fillId="0" borderId="0" xfId="2" applyFont="1"/>
    <xf numFmtId="165" fontId="137" fillId="0" borderId="0" xfId="0" applyNumberFormat="1" applyFont="1"/>
    <xf numFmtId="43" fontId="137" fillId="0" borderId="0" xfId="0" applyNumberFormat="1" applyFont="1"/>
    <xf numFmtId="5" fontId="137" fillId="0" borderId="0" xfId="0" applyNumberFormat="1" applyFont="1"/>
    <xf numFmtId="0" fontId="137" fillId="0" borderId="40" xfId="0" applyFont="1" applyBorder="1"/>
    <xf numFmtId="0" fontId="137" fillId="8" borderId="0" xfId="0" applyFont="1" applyFill="1"/>
    <xf numFmtId="0" fontId="137" fillId="0" borderId="0" xfId="0" applyFont="1" applyAlignment="1">
      <alignment horizontal="right"/>
    </xf>
    <xf numFmtId="0" fontId="138" fillId="0" borderId="19" xfId="0" applyFont="1" applyBorder="1"/>
    <xf numFmtId="0" fontId="137" fillId="0" borderId="12" xfId="0" applyFont="1" applyBorder="1"/>
    <xf numFmtId="0" fontId="137" fillId="0" borderId="18" xfId="0" applyFont="1" applyBorder="1"/>
    <xf numFmtId="0" fontId="195" fillId="0" borderId="17" xfId="0" applyFont="1" applyBorder="1" applyAlignment="1">
      <alignment horizontal="left"/>
    </xf>
    <xf numFmtId="0" fontId="137" fillId="0" borderId="16" xfId="0" applyFont="1" applyBorder="1"/>
    <xf numFmtId="165" fontId="137" fillId="0" borderId="16" xfId="1" applyNumberFormat="1" applyFont="1" applyBorder="1"/>
    <xf numFmtId="9" fontId="137" fillId="0" borderId="16" xfId="2" applyFont="1" applyBorder="1"/>
    <xf numFmtId="168" fontId="137" fillId="0" borderId="16" xfId="9" applyNumberFormat="1" applyFont="1" applyFill="1" applyBorder="1"/>
    <xf numFmtId="0" fontId="195" fillId="0" borderId="14" xfId="0" applyFont="1" applyBorder="1" applyAlignment="1">
      <alignment horizontal="left"/>
    </xf>
    <xf numFmtId="168" fontId="137" fillId="0" borderId="15" xfId="9" applyNumberFormat="1" applyFont="1" applyFill="1" applyBorder="1"/>
    <xf numFmtId="0" fontId="137" fillId="0" borderId="17" xfId="0" applyFont="1" applyBorder="1" applyAlignment="1">
      <alignment horizontal="left" indent="1"/>
    </xf>
    <xf numFmtId="0" fontId="137" fillId="0" borderId="14" xfId="0" applyFont="1" applyBorder="1" applyAlignment="1">
      <alignment horizontal="left" indent="1"/>
    </xf>
    <xf numFmtId="165" fontId="137" fillId="0" borderId="15" xfId="1" applyNumberFormat="1" applyFont="1" applyBorder="1"/>
    <xf numFmtId="0" fontId="138" fillId="0" borderId="17" xfId="0" applyFont="1" applyBorder="1" applyAlignment="1">
      <alignment horizontal="left"/>
    </xf>
    <xf numFmtId="165" fontId="137" fillId="0" borderId="16" xfId="0" applyNumberFormat="1" applyFont="1" applyBorder="1"/>
    <xf numFmtId="0" fontId="137" fillId="0" borderId="17" xfId="0" applyFont="1" applyBorder="1"/>
    <xf numFmtId="0" fontId="138" fillId="0" borderId="17" xfId="0" applyFont="1" applyBorder="1"/>
    <xf numFmtId="0" fontId="138" fillId="0" borderId="14" xfId="0" applyFont="1" applyBorder="1" applyAlignment="1">
      <alignment horizontal="left" indent="1"/>
    </xf>
    <xf numFmtId="0" fontId="137" fillId="0" borderId="15" xfId="0" applyFont="1" applyBorder="1"/>
    <xf numFmtId="0" fontId="196" fillId="0" borderId="14" xfId="0" applyFont="1" applyBorder="1" applyAlignment="1">
      <alignment horizontal="left" indent="1"/>
    </xf>
    <xf numFmtId="9" fontId="137" fillId="0" borderId="15" xfId="2" applyFont="1" applyBorder="1"/>
    <xf numFmtId="0" fontId="137" fillId="8" borderId="17" xfId="0" applyFont="1" applyFill="1" applyBorder="1" applyAlignment="1">
      <alignment horizontal="left" indent="3"/>
    </xf>
    <xf numFmtId="165" fontId="137" fillId="8" borderId="16" xfId="1" applyNumberFormat="1" applyFont="1" applyFill="1" applyBorder="1"/>
    <xf numFmtId="0" fontId="137" fillId="0" borderId="22" xfId="0" applyFont="1" applyBorder="1"/>
    <xf numFmtId="0" fontId="137" fillId="0" borderId="20" xfId="0" applyFont="1" applyBorder="1"/>
    <xf numFmtId="0" fontId="196" fillId="0" borderId="17" xfId="0" applyFont="1" applyBorder="1"/>
    <xf numFmtId="0" fontId="138" fillId="0" borderId="17" xfId="0" applyFont="1" applyBorder="1" applyAlignment="1">
      <alignment horizontal="left" indent="1"/>
    </xf>
    <xf numFmtId="0" fontId="196" fillId="0" borderId="17" xfId="0" applyFont="1" applyBorder="1" applyAlignment="1">
      <alignment horizontal="left" indent="2"/>
    </xf>
    <xf numFmtId="10" fontId="137" fillId="0" borderId="16" xfId="0" applyNumberFormat="1" applyFont="1" applyBorder="1"/>
    <xf numFmtId="0" fontId="138" fillId="0" borderId="14" xfId="0" applyFont="1" applyBorder="1"/>
    <xf numFmtId="0" fontId="137" fillId="0" borderId="17" xfId="0" applyFont="1" applyBorder="1" applyAlignment="1">
      <alignment horizontal="left" indent="2"/>
    </xf>
    <xf numFmtId="9" fontId="137" fillId="0" borderId="16" xfId="0" applyNumberFormat="1" applyFont="1" applyBorder="1"/>
    <xf numFmtId="0" fontId="137" fillId="0" borderId="14" xfId="0" applyFont="1" applyBorder="1"/>
    <xf numFmtId="0" fontId="138" fillId="0" borderId="22" xfId="0" applyFont="1" applyBorder="1"/>
    <xf numFmtId="0" fontId="138" fillId="8" borderId="14" xfId="0" applyFont="1" applyFill="1" applyBorder="1"/>
    <xf numFmtId="0" fontId="138" fillId="8" borderId="11" xfId="0" applyFont="1" applyFill="1" applyBorder="1"/>
    <xf numFmtId="5" fontId="138" fillId="8" borderId="15" xfId="0" applyNumberFormat="1" applyFont="1" applyFill="1" applyBorder="1"/>
    <xf numFmtId="0" fontId="137" fillId="0" borderId="73" xfId="0" applyFont="1" applyBorder="1" applyAlignment="1">
      <alignment horizontal="left" indent="1"/>
    </xf>
    <xf numFmtId="165" fontId="137" fillId="0" borderId="15" xfId="0" applyNumberFormat="1" applyFont="1" applyBorder="1"/>
    <xf numFmtId="165" fontId="137" fillId="0" borderId="20" xfId="0" applyNumberFormat="1" applyFont="1" applyBorder="1"/>
    <xf numFmtId="7" fontId="137" fillId="0" borderId="0" xfId="0" applyNumberFormat="1" applyFont="1"/>
    <xf numFmtId="0" fontId="195" fillId="0" borderId="0" xfId="22" applyFont="1" applyAlignment="1">
      <alignment horizontal="center"/>
    </xf>
    <xf numFmtId="0" fontId="195" fillId="0" borderId="0" xfId="22" applyFont="1"/>
    <xf numFmtId="0" fontId="197" fillId="0" borderId="40" xfId="0" applyFont="1" applyBorder="1"/>
    <xf numFmtId="0" fontId="196" fillId="0" borderId="40" xfId="0" applyFont="1" applyBorder="1"/>
    <xf numFmtId="0" fontId="198" fillId="0" borderId="0" xfId="0" applyFont="1"/>
    <xf numFmtId="0" fontId="139" fillId="48" borderId="22" xfId="22" applyFont="1" applyFill="1" applyBorder="1" applyAlignment="1">
      <alignment horizontal="center" wrapText="1"/>
    </xf>
    <xf numFmtId="0" fontId="139" fillId="48" borderId="13" xfId="22" applyFont="1" applyFill="1" applyBorder="1" applyAlignment="1">
      <alignment horizontal="center" wrapText="1"/>
    </xf>
    <xf numFmtId="195" fontId="199" fillId="0" borderId="20" xfId="22" applyNumberFormat="1" applyFont="1" applyBorder="1" applyAlignment="1">
      <alignment horizontal="center" wrapText="1"/>
    </xf>
    <xf numFmtId="0" fontId="137" fillId="0" borderId="0" xfId="22" applyFont="1"/>
    <xf numFmtId="0" fontId="137" fillId="0" borderId="20" xfId="22" applyFont="1" applyBorder="1" applyAlignment="1">
      <alignment horizontal="center"/>
    </xf>
    <xf numFmtId="0" fontId="200" fillId="0" borderId="0" xfId="22" applyFont="1" applyAlignment="1">
      <alignment horizontal="center" wrapText="1"/>
    </xf>
    <xf numFmtId="195" fontId="195" fillId="0" borderId="0" xfId="22" applyNumberFormat="1" applyFont="1" applyAlignment="1">
      <alignment horizontal="center" wrapText="1"/>
    </xf>
    <xf numFmtId="0" fontId="137" fillId="0" borderId="0" xfId="22" applyFont="1" applyAlignment="1">
      <alignment horizontal="center"/>
    </xf>
    <xf numFmtId="0" fontId="139" fillId="48" borderId="20" xfId="22" applyFont="1" applyFill="1" applyBorder="1" applyAlignment="1">
      <alignment horizontal="center" wrapText="1"/>
    </xf>
    <xf numFmtId="195" fontId="195" fillId="0" borderId="20" xfId="22" applyNumberFormat="1" applyFont="1" applyBorder="1" applyAlignment="1">
      <alignment horizontal="center" wrapText="1"/>
    </xf>
    <xf numFmtId="0" fontId="137" fillId="0" borderId="21" xfId="22" applyFont="1" applyBorder="1" applyAlignment="1">
      <alignment horizontal="center"/>
    </xf>
    <xf numFmtId="0" fontId="195" fillId="0" borderId="0" xfId="22" applyFont="1" applyAlignment="1">
      <alignment horizontal="center" wrapText="1"/>
    </xf>
    <xf numFmtId="0" fontId="139" fillId="48" borderId="64" xfId="22" applyFont="1" applyFill="1" applyBorder="1" applyAlignment="1">
      <alignment horizontal="center" wrapText="1"/>
    </xf>
    <xf numFmtId="0" fontId="139" fillId="48" borderId="65" xfId="22" applyFont="1" applyFill="1" applyBorder="1" applyAlignment="1">
      <alignment horizontal="center" wrapText="1"/>
    </xf>
    <xf numFmtId="0" fontId="195" fillId="0" borderId="65" xfId="22" applyFont="1" applyBorder="1" applyAlignment="1">
      <alignment horizontal="center" wrapText="1"/>
    </xf>
    <xf numFmtId="0" fontId="137" fillId="0" borderId="65" xfId="22" applyFont="1" applyBorder="1" applyAlignment="1">
      <alignment horizontal="center"/>
    </xf>
    <xf numFmtId="14" fontId="137" fillId="0" borderId="0" xfId="22" applyNumberFormat="1" applyFont="1"/>
    <xf numFmtId="0" fontId="139" fillId="9" borderId="64" xfId="22" applyFont="1" applyFill="1" applyBorder="1" applyAlignment="1">
      <alignment horizontal="centerContinuous"/>
    </xf>
    <xf numFmtId="0" fontId="140" fillId="9" borderId="66" xfId="22" applyFont="1" applyFill="1" applyBorder="1" applyAlignment="1">
      <alignment horizontal="centerContinuous"/>
    </xf>
    <xf numFmtId="0" fontId="140" fillId="9" borderId="65" xfId="22" applyFont="1" applyFill="1" applyBorder="1" applyAlignment="1">
      <alignment horizontal="centerContinuous"/>
    </xf>
    <xf numFmtId="0" fontId="137" fillId="0" borderId="67" xfId="22" applyFont="1" applyBorder="1"/>
    <xf numFmtId="194" fontId="195" fillId="0" borderId="0" xfId="22" applyNumberFormat="1" applyFont="1" applyAlignment="1">
      <alignment horizontal="right" wrapText="1"/>
    </xf>
    <xf numFmtId="194" fontId="137" fillId="0" borderId="0" xfId="22" applyNumberFormat="1" applyFont="1" applyAlignment="1">
      <alignment horizontal="right" wrapText="1"/>
    </xf>
    <xf numFmtId="194" fontId="137" fillId="0" borderId="68" xfId="22" applyNumberFormat="1" applyFont="1" applyBorder="1" applyAlignment="1">
      <alignment horizontal="right" wrapText="1"/>
    </xf>
    <xf numFmtId="0" fontId="196" fillId="0" borderId="0" xfId="22" applyFont="1"/>
    <xf numFmtId="0" fontId="138" fillId="10" borderId="64" xfId="22" applyFont="1" applyFill="1" applyBorder="1" applyAlignment="1">
      <alignment wrapText="1"/>
    </xf>
    <xf numFmtId="194" fontId="138" fillId="10" borderId="66" xfId="22" applyNumberFormat="1" applyFont="1" applyFill="1" applyBorder="1" applyAlignment="1">
      <alignment horizontal="right" wrapText="1"/>
    </xf>
    <xf numFmtId="194" fontId="138" fillId="10" borderId="65" xfId="22" applyNumberFormat="1" applyFont="1" applyFill="1" applyBorder="1" applyAlignment="1">
      <alignment horizontal="right" wrapText="1"/>
    </xf>
    <xf numFmtId="0" fontId="137" fillId="0" borderId="69" xfId="22" applyFont="1" applyBorder="1"/>
    <xf numFmtId="194" fontId="195" fillId="0" borderId="70" xfId="22" applyNumberFormat="1" applyFont="1" applyBorder="1" applyAlignment="1">
      <alignment horizontal="right" wrapText="1"/>
    </xf>
    <xf numFmtId="194" fontId="137" fillId="0" borderId="70" xfId="22" applyNumberFormat="1" applyFont="1" applyBorder="1" applyAlignment="1">
      <alignment horizontal="right" wrapText="1"/>
    </xf>
    <xf numFmtId="194" fontId="137" fillId="0" borderId="71" xfId="22" applyNumberFormat="1" applyFont="1" applyBorder="1" applyAlignment="1">
      <alignment horizontal="right" wrapText="1"/>
    </xf>
    <xf numFmtId="0" fontId="137" fillId="12" borderId="0" xfId="22" applyFont="1" applyFill="1"/>
    <xf numFmtId="0" fontId="202" fillId="0" borderId="0" xfId="22" applyFont="1" applyAlignment="1">
      <alignment horizontal="center"/>
    </xf>
    <xf numFmtId="0" fontId="203" fillId="0" borderId="0" xfId="22" applyFont="1"/>
    <xf numFmtId="0" fontId="202" fillId="0" borderId="0" xfId="22" applyFont="1"/>
    <xf numFmtId="0" fontId="139" fillId="48" borderId="71" xfId="22" applyFont="1" applyFill="1" applyBorder="1" applyAlignment="1">
      <alignment horizontal="center" wrapText="1"/>
    </xf>
    <xf numFmtId="0" fontId="137" fillId="0" borderId="22" xfId="22" applyFont="1" applyBorder="1"/>
    <xf numFmtId="194" fontId="195" fillId="0" borderId="13" xfId="22" applyNumberFormat="1" applyFont="1" applyBorder="1" applyAlignment="1">
      <alignment horizontal="right" wrapText="1"/>
    </xf>
    <xf numFmtId="194" fontId="137" fillId="0" borderId="13" xfId="22" applyNumberFormat="1" applyFont="1" applyBorder="1" applyAlignment="1">
      <alignment horizontal="right" wrapText="1"/>
    </xf>
    <xf numFmtId="194" fontId="137" fillId="0" borderId="20" xfId="22" applyNumberFormat="1" applyFont="1" applyBorder="1" applyAlignment="1">
      <alignment horizontal="right" wrapText="1"/>
    </xf>
    <xf numFmtId="0" fontId="139" fillId="9" borderId="19" xfId="0" applyFont="1" applyFill="1" applyBorder="1"/>
    <xf numFmtId="0" fontId="140" fillId="9" borderId="12" xfId="0" applyFont="1" applyFill="1" applyBorder="1"/>
    <xf numFmtId="0" fontId="140" fillId="9" borderId="18" xfId="0" applyFont="1" applyFill="1" applyBorder="1"/>
    <xf numFmtId="0" fontId="195" fillId="0" borderId="0" xfId="0" applyFont="1" applyAlignment="1">
      <alignment horizontal="left"/>
    </xf>
    <xf numFmtId="168" fontId="137" fillId="0" borderId="0" xfId="9" applyNumberFormat="1" applyFont="1" applyFill="1" applyBorder="1"/>
    <xf numFmtId="0" fontId="139" fillId="9" borderId="22" xfId="0" applyFont="1" applyFill="1" applyBorder="1"/>
    <xf numFmtId="0" fontId="139" fillId="9" borderId="13" xfId="0" applyFont="1" applyFill="1" applyBorder="1"/>
    <xf numFmtId="0" fontId="139" fillId="9" borderId="20" xfId="0" applyFont="1" applyFill="1" applyBorder="1"/>
    <xf numFmtId="165" fontId="137" fillId="0" borderId="16" xfId="1" applyNumberFormat="1" applyFont="1" applyFill="1" applyBorder="1"/>
    <xf numFmtId="0" fontId="137" fillId="0" borderId="0" xfId="22" applyFont="1" applyAlignment="1">
      <alignment horizontal="right"/>
    </xf>
    <xf numFmtId="0" fontId="201" fillId="0" borderId="0" xfId="22" applyFont="1" applyAlignment="1">
      <alignment horizontal="right" wrapText="1"/>
    </xf>
    <xf numFmtId="0" fontId="138" fillId="10" borderId="66" xfId="22" applyFont="1" applyFill="1" applyBorder="1" applyAlignment="1">
      <alignment horizontal="right" wrapText="1"/>
    </xf>
    <xf numFmtId="0" fontId="137" fillId="0" borderId="70" xfId="22" applyFont="1" applyBorder="1" applyAlignment="1">
      <alignment horizontal="right"/>
    </xf>
    <xf numFmtId="0" fontId="201" fillId="0" borderId="70" xfId="22" applyFont="1" applyBorder="1" applyAlignment="1">
      <alignment horizontal="right"/>
    </xf>
    <xf numFmtId="0" fontId="137" fillId="12" borderId="0" xfId="22" applyFont="1" applyFill="1" applyAlignment="1">
      <alignment horizontal="right"/>
    </xf>
    <xf numFmtId="0" fontId="137" fillId="0" borderId="13" xfId="22" applyFont="1" applyBorder="1" applyAlignment="1">
      <alignment horizontal="right"/>
    </xf>
    <xf numFmtId="0" fontId="201" fillId="0" borderId="13" xfId="22" applyFont="1" applyBorder="1" applyAlignment="1">
      <alignment horizontal="right"/>
    </xf>
    <xf numFmtId="0" fontId="139" fillId="0" borderId="0" xfId="22" applyFont="1" applyAlignment="1">
      <alignment horizontal="center" wrapText="1"/>
    </xf>
    <xf numFmtId="0" fontId="201" fillId="0" borderId="0" xfId="22" applyFont="1" applyAlignment="1">
      <alignment horizontal="center"/>
    </xf>
    <xf numFmtId="0" fontId="139" fillId="48" borderId="69" xfId="22" applyFont="1" applyFill="1" applyBorder="1" applyAlignment="1">
      <alignment horizontal="center" wrapText="1"/>
    </xf>
    <xf numFmtId="0" fontId="137" fillId="0" borderId="71" xfId="22" applyFont="1" applyBorder="1" applyAlignment="1">
      <alignment horizontal="center"/>
    </xf>
    <xf numFmtId="0" fontId="201" fillId="0" borderId="71" xfId="22" applyFont="1" applyBorder="1" applyAlignment="1">
      <alignment horizontal="center"/>
    </xf>
    <xf numFmtId="0" fontId="139" fillId="48" borderId="75" xfId="22" applyFont="1" applyFill="1" applyBorder="1" applyAlignment="1">
      <alignment horizontal="left" wrapText="1"/>
    </xf>
    <xf numFmtId="0" fontId="139" fillId="48" borderId="76" xfId="22" applyFont="1" applyFill="1" applyBorder="1" applyAlignment="1">
      <alignment horizontal="right" wrapText="1"/>
    </xf>
    <xf numFmtId="0" fontId="139" fillId="48" borderId="77" xfId="22" applyFont="1" applyFill="1" applyBorder="1" applyAlignment="1">
      <alignment horizontal="right" wrapText="1"/>
    </xf>
    <xf numFmtId="0" fontId="139" fillId="48" borderId="67" xfId="22" applyFont="1" applyFill="1" applyBorder="1" applyAlignment="1">
      <alignment horizontal="left" wrapText="1"/>
    </xf>
    <xf numFmtId="0" fontId="139" fillId="48" borderId="0" xfId="22" applyFont="1" applyFill="1" applyAlignment="1">
      <alignment horizontal="right" wrapText="1"/>
    </xf>
    <xf numFmtId="0" fontId="139" fillId="48" borderId="68" xfId="22" applyFont="1" applyFill="1" applyBorder="1" applyAlignment="1">
      <alignment horizontal="right" wrapText="1"/>
    </xf>
    <xf numFmtId="0" fontId="139" fillId="9" borderId="69" xfId="22" applyFont="1" applyFill="1" applyBorder="1" applyAlignment="1">
      <alignment horizontal="centerContinuous"/>
    </xf>
    <xf numFmtId="0" fontId="140" fillId="9" borderId="70" xfId="22" applyFont="1" applyFill="1" applyBorder="1" applyAlignment="1">
      <alignment horizontal="centerContinuous"/>
    </xf>
    <xf numFmtId="0" fontId="140" fillId="9" borderId="71" xfId="22" applyFont="1" applyFill="1" applyBorder="1" applyAlignment="1">
      <alignment horizontal="centerContinuous"/>
    </xf>
    <xf numFmtId="165" fontId="137" fillId="0" borderId="74" xfId="1" applyNumberFormat="1" applyFont="1" applyBorder="1"/>
    <xf numFmtId="0" fontId="160" fillId="41" borderId="59" xfId="24" applyFont="1" applyFill="1" applyBorder="1" applyAlignment="1"/>
    <xf numFmtId="0" fontId="160" fillId="41" borderId="53" xfId="24" applyFont="1" applyFill="1" applyBorder="1" applyAlignment="1"/>
    <xf numFmtId="0" fontId="160" fillId="41" borderId="54" xfId="24" applyFont="1" applyFill="1" applyBorder="1" applyAlignment="1"/>
    <xf numFmtId="14" fontId="119" fillId="0" borderId="55" xfId="24" applyNumberFormat="1" applyFont="1" applyBorder="1" applyAlignment="1"/>
    <xf numFmtId="10" fontId="119" fillId="0" borderId="56" xfId="24" applyNumberFormat="1" applyFont="1" applyBorder="1" applyAlignment="1">
      <alignment horizontal="center" vertical="center"/>
    </xf>
    <xf numFmtId="14" fontId="119" fillId="0" borderId="57" xfId="24" applyNumberFormat="1" applyFont="1" applyBorder="1" applyAlignment="1"/>
    <xf numFmtId="10" fontId="119" fillId="0" borderId="58" xfId="24" applyNumberFormat="1" applyFont="1" applyBorder="1" applyAlignment="1">
      <alignment horizontal="center" vertical="center"/>
    </xf>
    <xf numFmtId="14" fontId="119" fillId="0" borderId="0" xfId="24" applyNumberFormat="1" applyFont="1" applyAlignment="1"/>
    <xf numFmtId="14" fontId="119" fillId="0" borderId="60" xfId="24" applyNumberFormat="1" applyFont="1" applyBorder="1" applyAlignment="1"/>
    <xf numFmtId="165" fontId="111" fillId="10" borderId="11" xfId="1" applyNumberFormat="1" applyFont="1" applyFill="1" applyBorder="1" applyAlignment="1">
      <alignment horizontal="right"/>
    </xf>
    <xf numFmtId="165" fontId="60" fillId="10" borderId="15" xfId="1" applyNumberFormat="1" applyFont="1" applyFill="1" applyBorder="1" applyAlignment="1">
      <alignment horizontal="right"/>
    </xf>
    <xf numFmtId="168" fontId="34" fillId="0" borderId="78" xfId="0" applyNumberFormat="1" applyFont="1" applyBorder="1"/>
    <xf numFmtId="168" fontId="34" fillId="0" borderId="79" xfId="0" applyNumberFormat="1" applyFont="1" applyBorder="1"/>
    <xf numFmtId="168" fontId="34" fillId="0" borderId="79" xfId="0" applyNumberFormat="1" applyFont="1" applyBorder="1" applyAlignment="1">
      <alignment horizontal="right"/>
    </xf>
    <xf numFmtId="10" fontId="34" fillId="0" borderId="79" xfId="2" applyNumberFormat="1" applyFont="1" applyFill="1" applyBorder="1" applyAlignment="1">
      <alignment horizontal="right"/>
    </xf>
    <xf numFmtId="10" fontId="34" fillId="0" borderId="80" xfId="2" applyNumberFormat="1" applyFont="1" applyFill="1" applyBorder="1" applyAlignment="1">
      <alignment horizontal="right"/>
    </xf>
    <xf numFmtId="43" fontId="69" fillId="0" borderId="0" xfId="0" applyNumberFormat="1" applyFont="1"/>
    <xf numFmtId="5" fontId="33" fillId="2" borderId="0" xfId="0" applyNumberFormat="1" applyFont="1" applyFill="1"/>
    <xf numFmtId="0" fontId="115" fillId="32" borderId="24" xfId="0" applyFont="1" applyFill="1" applyBorder="1" applyAlignment="1">
      <alignment horizontal="center" vertical="center" textRotation="90" wrapText="1"/>
    </xf>
    <xf numFmtId="0" fontId="115" fillId="32" borderId="23" xfId="0" applyFont="1" applyFill="1" applyBorder="1" applyAlignment="1">
      <alignment horizontal="center" vertical="center" textRotation="90" wrapText="1"/>
    </xf>
    <xf numFmtId="37" fontId="73" fillId="0" borderId="19" xfId="14" applyFont="1" applyBorder="1" applyAlignment="1">
      <alignment horizontal="left" wrapText="1"/>
    </xf>
    <xf numFmtId="37" fontId="73" fillId="0" borderId="12" xfId="14" applyFont="1" applyBorder="1" applyAlignment="1">
      <alignment horizontal="left" wrapText="1"/>
    </xf>
    <xf numFmtId="38" fontId="73" fillId="0" borderId="22" xfId="14" applyNumberFormat="1" applyFont="1" applyBorder="1" applyAlignment="1">
      <alignment horizontal="left" wrapText="1"/>
    </xf>
    <xf numFmtId="38" fontId="73" fillId="0" borderId="13" xfId="14" applyNumberFormat="1" applyFont="1" applyBorder="1" applyAlignment="1">
      <alignment horizontal="left" wrapText="1"/>
    </xf>
    <xf numFmtId="37" fontId="73" fillId="0" borderId="17" xfId="14" applyFont="1" applyBorder="1" applyAlignment="1">
      <alignment horizontal="left" wrapText="1"/>
    </xf>
    <xf numFmtId="37" fontId="73" fillId="0" borderId="0" xfId="14" applyFont="1" applyAlignment="1">
      <alignment horizontal="left" wrapText="1"/>
    </xf>
    <xf numFmtId="37" fontId="73" fillId="0" borderId="14" xfId="14" applyFont="1" applyBorder="1" applyAlignment="1">
      <alignment horizontal="left"/>
    </xf>
    <xf numFmtId="37" fontId="73" fillId="0" borderId="11" xfId="14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30">
    <cellStyle name="Comma" xfId="1" builtinId="3"/>
    <cellStyle name="Comma [0] 2" xfId="29" xr:uid="{07C4DB98-399B-4FB9-87D0-C1E8D6D7FE8B}"/>
    <cellStyle name="Comma 10 2" xfId="4" xr:uid="{00000000-0005-0000-0000-000001000000}"/>
    <cellStyle name="Comma 2" xfId="28" xr:uid="{A8754D8D-BCEA-4D3E-89F6-B15BDD341795}"/>
    <cellStyle name="Comma 84" xfId="6" xr:uid="{00000000-0005-0000-0000-000002000000}"/>
    <cellStyle name="Comma 85" xfId="7" xr:uid="{00000000-0005-0000-0000-000003000000}"/>
    <cellStyle name="Currency" xfId="9" builtinId="4"/>
    <cellStyle name="Currency [0] 2" xfId="27" xr:uid="{B73698B2-2AF2-47B9-B650-AB49D7E87C65}"/>
    <cellStyle name="Currency 2" xfId="26" xr:uid="{51F536D3-48ED-4270-9EB1-F581F5156D2B}"/>
    <cellStyle name="Good 2" xfId="13" xr:uid="{00000000-0005-0000-0000-000005000000}"/>
    <cellStyle name="Hyperlink" xfId="19" builtinId="8"/>
    <cellStyle name="Input" xfId="20" builtinId="20"/>
    <cellStyle name="Normal" xfId="0" builtinId="0"/>
    <cellStyle name="Normal 14" xfId="17" xr:uid="{00000000-0005-0000-0000-000007000000}"/>
    <cellStyle name="Normal 17" xfId="21" xr:uid="{7F0360ED-E81F-4C49-9ECB-71E4A0B26F12}"/>
    <cellStyle name="Normal 2" xfId="8" xr:uid="{00000000-0005-0000-0000-000008000000}"/>
    <cellStyle name="Normal 2 2" xfId="23" xr:uid="{6122D30B-4823-48A5-98E0-7F0F5DDE38A7}"/>
    <cellStyle name="Normal 2 7 7" xfId="11" xr:uid="{00000000-0005-0000-0000-000009000000}"/>
    <cellStyle name="Normal 234" xfId="3" xr:uid="{00000000-0005-0000-0000-00000A000000}"/>
    <cellStyle name="Normal 3" xfId="12" xr:uid="{00000000-0005-0000-0000-00000B000000}"/>
    <cellStyle name="Normal 4" xfId="18" xr:uid="{00000000-0005-0000-0000-00000C000000}"/>
    <cellStyle name="Normal 5" xfId="24" xr:uid="{7D23F012-07B7-4384-A0B4-BF6AF9A5EBF5}"/>
    <cellStyle name="Normal 7" xfId="22" xr:uid="{BA16B4F0-79C4-438C-9EFC-0D6F684EBBAA}"/>
    <cellStyle name="Normal_CC- Lev CCP V2" xfId="14" xr:uid="{00000000-0005-0000-0000-00000D000000}"/>
    <cellStyle name="Normal_VINMMAS- 2010 Budget" xfId="10" xr:uid="{00000000-0005-0000-0000-00000E000000}"/>
    <cellStyle name="Percent" xfId="2" builtinId="5"/>
    <cellStyle name="Percent 2" xfId="15" xr:uid="{00000000-0005-0000-0000-000010000000}"/>
    <cellStyle name="Percent 3" xfId="16" xr:uid="{00000000-0005-0000-0000-000011000000}"/>
    <cellStyle name="Percent 31" xfId="5" xr:uid="{00000000-0005-0000-0000-000012000000}"/>
    <cellStyle name="Percent 4" xfId="25" xr:uid="{1D000F77-356C-4481-9FAE-FB12C8C5350D}"/>
  </cellStyles>
  <dxfs count="0"/>
  <tableStyles count="0" defaultTableStyle="TableStyleMedium2" defaultPivotStyle="PivotStyleLight16"/>
  <colors>
    <mruColors>
      <color rgb="FF007D00"/>
      <color rgb="FF1C476E"/>
      <color rgb="FFFFCCFF"/>
      <color rgb="FF0000FF"/>
      <color rgb="FFCCFFFF"/>
      <color rgb="FFFFFFCC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3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externalLink" Target="externalLinks/externalLink27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externalLink" Target="externalLinks/externalLink28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62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externalLink" Target="externalLinks/externalLink29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C5F-41FA-B7B7-BD845486C23A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5F-41FA-B7B7-BD845486C2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EB-43D1-83C3-0820293985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F-41FA-B7B7-BD845486C23A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35-4A3F-9635-8A09EABCF4B0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Comps'!$F$54:$F$58</c:f>
              <c:numCache>
                <c:formatCode>_(* #,##0_);_(* \(#,##0\);_(* "-"??_);_(@_)</c:formatCode>
                <c:ptCount val="5"/>
                <c:pt idx="0" formatCode="General">
                  <c:v>72</c:v>
                </c:pt>
                <c:pt idx="1">
                  <c:v>129</c:v>
                </c:pt>
                <c:pt idx="2">
                  <c:v>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F-41FA-B7B7-BD845486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46-407C-B7C4-0F39D8AB5B96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46-407C-B7C4-0F39D8AB5B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46-407C-B7C4-0F39D8AB5B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46-407C-B7C4-0F39D8AB5B96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50-4D84-A7A4-D5022DA4C6F4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Comps'!$H$54:$H$58</c:f>
              <c:numCache>
                <c:formatCode>_(* #,##0_);_(* \(#,##0\);_(* "-"??_);_(@_)</c:formatCode>
                <c:ptCount val="5"/>
                <c:pt idx="0" formatCode="General">
                  <c:v>69</c:v>
                </c:pt>
                <c:pt idx="1">
                  <c:v>153</c:v>
                </c:pt>
                <c:pt idx="2">
                  <c:v>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6-407C-B7C4-0F39D8AB5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97-42E7-BD00-32F67A7FF558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97-42E7-BD00-32F67A7FF5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97-42E7-BD00-32F67A7FF5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97-42E7-BD00-32F67A7FF558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99-489B-B963-B06FC1FA9411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Comps'!$J$54:$J$58</c:f>
              <c:numCache>
                <c:formatCode>_(* #,##0_);_(* \(#,##0\);_(* "-"??_);_(@_)</c:formatCode>
                <c:ptCount val="5"/>
                <c:pt idx="0" formatCode="General">
                  <c:v>16</c:v>
                </c:pt>
                <c:pt idx="1">
                  <c:v>144</c:v>
                </c:pt>
                <c:pt idx="2">
                  <c:v>78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97-42E7-BD00-32F67A7F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6-4935-A9DB-2D7C386FB685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46-4935-A9DB-2D7C386FB6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46-4935-A9DB-2D7C386FB6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46-4935-A9DB-2D7C386FB685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9F-497E-B5E9-2875051F2102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Comps'!$D$54:$D$58</c:f>
              <c:numCache>
                <c:formatCode>General</c:formatCode>
                <c:ptCount val="5"/>
                <c:pt idx="0">
                  <c:v>12</c:v>
                </c:pt>
                <c:pt idx="1">
                  <c:v>76</c:v>
                </c:pt>
                <c:pt idx="2">
                  <c:v>37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46-4935-A9DB-2D7C386FB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AD-4F48-B37B-3A82D276ABA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AD-4F48-B37B-3A82D276AB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AD-4F48-B37B-3A82D276AB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AD-4F48-B37B-3A82D276AB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AD-4F48-B37B-3A82D276ABAE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Comps'!$M$54:$M$58</c:f>
              <c:numCache>
                <c:formatCode>_(* #,##0_);_(* \(#,##0\);_(* "-"??_);_(@_)</c:formatCode>
                <c:ptCount val="5"/>
                <c:pt idx="0" formatCode="General">
                  <c:v>79</c:v>
                </c:pt>
                <c:pt idx="1">
                  <c:v>168.00000000000003</c:v>
                </c:pt>
                <c:pt idx="2">
                  <c:v>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AD-4F48-B37B-3A82D276A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8F-42AD-A2E9-ED0B2BB027B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8F-42AD-A2E9-ED0B2BB027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8F-42AD-A2E9-ED0B2BB027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8F-42AD-A2E9-ED0B2BB027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8F-42AD-A2E9-ED0B2BB027BD}"/>
              </c:ext>
            </c:extLst>
          </c:dPt>
          <c:cat>
            <c:strRef>
              <c:f>'Rent Comps'!$B$54:$B$58</c:f>
              <c:strCache>
                <c:ptCount val="5"/>
                <c:pt idx="0">
                  <c:v>Studio</c:v>
                </c:pt>
                <c:pt idx="1">
                  <c:v>1 bed</c:v>
                </c:pt>
                <c:pt idx="2">
                  <c:v>2 bed</c:v>
                </c:pt>
                <c:pt idx="3">
                  <c:v>2 bed +</c:v>
                </c:pt>
                <c:pt idx="4">
                  <c:v>Loft</c:v>
                </c:pt>
              </c:strCache>
            </c:strRef>
          </c:cat>
          <c:val>
            <c:numRef>
              <c:f>'Rent Comps'!$O$54:$O$58</c:f>
              <c:numCache>
                <c:formatCode>_(* #,##0_);_(* \(#,##0\);_(* "-"??_);_(@_)</c:formatCode>
                <c:ptCount val="5"/>
                <c:pt idx="1">
                  <c:v>190</c:v>
                </c:pt>
                <c:pt idx="2">
                  <c:v>46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8F-42AD-A2E9-ED0B2BB0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R$4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30</xdr:col>
      <xdr:colOff>231182</xdr:colOff>
      <xdr:row>54</xdr:row>
      <xdr:rowOff>96694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"/>
          <a:ext cx="18500132" cy="10345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530678</xdr:colOff>
      <xdr:row>0</xdr:row>
      <xdr:rowOff>40823</xdr:rowOff>
    </xdr:from>
    <xdr:to>
      <xdr:col>2</xdr:col>
      <xdr:colOff>214422</xdr:colOff>
      <xdr:row>3</xdr:row>
      <xdr:rowOff>181910</xdr:rowOff>
    </xdr:to>
    <xdr:pic>
      <xdr:nvPicPr>
        <xdr:cNvPr id="4" name="Picture 3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67" t="29678" r="12425" b="29516"/>
        <a:stretch/>
      </xdr:blipFill>
      <xdr:spPr bwMode="auto">
        <a:xfrm>
          <a:off x="530678" y="40823"/>
          <a:ext cx="2612572" cy="680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333375</xdr:colOff>
          <xdr:row>2</xdr:row>
          <xdr:rowOff>142875</xdr:rowOff>
        </xdr:from>
        <xdr:to>
          <xdr:col>17</xdr:col>
          <xdr:colOff>371475</xdr:colOff>
          <xdr:row>4</xdr:row>
          <xdr:rowOff>28575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5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Circuit Breaker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27213</xdr:colOff>
      <xdr:row>1</xdr:row>
      <xdr:rowOff>40821</xdr:rowOff>
    </xdr:from>
    <xdr:to>
      <xdr:col>3</xdr:col>
      <xdr:colOff>265340</xdr:colOff>
      <xdr:row>4</xdr:row>
      <xdr:rowOff>258535</xdr:rowOff>
    </xdr:to>
    <xdr:pic>
      <xdr:nvPicPr>
        <xdr:cNvPr id="7" name="Picture 6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67" t="29678" r="12425" b="29516"/>
        <a:stretch/>
      </xdr:blipFill>
      <xdr:spPr bwMode="auto">
        <a:xfrm>
          <a:off x="585106" y="231321"/>
          <a:ext cx="3449412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13608</xdr:rowOff>
    </xdr:from>
    <xdr:to>
      <xdr:col>2</xdr:col>
      <xdr:colOff>1704046</xdr:colOff>
      <xdr:row>3</xdr:row>
      <xdr:rowOff>136072</xdr:rowOff>
    </xdr:to>
    <xdr:pic>
      <xdr:nvPicPr>
        <xdr:cNvPr id="4" name="Picture 3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2" t="33823" r="13729" b="33221"/>
        <a:stretch/>
      </xdr:blipFill>
      <xdr:spPr bwMode="auto">
        <a:xfrm>
          <a:off x="762000" y="13608"/>
          <a:ext cx="3111025" cy="65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2297206</xdr:colOff>
      <xdr:row>0</xdr:row>
      <xdr:rowOff>112059</xdr:rowOff>
    </xdr:from>
    <xdr:to>
      <xdr:col>4</xdr:col>
      <xdr:colOff>0</xdr:colOff>
      <xdr:row>3</xdr:row>
      <xdr:rowOff>78442</xdr:rowOff>
    </xdr:to>
    <xdr:pic>
      <xdr:nvPicPr>
        <xdr:cNvPr id="2" name="Picture 1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 t="32587" r="13806" b="35664"/>
        <a:stretch/>
      </xdr:blipFill>
      <xdr:spPr bwMode="auto">
        <a:xfrm>
          <a:off x="344581" y="112059"/>
          <a:ext cx="2148309" cy="452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2297206</xdr:colOff>
      <xdr:row>0</xdr:row>
      <xdr:rowOff>112059</xdr:rowOff>
    </xdr:from>
    <xdr:to>
      <xdr:col>4</xdr:col>
      <xdr:colOff>18771</xdr:colOff>
      <xdr:row>3</xdr:row>
      <xdr:rowOff>78442</xdr:rowOff>
    </xdr:to>
    <xdr:pic>
      <xdr:nvPicPr>
        <xdr:cNvPr id="2" name="Picture 1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 t="32587" r="13806" b="35664"/>
        <a:stretch/>
      </xdr:blipFill>
      <xdr:spPr bwMode="auto">
        <a:xfrm>
          <a:off x="1020856" y="112059"/>
          <a:ext cx="2145927" cy="452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2297206</xdr:colOff>
      <xdr:row>0</xdr:row>
      <xdr:rowOff>112059</xdr:rowOff>
    </xdr:from>
    <xdr:to>
      <xdr:col>4</xdr:col>
      <xdr:colOff>290233</xdr:colOff>
      <xdr:row>3</xdr:row>
      <xdr:rowOff>78442</xdr:rowOff>
    </xdr:to>
    <xdr:pic>
      <xdr:nvPicPr>
        <xdr:cNvPr id="4" name="Picture 3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 t="32587" r="13806" b="35664"/>
        <a:stretch/>
      </xdr:blipFill>
      <xdr:spPr bwMode="auto">
        <a:xfrm>
          <a:off x="2857500" y="739588"/>
          <a:ext cx="2140324" cy="437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2297206</xdr:colOff>
      <xdr:row>0</xdr:row>
      <xdr:rowOff>112059</xdr:rowOff>
    </xdr:from>
    <xdr:to>
      <xdr:col>3</xdr:col>
      <xdr:colOff>1030802</xdr:colOff>
      <xdr:row>3</xdr:row>
      <xdr:rowOff>78442</xdr:rowOff>
    </xdr:to>
    <xdr:pic>
      <xdr:nvPicPr>
        <xdr:cNvPr id="2" name="Picture 1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 t="32587" r="13806" b="35664"/>
        <a:stretch/>
      </xdr:blipFill>
      <xdr:spPr bwMode="auto">
        <a:xfrm>
          <a:off x="344581" y="112059"/>
          <a:ext cx="2153071" cy="452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108858</xdr:rowOff>
    </xdr:from>
    <xdr:to>
      <xdr:col>1</xdr:col>
      <xdr:colOff>1292406</xdr:colOff>
      <xdr:row>3</xdr:row>
      <xdr:rowOff>44904</xdr:rowOff>
    </xdr:to>
    <xdr:pic>
      <xdr:nvPicPr>
        <xdr:cNvPr id="3" name="Picture 2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5" b="33221"/>
        <a:stretch/>
      </xdr:blipFill>
      <xdr:spPr bwMode="auto">
        <a:xfrm>
          <a:off x="0" y="108858"/>
          <a:ext cx="3442607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83344</xdr:rowOff>
    </xdr:from>
    <xdr:to>
      <xdr:col>3</xdr:col>
      <xdr:colOff>1406554</xdr:colOff>
      <xdr:row>3</xdr:row>
      <xdr:rowOff>36356</xdr:rowOff>
    </xdr:to>
    <xdr:pic>
      <xdr:nvPicPr>
        <xdr:cNvPr id="8" name="Picture 7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1" t="36029" b="33221"/>
        <a:stretch/>
      </xdr:blipFill>
      <xdr:spPr bwMode="auto">
        <a:xfrm>
          <a:off x="83344" y="83344"/>
          <a:ext cx="2942460" cy="488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10716</xdr:colOff>
      <xdr:row>11</xdr:row>
      <xdr:rowOff>54769</xdr:rowOff>
    </xdr:from>
    <xdr:to>
      <xdr:col>5</xdr:col>
      <xdr:colOff>1443037</xdr:colOff>
      <xdr:row>18</xdr:row>
      <xdr:rowOff>78581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83344</xdr:colOff>
      <xdr:row>11</xdr:row>
      <xdr:rowOff>40482</xdr:rowOff>
    </xdr:from>
    <xdr:to>
      <xdr:col>7</xdr:col>
      <xdr:colOff>1515665</xdr:colOff>
      <xdr:row>18</xdr:row>
      <xdr:rowOff>64294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50006</xdr:colOff>
      <xdr:row>11</xdr:row>
      <xdr:rowOff>83343</xdr:rowOff>
    </xdr:from>
    <xdr:to>
      <xdr:col>9</xdr:col>
      <xdr:colOff>1410889</xdr:colOff>
      <xdr:row>18</xdr:row>
      <xdr:rowOff>107155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345282</xdr:colOff>
      <xdr:row>11</xdr:row>
      <xdr:rowOff>59531</xdr:rowOff>
    </xdr:from>
    <xdr:to>
      <xdr:col>3</xdr:col>
      <xdr:colOff>1615678</xdr:colOff>
      <xdr:row>18</xdr:row>
      <xdr:rowOff>83343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11</xdr:row>
      <xdr:rowOff>35719</xdr:rowOff>
    </xdr:from>
    <xdr:to>
      <xdr:col>14</xdr:col>
      <xdr:colOff>3571</xdr:colOff>
      <xdr:row>18</xdr:row>
      <xdr:rowOff>59531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59531</xdr:colOff>
      <xdr:row>11</xdr:row>
      <xdr:rowOff>23813</xdr:rowOff>
    </xdr:from>
    <xdr:to>
      <xdr:col>15</xdr:col>
      <xdr:colOff>5953</xdr:colOff>
      <xdr:row>18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28575</xdr:rowOff>
    </xdr:from>
    <xdr:to>
      <xdr:col>2</xdr:col>
      <xdr:colOff>2085976</xdr:colOff>
      <xdr:row>3</xdr:row>
      <xdr:rowOff>160111</xdr:rowOff>
    </xdr:to>
    <xdr:pic>
      <xdr:nvPicPr>
        <xdr:cNvPr id="3" name="Picture 2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09" t="35740" r="14689" b="33221"/>
        <a:stretch/>
      </xdr:blipFill>
      <xdr:spPr bwMode="auto">
        <a:xfrm>
          <a:off x="161925" y="209550"/>
          <a:ext cx="2409826" cy="493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435428</xdr:colOff>
      <xdr:row>0</xdr:row>
      <xdr:rowOff>136072</xdr:rowOff>
    </xdr:from>
    <xdr:to>
      <xdr:col>5</xdr:col>
      <xdr:colOff>653142</xdr:colOff>
      <xdr:row>3</xdr:row>
      <xdr:rowOff>75973</xdr:rowOff>
    </xdr:to>
    <xdr:pic>
      <xdr:nvPicPr>
        <xdr:cNvPr id="3" name="Picture 2" descr="CA South Development, Company Profile &amp; Executives - Strixus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5" b="33221"/>
        <a:stretch/>
      </xdr:blipFill>
      <xdr:spPr bwMode="auto">
        <a:xfrm>
          <a:off x="435428" y="136072"/>
          <a:ext cx="3442607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</xdr:row>
      <xdr:rowOff>19051</xdr:rowOff>
    </xdr:from>
    <xdr:to>
      <xdr:col>2</xdr:col>
      <xdr:colOff>447675</xdr:colOff>
      <xdr:row>3</xdr:row>
      <xdr:rowOff>428625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1200150" y="34099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590550</xdr:colOff>
      <xdr:row>4</xdr:row>
      <xdr:rowOff>19051</xdr:rowOff>
    </xdr:from>
    <xdr:to>
      <xdr:col>2</xdr:col>
      <xdr:colOff>447675</xdr:colOff>
      <xdr:row>4</xdr:row>
      <xdr:rowOff>428625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590550</xdr:colOff>
      <xdr:row>5</xdr:row>
      <xdr:rowOff>19051</xdr:rowOff>
    </xdr:from>
    <xdr:to>
      <xdr:col>2</xdr:col>
      <xdr:colOff>447675</xdr:colOff>
      <xdr:row>5</xdr:row>
      <xdr:rowOff>428625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590550</xdr:colOff>
      <xdr:row>6</xdr:row>
      <xdr:rowOff>19051</xdr:rowOff>
    </xdr:from>
    <xdr:to>
      <xdr:col>2</xdr:col>
      <xdr:colOff>447675</xdr:colOff>
      <xdr:row>6</xdr:row>
      <xdr:rowOff>428625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</xdr:col>
      <xdr:colOff>590550</xdr:colOff>
      <xdr:row>7</xdr:row>
      <xdr:rowOff>19051</xdr:rowOff>
    </xdr:from>
    <xdr:to>
      <xdr:col>2</xdr:col>
      <xdr:colOff>447675</xdr:colOff>
      <xdr:row>7</xdr:row>
      <xdr:rowOff>428625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1</xdr:col>
      <xdr:colOff>590550</xdr:colOff>
      <xdr:row>8</xdr:row>
      <xdr:rowOff>19051</xdr:rowOff>
    </xdr:from>
    <xdr:to>
      <xdr:col>2</xdr:col>
      <xdr:colOff>447675</xdr:colOff>
      <xdr:row>8</xdr:row>
      <xdr:rowOff>428625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590550</xdr:colOff>
      <xdr:row>9</xdr:row>
      <xdr:rowOff>19051</xdr:rowOff>
    </xdr:from>
    <xdr:to>
      <xdr:col>2</xdr:col>
      <xdr:colOff>447675</xdr:colOff>
      <xdr:row>9</xdr:row>
      <xdr:rowOff>428625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E00-000022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7</a:t>
          </a:r>
        </a:p>
      </xdr:txBody>
    </xdr:sp>
    <xdr:clientData/>
  </xdr:twoCellAnchor>
  <xdr:twoCellAnchor>
    <xdr:from>
      <xdr:col>1</xdr:col>
      <xdr:colOff>590550</xdr:colOff>
      <xdr:row>10</xdr:row>
      <xdr:rowOff>19051</xdr:rowOff>
    </xdr:from>
    <xdr:to>
      <xdr:col>2</xdr:col>
      <xdr:colOff>447675</xdr:colOff>
      <xdr:row>10</xdr:row>
      <xdr:rowOff>428625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1E00-000025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8</a:t>
          </a:r>
        </a:p>
      </xdr:txBody>
    </xdr:sp>
    <xdr:clientData/>
  </xdr:twoCellAnchor>
  <xdr:twoCellAnchor>
    <xdr:from>
      <xdr:col>1</xdr:col>
      <xdr:colOff>590550</xdr:colOff>
      <xdr:row>11</xdr:row>
      <xdr:rowOff>19051</xdr:rowOff>
    </xdr:from>
    <xdr:to>
      <xdr:col>2</xdr:col>
      <xdr:colOff>447675</xdr:colOff>
      <xdr:row>11</xdr:row>
      <xdr:rowOff>428625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9</a:t>
          </a:r>
        </a:p>
      </xdr:txBody>
    </xdr:sp>
    <xdr:clientData/>
  </xdr:twoCellAnchor>
  <xdr:twoCellAnchor>
    <xdr:from>
      <xdr:col>2</xdr:col>
      <xdr:colOff>0</xdr:colOff>
      <xdr:row>12</xdr:row>
      <xdr:rowOff>19051</xdr:rowOff>
    </xdr:from>
    <xdr:to>
      <xdr:col>2</xdr:col>
      <xdr:colOff>466725</xdr:colOff>
      <xdr:row>12</xdr:row>
      <xdr:rowOff>428625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1E00-000027000000}"/>
            </a:ext>
          </a:extLst>
        </xdr:cNvPr>
        <xdr:cNvSpPr/>
      </xdr:nvSpPr>
      <xdr:spPr>
        <a:xfrm>
          <a:off x="657225" y="4733926"/>
          <a:ext cx="46672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>
    <xdr:from>
      <xdr:col>2</xdr:col>
      <xdr:colOff>0</xdr:colOff>
      <xdr:row>13</xdr:row>
      <xdr:rowOff>19051</xdr:rowOff>
    </xdr:from>
    <xdr:to>
      <xdr:col>2</xdr:col>
      <xdr:colOff>485775</xdr:colOff>
      <xdr:row>13</xdr:row>
      <xdr:rowOff>428625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1E00-000028000000}"/>
            </a:ext>
          </a:extLst>
        </xdr:cNvPr>
        <xdr:cNvSpPr/>
      </xdr:nvSpPr>
      <xdr:spPr>
        <a:xfrm>
          <a:off x="657225" y="5181601"/>
          <a:ext cx="48577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11</a:t>
          </a:r>
        </a:p>
      </xdr:txBody>
    </xdr:sp>
    <xdr:clientData/>
  </xdr:twoCellAnchor>
  <xdr:twoCellAnchor>
    <xdr:from>
      <xdr:col>2</xdr:col>
      <xdr:colOff>0</xdr:colOff>
      <xdr:row>14</xdr:row>
      <xdr:rowOff>19051</xdr:rowOff>
    </xdr:from>
    <xdr:to>
      <xdr:col>2</xdr:col>
      <xdr:colOff>466725</xdr:colOff>
      <xdr:row>14</xdr:row>
      <xdr:rowOff>428625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SpPr/>
      </xdr:nvSpPr>
      <xdr:spPr>
        <a:xfrm>
          <a:off x="657225" y="5629276"/>
          <a:ext cx="466725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12</a:t>
          </a:r>
        </a:p>
      </xdr:txBody>
    </xdr:sp>
    <xdr:clientData/>
  </xdr:twoCellAnchor>
  <xdr:twoCellAnchor>
    <xdr:from>
      <xdr:col>2</xdr:col>
      <xdr:colOff>0</xdr:colOff>
      <xdr:row>15</xdr:row>
      <xdr:rowOff>19051</xdr:rowOff>
    </xdr:from>
    <xdr:to>
      <xdr:col>2</xdr:col>
      <xdr:colOff>466725</xdr:colOff>
      <xdr:row>15</xdr:row>
      <xdr:rowOff>428625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1E00-00002A000000}"/>
            </a:ext>
          </a:extLst>
        </xdr:cNvPr>
        <xdr:cNvSpPr/>
      </xdr:nvSpPr>
      <xdr:spPr>
        <a:xfrm>
          <a:off x="657225" y="6076951"/>
          <a:ext cx="466725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13</a:t>
          </a:r>
        </a:p>
      </xdr:txBody>
    </xdr:sp>
    <xdr:clientData/>
  </xdr:twoCellAnchor>
  <xdr:twoCellAnchor>
    <xdr:from>
      <xdr:col>2</xdr:col>
      <xdr:colOff>0</xdr:colOff>
      <xdr:row>16</xdr:row>
      <xdr:rowOff>19051</xdr:rowOff>
    </xdr:from>
    <xdr:to>
      <xdr:col>2</xdr:col>
      <xdr:colOff>476250</xdr:colOff>
      <xdr:row>16</xdr:row>
      <xdr:rowOff>428625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1E00-00002B000000}"/>
            </a:ext>
          </a:extLst>
        </xdr:cNvPr>
        <xdr:cNvSpPr/>
      </xdr:nvSpPr>
      <xdr:spPr>
        <a:xfrm>
          <a:off x="657225" y="6524626"/>
          <a:ext cx="47625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14</a:t>
          </a:r>
        </a:p>
      </xdr:txBody>
    </xdr:sp>
    <xdr:clientData/>
  </xdr:twoCellAnchor>
  <xdr:twoCellAnchor>
    <xdr:from>
      <xdr:col>2</xdr:col>
      <xdr:colOff>0</xdr:colOff>
      <xdr:row>17</xdr:row>
      <xdr:rowOff>19051</xdr:rowOff>
    </xdr:from>
    <xdr:to>
      <xdr:col>2</xdr:col>
      <xdr:colOff>476250</xdr:colOff>
      <xdr:row>17</xdr:row>
      <xdr:rowOff>428625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1E00-00002C000000}"/>
            </a:ext>
          </a:extLst>
        </xdr:cNvPr>
        <xdr:cNvSpPr/>
      </xdr:nvSpPr>
      <xdr:spPr>
        <a:xfrm>
          <a:off x="657225" y="6972301"/>
          <a:ext cx="47625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15</a:t>
          </a:r>
        </a:p>
      </xdr:txBody>
    </xdr:sp>
    <xdr:clientData/>
  </xdr:twoCellAnchor>
  <xdr:twoCellAnchor>
    <xdr:from>
      <xdr:col>2</xdr:col>
      <xdr:colOff>0</xdr:colOff>
      <xdr:row>18</xdr:row>
      <xdr:rowOff>19051</xdr:rowOff>
    </xdr:from>
    <xdr:to>
      <xdr:col>2</xdr:col>
      <xdr:colOff>476250</xdr:colOff>
      <xdr:row>18</xdr:row>
      <xdr:rowOff>428625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SpPr/>
      </xdr:nvSpPr>
      <xdr:spPr>
        <a:xfrm>
          <a:off x="657225" y="7419976"/>
          <a:ext cx="47625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16</a:t>
          </a:r>
        </a:p>
      </xdr:txBody>
    </xdr:sp>
    <xdr:clientData/>
  </xdr:twoCellAnchor>
  <xdr:twoCellAnchor>
    <xdr:from>
      <xdr:col>2</xdr:col>
      <xdr:colOff>0</xdr:colOff>
      <xdr:row>19</xdr:row>
      <xdr:rowOff>19051</xdr:rowOff>
    </xdr:from>
    <xdr:to>
      <xdr:col>2</xdr:col>
      <xdr:colOff>495300</xdr:colOff>
      <xdr:row>19</xdr:row>
      <xdr:rowOff>428625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SpPr/>
      </xdr:nvSpPr>
      <xdr:spPr>
        <a:xfrm>
          <a:off x="657225" y="7867651"/>
          <a:ext cx="49530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17</a:t>
          </a:r>
        </a:p>
      </xdr:txBody>
    </xdr:sp>
    <xdr:clientData/>
  </xdr:twoCellAnchor>
  <xdr:twoCellAnchor>
    <xdr:from>
      <xdr:col>2</xdr:col>
      <xdr:colOff>0</xdr:colOff>
      <xdr:row>20</xdr:row>
      <xdr:rowOff>19051</xdr:rowOff>
    </xdr:from>
    <xdr:to>
      <xdr:col>2</xdr:col>
      <xdr:colOff>495300</xdr:colOff>
      <xdr:row>20</xdr:row>
      <xdr:rowOff>428625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SpPr/>
      </xdr:nvSpPr>
      <xdr:spPr>
        <a:xfrm>
          <a:off x="657225" y="8315326"/>
          <a:ext cx="49530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18</a:t>
          </a:r>
        </a:p>
      </xdr:txBody>
    </xdr:sp>
    <xdr:clientData/>
  </xdr:twoCellAnchor>
  <xdr:twoCellAnchor>
    <xdr:from>
      <xdr:col>1</xdr:col>
      <xdr:colOff>590550</xdr:colOff>
      <xdr:row>24</xdr:row>
      <xdr:rowOff>19051</xdr:rowOff>
    </xdr:from>
    <xdr:to>
      <xdr:col>2</xdr:col>
      <xdr:colOff>447675</xdr:colOff>
      <xdr:row>24</xdr:row>
      <xdr:rowOff>428625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1E00-000030000000}"/>
            </a:ext>
          </a:extLst>
        </xdr:cNvPr>
        <xdr:cNvSpPr/>
      </xdr:nvSpPr>
      <xdr:spPr>
        <a:xfrm>
          <a:off x="1200150" y="590551"/>
          <a:ext cx="466725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23</xdr:row>
      <xdr:rowOff>19050</xdr:rowOff>
    </xdr:from>
    <xdr:to>
      <xdr:col>2</xdr:col>
      <xdr:colOff>485775</xdr:colOff>
      <xdr:row>23</xdr:row>
      <xdr:rowOff>428624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1E00-000031000000}"/>
            </a:ext>
          </a:extLst>
        </xdr:cNvPr>
        <xdr:cNvSpPr/>
      </xdr:nvSpPr>
      <xdr:spPr>
        <a:xfrm>
          <a:off x="657225" y="9210675"/>
          <a:ext cx="485775" cy="409574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2</xdr:col>
      <xdr:colOff>495300</xdr:colOff>
      <xdr:row>21</xdr:row>
      <xdr:rowOff>409574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657225" y="8743950"/>
          <a:ext cx="495300" cy="409574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19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:\C:\C\C\C\C\Development%20&amp;%20Acquisitions\Projects\Caribbean\Puerto%20Rico\Westin%20Rio%20Mar\Feasibility\03-2006%20Update\FiMo%20Westin%20Rio%20Mar%203-2006%20Update%20revised%20per%20GD%203-21-06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U:/Phoex01/share/Documents%20and%20Settings/hparzybok/Local%20Settings/Temporary%20Internet%20Files/OLK27/5.02.05%20Cherrywood%20&amp;%20Ranchstone%20-%20Underwriting%20-%20BASE%20CA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C/C/MODELS/FNMA%20Loan%20Underwriting/Loan%20Committee%20Package/COMMITTE/VACANCY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blackstone.com/files/Clients/Active/Isaacs/Model/Model%20-%20Western/Project%20Newton%20Model%204-21-06%20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rockmadc1/users/USERS/ACQUIRE/Apartments/PACPLZA/PCPLZ3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Ladata/ladata/laport/HAZ03/Hazard_Reta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F:/REFinInv/Ex20_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Net6/nstrein$/Documents%20and%20Settings/Mads%20Peter%20Heideby/Desktop/HVS/Jobs/NY%20-%20New%20York%20-%20Westin%20Times%20Square/2004010017/Rna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sgb24166/PDMSdirs/Current%20Work/PC/9-05/9-05046/9-05046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F:/REFinInv/Finance/10th%20edition/Chapters/Chapter%2019%20templates/cm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SUSNY057/groupdirs/M&amp;A/Presentations/04/9040832n/9040832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S:/Transfer/02-tues/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S:/UTILITIE/Email/03_Wed/Dea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F:/REFinInv/Finance/10th%20edition/Chapters/Chapter%2019%20templates/IO-P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G:/BREISTER/600/PMFILES/FINANCIA/FINANCIA/BUDGET/1998/FINANCIA/BUDGET/1997/97BUD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C:/S:/Applications/Microsoft%20Office%202011/Office/Startup/Excel/GAMING/Models/Old/oldlvs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:/S:/DP-FILE/Documents/Real_Estate_NY/Dept_Only/BANKING/S_Z/SMITHCB/2010-03%20Project%20Park/Model/PDM%20Financials%20v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Applications/Microsoft%20Office%202011/Microsoft%20Excel.app/Contents/MacOS/Project%20Telluride%20-%20Bank%20Model%20-%2004%20Jan%2007k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$cfuni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C:/C:/C:/C:/C:/C:/C:/C:/C:/C:/C:/K:/BPG%20Development/Hotel%20Acquisitions/Doubletree%20DFW%20-%20Dallas,%20TX/Budget%20&amp;%20Proforma/Corporate%20Finance%20-%20Richmond/REIB%20II/Ashford%20Hospitality/October%20ENB/AHT_Charts_SWL(2004.09.28).xls?2D831CA5" TargetMode="External"/><Relationship Id="rId1" Type="http://schemas.openxmlformats.org/officeDocument/2006/relationships/externalLinkPath" Target="file:///\\2D831CA5\AHT_Charts_SWL(2004.09.28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Users/beejturner/Library/Mail%20Downloads/TS0010566201.xl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mslbfil2/windata/Shared/CCP-%20Real%20Estate/Portfolio%20Companies/Metro%20Storage%20LLC/Wayne1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Susst056/PDMSdirs/Current%20Work/PC/9-05/9-05046/9-05046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Hilp_53rd_at_third_ny/vol1/DATA/ACCTING/MONTHLIE/97_FO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G:/DATA/PROPMGMT/98BUDGET/BUD_9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N:/WINDOWS/TEMP/MATRIX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J:/Users/David%20Maltby%202/Documents/Magic%20Briefcase/Sumerian%20Capital/Deal%20Pipeline/Dead%20Deals/National%20City%20Tower/NCT%20IM%20v1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I_Folder/Industrial%20-%20Portland%20Portfolio%20(TA)/Realogic/Portland%20Industrial%20v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E:/FAS/Fas/FAS_HOTEL/NPS/Parks/Death%20Valley/FFA/BLRI/NPS%20Model%20Pisgah%20Inn%20Update%20Cleane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rockmadc1/users/EXCEL/derf98/2000/VOC/JUL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C:/C:/C:/New%20Model/Model%20Templates/Portfolio/PanoramaCor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lobal%20Cashflow%20QQ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Facilities"/>
      <sheetName val="Profile"/>
      <sheetName val="Occ&amp;Rate"/>
      <sheetName val="PF Start"/>
      <sheetName val="HOTComps"/>
      <sheetName val="Rio Mar 2006 Forecast"/>
      <sheetName val="Ratios"/>
      <sheetName val="PF Input"/>
      <sheetName val="10-Year"/>
      <sheetName val="5-Year"/>
      <sheetName val="10-Year $US"/>
      <sheetName val="Capital Input"/>
      <sheetName val="Calculations"/>
      <sheetName val="Sensitivities"/>
      <sheetName val="Spa"/>
      <sheetName val="Transaction 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&amp; Exp Assump (1)"/>
      <sheetName val="Underwriting"/>
      <sheetName val="Closing Costs"/>
      <sheetName val="Amort"/>
      <sheetName val="Promote Calc"/>
      <sheetName val="Executiv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Repor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REIF &amp; S&amp;P"/>
      <sheetName val="REITs &amp; S&amp;P"/>
    </sheetNames>
    <sheetDataSet>
      <sheetData sheetId="0">
        <row r="11">
          <cell r="D11">
            <v>0.10256580965724643</v>
          </cell>
        </row>
      </sheetData>
      <sheetData sheetId="1">
        <row r="11">
          <cell r="D11">
            <v>0.10256580965724643</v>
          </cell>
          <cell r="F11">
            <v>3.9374304347826112</v>
          </cell>
        </row>
        <row r="12">
          <cell r="D12">
            <v>9.9699466842594398E-2</v>
          </cell>
          <cell r="F12">
            <v>3.9434344565217412</v>
          </cell>
        </row>
        <row r="13">
          <cell r="D13">
            <v>9.6926697633896594E-2</v>
          </cell>
          <cell r="F13">
            <v>3.949438478260872</v>
          </cell>
        </row>
        <row r="14">
          <cell r="D14">
            <v>9.4255760498720725E-2</v>
          </cell>
          <cell r="F14">
            <v>3.955442500000002</v>
          </cell>
        </row>
        <row r="15">
          <cell r="D15">
            <v>9.1695554459503378E-2</v>
          </cell>
          <cell r="F15">
            <v>3.9614465217391328</v>
          </cell>
        </row>
        <row r="16">
          <cell r="D16">
            <v>8.9255608650344487E-2</v>
          </cell>
          <cell r="F16">
            <v>3.9674505434782628</v>
          </cell>
        </row>
        <row r="17">
          <cell r="D17">
            <v>8.6946048161577236E-2</v>
          </cell>
          <cell r="F17">
            <v>3.9734545652173923</v>
          </cell>
        </row>
        <row r="18">
          <cell r="D18">
            <v>8.4777529769104062E-2</v>
          </cell>
          <cell r="F18">
            <v>3.9794585869565231</v>
          </cell>
        </row>
        <row r="19">
          <cell r="D19">
            <v>8.2761141026761451E-2</v>
          </cell>
          <cell r="F19">
            <v>3.9854626086956535</v>
          </cell>
        </row>
        <row r="20">
          <cell r="D20">
            <v>8.0908256821018112E-2</v>
          </cell>
          <cell r="F20">
            <v>3.9914666304347839</v>
          </cell>
        </row>
        <row r="21">
          <cell r="D21">
            <v>7.9230349153871005E-2</v>
          </cell>
          <cell r="F21">
            <v>3.9974706521739138</v>
          </cell>
        </row>
        <row r="22">
          <cell r="D22">
            <v>7.7738748894852619E-2</v>
          </cell>
          <cell r="F22">
            <v>4.0034746739130451</v>
          </cell>
        </row>
        <row r="23">
          <cell r="D23">
            <v>7.6444362642995103E-2</v>
          </cell>
          <cell r="F23">
            <v>4.0094786956521746</v>
          </cell>
        </row>
        <row r="24">
          <cell r="D24">
            <v>7.5357353506573591E-2</v>
          </cell>
          <cell r="F24">
            <v>4.015482717391305</v>
          </cell>
        </row>
        <row r="25">
          <cell r="D25">
            <v>7.4486800995879857E-2</v>
          </cell>
          <cell r="F25">
            <v>4.0214867391304354</v>
          </cell>
        </row>
        <row r="26">
          <cell r="D26">
            <v>7.3840361355759068E-2</v>
          </cell>
          <cell r="F26">
            <v>4.0274907608695658</v>
          </cell>
        </row>
        <row r="27">
          <cell r="D27">
            <v>7.3423954232678723E-2</v>
          </cell>
          <cell r="F27">
            <v>4.0334947826086962</v>
          </cell>
        </row>
        <row r="28">
          <cell r="D28">
            <v>7.3241503211226341E-2</v>
          </cell>
          <cell r="F28">
            <v>4.0394988043478257</v>
          </cell>
        </row>
        <row r="29">
          <cell r="D29">
            <v>7.329475545754835E-2</v>
          </cell>
          <cell r="F29">
            <v>4.045502826086957</v>
          </cell>
        </row>
        <row r="30">
          <cell r="D30">
            <v>7.358319923724238E-2</v>
          </cell>
          <cell r="F30">
            <v>4.0515068478260865</v>
          </cell>
        </row>
        <row r="31">
          <cell r="D31">
            <v>7.4104088212849348E-2</v>
          </cell>
          <cell r="F31">
            <v>4.0575108695652169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"/>
      <sheetName val="Occ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171">
          <cell r="D171">
            <v>0</v>
          </cell>
          <cell r="E171">
            <v>0.19104004814636055</v>
          </cell>
        </row>
        <row r="172">
          <cell r="D172">
            <v>0.05</v>
          </cell>
          <cell r="E172">
            <v>0.17331256212247201</v>
          </cell>
        </row>
        <row r="173">
          <cell r="D173">
            <v>0.1</v>
          </cell>
          <cell r="E173">
            <v>0.16098670463276857</v>
          </cell>
        </row>
        <row r="174">
          <cell r="D174">
            <v>0.15000000000000002</v>
          </cell>
          <cell r="E174">
            <v>0.15532835618367249</v>
          </cell>
        </row>
        <row r="175">
          <cell r="D175">
            <v>0.2</v>
          </cell>
          <cell r="E175">
            <v>0.14993493952328116</v>
          </cell>
        </row>
        <row r="176">
          <cell r="D176">
            <v>0.25</v>
          </cell>
          <cell r="E176">
            <v>0.14737549187106463</v>
          </cell>
        </row>
        <row r="177">
          <cell r="D177">
            <v>0.3</v>
          </cell>
          <cell r="E177">
            <v>0.14738328611616652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Price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 Image"/>
      <sheetName val="SNAP"/>
      <sheetName val="IncStmt"/>
      <sheetName val="New Q Seg"/>
      <sheetName val="Q-Charts"/>
      <sheetName val="cashflow"/>
      <sheetName val="BalSht"/>
      <sheetName val="1Q"/>
      <sheetName val="2Q"/>
      <sheetName val="3Q"/>
      <sheetName val="4Q"/>
      <sheetName val="oldSEG"/>
      <sheetName val="Quarters"/>
      <sheetName val="chart"/>
      <sheetName val="acquisitions"/>
      <sheetName val="PE-TREND"/>
      <sheetName val="Dairy Q"/>
      <sheetName val="Assets-roa"/>
      <sheetName val="vege"/>
      <sheetName val="Checks"/>
      <sheetName val="2Qx"/>
      <sheetName val="3Qx"/>
      <sheetName val="4Q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>
        <row r="16">
          <cell r="M16">
            <v>2052532</v>
          </cell>
        </row>
        <row r="17">
          <cell r="M17" t="str">
            <v xml:space="preserve">--  </v>
          </cell>
        </row>
        <row r="18">
          <cell r="M18">
            <v>348695</v>
          </cell>
        </row>
        <row r="19">
          <cell r="M19">
            <v>334606</v>
          </cell>
        </row>
        <row r="23">
          <cell r="M23">
            <v>114084</v>
          </cell>
        </row>
        <row r="24">
          <cell r="M24" t="str">
            <v xml:space="preserve">--  </v>
          </cell>
        </row>
        <row r="25">
          <cell r="M25">
            <v>37054</v>
          </cell>
        </row>
        <row r="26">
          <cell r="M26">
            <v>52187</v>
          </cell>
        </row>
      </sheetData>
      <sheetData sheetId="12" refreshError="1">
        <row r="17">
          <cell r="B17" t="str">
            <v>Dairy</v>
          </cell>
        </row>
        <row r="18">
          <cell r="B18" t="str">
            <v>Vegetables</v>
          </cell>
        </row>
        <row r="19">
          <cell r="B19" t="str">
            <v>Pickles</v>
          </cell>
        </row>
        <row r="20">
          <cell r="B20" t="str">
            <v>Specialty</v>
          </cell>
        </row>
        <row r="24">
          <cell r="D24">
            <v>19577</v>
          </cell>
          <cell r="E24">
            <v>16975</v>
          </cell>
          <cell r="F24">
            <v>15433</v>
          </cell>
          <cell r="G24">
            <v>25257</v>
          </cell>
          <cell r="H24">
            <v>20341</v>
          </cell>
          <cell r="I24">
            <v>19162</v>
          </cell>
          <cell r="J24">
            <v>13525</v>
          </cell>
          <cell r="K24">
            <v>21022</v>
          </cell>
          <cell r="L24">
            <v>26120</v>
          </cell>
          <cell r="M24">
            <v>16600</v>
          </cell>
          <cell r="N24">
            <v>26959</v>
          </cell>
          <cell r="O24">
            <v>34085</v>
          </cell>
          <cell r="T24">
            <v>32413</v>
          </cell>
        </row>
        <row r="25">
          <cell r="D25">
            <v>5.2746015152658178E-2</v>
          </cell>
          <cell r="E25">
            <v>4.5288767585248267E-2</v>
          </cell>
          <cell r="F25">
            <v>4.0813034360380709E-2</v>
          </cell>
          <cell r="G25">
            <v>6.4853330868305914E-2</v>
          </cell>
          <cell r="H25">
            <v>5.2121128261894516E-2</v>
          </cell>
          <cell r="I25">
            <v>4.824026987563567E-2</v>
          </cell>
          <cell r="J25">
            <v>3.3052377938362507E-2</v>
          </cell>
          <cell r="K25">
            <v>5.0706372427234116E-2</v>
          </cell>
          <cell r="L25">
            <v>6.0423659610299781E-2</v>
          </cell>
          <cell r="M25">
            <v>3.6697166580818875E-2</v>
          </cell>
          <cell r="N25">
            <v>6.0838226599206548E-2</v>
          </cell>
          <cell r="O25">
            <v>7.4081077321649022E-2</v>
          </cell>
          <cell r="T25">
            <v>7.108706427289993E-2</v>
          </cell>
          <cell r="X25">
            <v>4.9876853904997201E-2</v>
          </cell>
          <cell r="Y25">
            <v>4.0519339786667961E-2</v>
          </cell>
          <cell r="Z25">
            <v>8.3775968371771117E-3</v>
          </cell>
          <cell r="AA25">
            <v>4.4640884819585468E-2</v>
          </cell>
        </row>
        <row r="26">
          <cell r="H26">
            <v>2647</v>
          </cell>
          <cell r="I26">
            <v>9614</v>
          </cell>
          <cell r="J26">
            <v>-547</v>
          </cell>
          <cell r="K26">
            <v>-5990</v>
          </cell>
          <cell r="L26">
            <v>956</v>
          </cell>
          <cell r="M26">
            <v>11531</v>
          </cell>
          <cell r="N26">
            <v>8509</v>
          </cell>
          <cell r="O26">
            <v>10412</v>
          </cell>
          <cell r="T26">
            <v>0</v>
          </cell>
        </row>
        <row r="27">
          <cell r="H27">
            <v>2.2803239145416952E-2</v>
          </cell>
          <cell r="I27">
            <v>5.9517250345130716E-2</v>
          </cell>
          <cell r="J27">
            <v>-3.7334061358905231E-3</v>
          </cell>
          <cell r="K27">
            <v>-4.0033951999358386E-2</v>
          </cell>
          <cell r="L27">
            <v>8.3634423088699734E-3</v>
          </cell>
          <cell r="M27">
            <v>7.544244168929308E-2</v>
          </cell>
          <cell r="N27">
            <v>5.931890271532643E-2</v>
          </cell>
          <cell r="O27">
            <v>7.0730332117358546E-2</v>
          </cell>
          <cell r="T27" t="str">
            <v>--</v>
          </cell>
        </row>
        <row r="28">
          <cell r="H28">
            <v>4752</v>
          </cell>
          <cell r="I28">
            <v>4926</v>
          </cell>
          <cell r="J28">
            <v>4859</v>
          </cell>
          <cell r="K28">
            <v>9466</v>
          </cell>
          <cell r="L28">
            <v>7934</v>
          </cell>
          <cell r="M28">
            <v>8967</v>
          </cell>
          <cell r="N28">
            <v>7817</v>
          </cell>
          <cell r="O28">
            <v>11256</v>
          </cell>
          <cell r="T28">
            <v>9322</v>
          </cell>
        </row>
        <row r="29">
          <cell r="H29">
            <v>5.0670704399564948E-2</v>
          </cell>
          <cell r="I29">
            <v>5.6769464804314759E-2</v>
          </cell>
          <cell r="J29">
            <v>5.5185807741232058E-2</v>
          </cell>
          <cell r="K29">
            <v>9.0487616025083401E-2</v>
          </cell>
          <cell r="L29">
            <v>8.2776896753192553E-2</v>
          </cell>
          <cell r="M29">
            <v>0.10088429863642501</v>
          </cell>
          <cell r="N29">
            <v>9.4617330573610756E-2</v>
          </cell>
          <cell r="O29">
            <v>0.10877884726893193</v>
          </cell>
          <cell r="T29">
            <v>0.10305107229714791</v>
          </cell>
        </row>
        <row r="30">
          <cell r="H30">
            <v>6473</v>
          </cell>
          <cell r="I30">
            <v>6078</v>
          </cell>
          <cell r="J30">
            <v>6245</v>
          </cell>
          <cell r="K30">
            <v>7940</v>
          </cell>
          <cell r="L30">
            <v>8431</v>
          </cell>
          <cell r="M30">
            <v>9983</v>
          </cell>
          <cell r="N30">
            <v>9047</v>
          </cell>
          <cell r="O30">
            <v>9224</v>
          </cell>
          <cell r="T30">
            <v>10993</v>
          </cell>
        </row>
        <row r="31">
          <cell r="H31">
            <v>0.12598532474357227</v>
          </cell>
          <cell r="I31">
            <v>0.10158273862249929</v>
          </cell>
          <cell r="J31">
            <v>8.4148543401514536E-2</v>
          </cell>
          <cell r="K31">
            <v>0.11244547668951453</v>
          </cell>
          <cell r="L31">
            <v>0.12468942262186465</v>
          </cell>
          <cell r="M31">
            <v>0.12228523831105993</v>
          </cell>
          <cell r="N31">
            <v>0.11931578392065836</v>
          </cell>
          <cell r="O31">
            <v>0.12010573054336646</v>
          </cell>
          <cell r="T31">
            <v>0.14969904948661383</v>
          </cell>
        </row>
        <row r="39">
          <cell r="D39">
            <v>141410</v>
          </cell>
          <cell r="E39">
            <v>157969</v>
          </cell>
          <cell r="F39">
            <v>154794</v>
          </cell>
          <cell r="G39">
            <v>170910</v>
          </cell>
          <cell r="H39">
            <v>148685</v>
          </cell>
          <cell r="I39">
            <v>158266</v>
          </cell>
          <cell r="J39">
            <v>145801</v>
          </cell>
          <cell r="K39">
            <v>149871</v>
          </cell>
          <cell r="L39">
            <v>159893</v>
          </cell>
          <cell r="M39">
            <v>170984</v>
          </cell>
          <cell r="N39">
            <v>173861</v>
          </cell>
          <cell r="O39">
            <v>196692</v>
          </cell>
          <cell r="T39">
            <v>150101</v>
          </cell>
        </row>
        <row r="40">
          <cell r="D40">
            <v>108657</v>
          </cell>
          <cell r="E40">
            <v>118546</v>
          </cell>
          <cell r="F40">
            <v>119700</v>
          </cell>
          <cell r="G40">
            <v>121077</v>
          </cell>
          <cell r="H40">
            <v>120487</v>
          </cell>
          <cell r="I40">
            <v>124293</v>
          </cell>
          <cell r="J40">
            <v>127260</v>
          </cell>
          <cell r="K40">
            <v>123013</v>
          </cell>
          <cell r="L40">
            <v>123812</v>
          </cell>
          <cell r="M40">
            <v>132301</v>
          </cell>
          <cell r="N40">
            <v>132681</v>
          </cell>
          <cell r="O40">
            <v>142557</v>
          </cell>
          <cell r="T40">
            <v>106934</v>
          </cell>
        </row>
        <row r="41">
          <cell r="D41">
            <v>32753</v>
          </cell>
          <cell r="E41">
            <v>39423</v>
          </cell>
          <cell r="F41">
            <v>35094</v>
          </cell>
          <cell r="G41">
            <v>49833</v>
          </cell>
          <cell r="H41">
            <v>28198</v>
          </cell>
          <cell r="I41">
            <v>33973</v>
          </cell>
          <cell r="J41">
            <v>18541</v>
          </cell>
          <cell r="K41">
            <v>26858</v>
          </cell>
          <cell r="L41">
            <v>36081</v>
          </cell>
          <cell r="M41">
            <v>38683</v>
          </cell>
          <cell r="N41">
            <v>41180</v>
          </cell>
          <cell r="O41">
            <v>54135</v>
          </cell>
          <cell r="T41">
            <v>43167</v>
          </cell>
        </row>
        <row r="60">
          <cell r="D60">
            <v>0.23020334275895638</v>
          </cell>
          <cell r="E60">
            <v>0.23831858887708796</v>
          </cell>
          <cell r="F60">
            <v>0.23246007253395806</v>
          </cell>
          <cell r="G60">
            <v>0.24872081448753994</v>
          </cell>
          <cell r="H60">
            <v>0.2282177419973753</v>
          </cell>
          <cell r="I60">
            <v>0.22437684126358531</v>
          </cell>
          <cell r="J60">
            <v>0.20307224754030775</v>
          </cell>
          <cell r="K60">
            <v>0.20268477433262694</v>
          </cell>
          <cell r="L60">
            <v>0.22518491603431862</v>
          </cell>
          <cell r="M60">
            <v>0.22042059153015855</v>
          </cell>
          <cell r="N60">
            <v>0.23336671087177119</v>
          </cell>
          <cell r="O60">
            <v>0.24974034581620294</v>
          </cell>
          <cell r="T60">
            <v>0.24215462946232674</v>
          </cell>
        </row>
        <row r="61">
          <cell r="D61">
            <v>0.17688426995375095</v>
          </cell>
          <cell r="E61">
            <v>0.17884341508158733</v>
          </cell>
          <cell r="F61">
            <v>0.17975806996598562</v>
          </cell>
          <cell r="G61">
            <v>0.17620016415486439</v>
          </cell>
          <cell r="H61">
            <v>0.18493641645114006</v>
          </cell>
          <cell r="I61">
            <v>0.17621264662766992</v>
          </cell>
          <cell r="J61">
            <v>0.1772482645659465</v>
          </cell>
          <cell r="K61">
            <v>0.16636215241760871</v>
          </cell>
          <cell r="L61">
            <v>0.1743703278069775</v>
          </cell>
          <cell r="M61">
            <v>0.17055317854320584</v>
          </cell>
          <cell r="N61">
            <v>0.17809243341046854</v>
          </cell>
          <cell r="O61">
            <v>0.18100499501006875</v>
          </cell>
          <cell r="T61">
            <v>0.1725142613768359</v>
          </cell>
        </row>
        <row r="62">
          <cell r="D62">
            <v>5.3319072805205418E-2</v>
          </cell>
          <cell r="E62">
            <v>5.947517379550063E-2</v>
          </cell>
          <cell r="F62">
            <v>5.2702002567972431E-2</v>
          </cell>
          <cell r="G62">
            <v>7.2520650332675546E-2</v>
          </cell>
          <cell r="H62">
            <v>4.3281325546235254E-2</v>
          </cell>
          <cell r="I62">
            <v>4.8164194635915376E-2</v>
          </cell>
          <cell r="J62">
            <v>2.5823982974361261E-2</v>
          </cell>
          <cell r="K62">
            <v>3.6322621915018213E-2</v>
          </cell>
          <cell r="L62">
            <v>5.0814588227341098E-2</v>
          </cell>
          <cell r="M62">
            <v>4.9867412986952714E-2</v>
          </cell>
          <cell r="N62">
            <v>5.5274277461302639E-2</v>
          </cell>
          <cell r="O62">
            <v>6.8735350806134188E-2</v>
          </cell>
          <cell r="T62">
            <v>6.9640368085490817E-2</v>
          </cell>
        </row>
        <row r="110">
          <cell r="F110">
            <v>1877142</v>
          </cell>
          <cell r="G110">
            <v>116095</v>
          </cell>
        </row>
        <row r="111">
          <cell r="F111">
            <v>541071</v>
          </cell>
          <cell r="G111">
            <v>34154</v>
          </cell>
        </row>
        <row r="112">
          <cell r="F112">
            <v>348934</v>
          </cell>
          <cell r="G112">
            <v>36904</v>
          </cell>
        </row>
        <row r="113">
          <cell r="F113">
            <v>324467</v>
          </cell>
          <cell r="G113">
            <v>46990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ummsht"/>
    </sheetNames>
    <sheetDataSet>
      <sheetData sheetId="0">
        <row r="60">
          <cell r="F60">
            <v>0.2</v>
          </cell>
        </row>
        <row r="134">
          <cell r="C134" t="str">
            <v>Prepayment</v>
          </cell>
          <cell r="D134">
            <v>399.74017857832689</v>
          </cell>
          <cell r="E134">
            <v>358.11775557400102</v>
          </cell>
        </row>
        <row r="135">
          <cell r="C135">
            <v>0</v>
          </cell>
          <cell r="D135">
            <v>0.30004894282811623</v>
          </cell>
          <cell r="E135">
            <v>5.3792676242975117E-2</v>
          </cell>
        </row>
        <row r="136">
          <cell r="C136">
            <v>0.05</v>
          </cell>
          <cell r="D136">
            <v>0.25320354178881338</v>
          </cell>
          <cell r="E136">
            <v>6.5681770075035173E-2</v>
          </cell>
        </row>
        <row r="137">
          <cell r="C137">
            <v>0.1</v>
          </cell>
          <cell r="D137">
            <v>0.20622497798526063</v>
          </cell>
          <cell r="E137">
            <v>7.9037589924664753E-2</v>
          </cell>
        </row>
        <row r="138">
          <cell r="C138">
            <v>0.15000000000000002</v>
          </cell>
          <cell r="D138">
            <v>0.15911549935311234</v>
          </cell>
          <cell r="E138">
            <v>9.3672789192370182E-2</v>
          </cell>
        </row>
        <row r="139">
          <cell r="C139">
            <v>0.2</v>
          </cell>
          <cell r="D139">
            <v>0.11187787934534389</v>
          </cell>
          <cell r="E139">
            <v>0.10935888548657445</v>
          </cell>
        </row>
        <row r="140">
          <cell r="C140">
            <v>0.25</v>
          </cell>
          <cell r="D140">
            <v>6.4515379452903615E-2</v>
          </cell>
          <cell r="E140">
            <v>0.12586561470778773</v>
          </cell>
        </row>
        <row r="141">
          <cell r="C141">
            <v>0.3</v>
          </cell>
          <cell r="D141">
            <v>1.7031669609579192E-2</v>
          </cell>
          <cell r="E141">
            <v>0.14298917762938032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-REVEN"/>
      <sheetName val="51XX1"/>
      <sheetName val="97RENT (BFR)"/>
      <sheetName val="FREE RENT"/>
      <sheetName val="96RENT (AFR)"/>
      <sheetName val="STORAGE"/>
      <sheetName val="52-OTHIN"/>
      <sheetName val="PARKINC"/>
      <sheetName val="PARKRATE"/>
      <sheetName val="PARK PROF"/>
      <sheetName val="PARK GRAPH"/>
      <sheetName val="COMPAR97"/>
      <sheetName val="COMPAR972"/>
      <sheetName val="HISTEXP95"/>
      <sheetName val="OPER EXP"/>
      <sheetName val="61-SALAR"/>
      <sheetName val="61XX1"/>
      <sheetName val="62-CLEAN"/>
      <sheetName val="63-UTIL"/>
      <sheetName val="ELEC CALC"/>
      <sheetName val="WATER"/>
      <sheetName val="64-RM&amp;S"/>
      <sheetName val="65-BMS"/>
      <sheetName val="65-MGFE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TaxoPres"/>
      <sheetName val="mwareValPrintout"/>
      <sheetName val="__FDSCACHE__"/>
      <sheetName val="LVS"/>
      <sheetName val="Sum of the Parts"/>
      <sheetName val="Scenario"/>
      <sheetName val="Price Target Components"/>
      <sheetName val="Hengqin"/>
      <sheetName val="Mall"/>
      <sheetName val="Links"/>
      <sheetName val="Exhibits"/>
      <sheetName val="Exhibits 2"/>
      <sheetName val="Venetian Open Shops"/>
      <sheetName val="Chart"/>
      <sheetName val="Sensitivity"/>
      <sheetName val="Scenario Tables"/>
      <sheetName val="Assumptions"/>
      <sheetName val="Model Instructions"/>
      <sheetName val="Drivers"/>
      <sheetName val="Sources &amp; Uses"/>
      <sheetName val="worksheet"/>
      <sheetName val="mwareDates"/>
      <sheetName val="mwareSettings"/>
      <sheetName val="mStar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O Sizing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Data"/>
      <sheetName val="Debt"/>
      <sheetName val="Impact Assum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dential building"/>
      <sheetName val="Retail"/>
      <sheetName val="Office"/>
      <sheetName val="Residential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utex"/>
      <sheetName val="Research Coverage"/>
      <sheetName val="TR"/>
      <sheetName val="PV"/>
      <sheetName val="Dev CF Wksheet"/>
    </sheetNames>
    <sheetDataSet>
      <sheetData sheetId="0"/>
      <sheetData sheetId="1"/>
      <sheetData sheetId="2"/>
      <sheetData sheetId="3" refreshError="1">
        <row r="1">
          <cell r="C1" t="e">
            <v>#NAME?</v>
          </cell>
          <cell r="E1" t="e">
            <v>#NAME?</v>
          </cell>
        </row>
        <row r="4">
          <cell r="E4" t="str">
            <v>SP50.r</v>
          </cell>
        </row>
        <row r="5">
          <cell r="E5">
            <v>100</v>
          </cell>
        </row>
        <row r="6">
          <cell r="E6">
            <v>100.02318621000001</v>
          </cell>
        </row>
        <row r="7">
          <cell r="E7">
            <v>100.6361842</v>
          </cell>
        </row>
        <row r="8">
          <cell r="E8">
            <v>101.161873</v>
          </cell>
        </row>
        <row r="9">
          <cell r="E9">
            <v>102.567232</v>
          </cell>
        </row>
        <row r="10">
          <cell r="E10">
            <v>103.02617499999999</v>
          </cell>
        </row>
        <row r="11">
          <cell r="E11">
            <v>103.200424</v>
          </cell>
        </row>
        <row r="12">
          <cell r="E12">
            <v>102.541661</v>
          </cell>
        </row>
        <row r="13">
          <cell r="E13">
            <v>103.57786400000001</v>
          </cell>
        </row>
        <row r="14">
          <cell r="E14">
            <v>102.72796200000001</v>
          </cell>
        </row>
        <row r="15">
          <cell r="E15">
            <v>101.507437</v>
          </cell>
        </row>
        <row r="16">
          <cell r="E16">
            <v>102.090025</v>
          </cell>
        </row>
        <row r="17">
          <cell r="E17">
            <v>102.31246899999999</v>
          </cell>
        </row>
        <row r="18">
          <cell r="E18">
            <v>101.93244199999999</v>
          </cell>
        </row>
        <row r="19">
          <cell r="E19">
            <v>103.389895</v>
          </cell>
        </row>
        <row r="20">
          <cell r="E20">
            <v>103.0568</v>
          </cell>
        </row>
        <row r="21">
          <cell r="E21">
            <v>104.425132</v>
          </cell>
        </row>
        <row r="22">
          <cell r="E22">
            <v>104.097295</v>
          </cell>
        </row>
        <row r="23">
          <cell r="E23">
            <v>102.743661</v>
          </cell>
        </row>
        <row r="24">
          <cell r="E24">
            <v>103.367937</v>
          </cell>
        </row>
        <row r="25">
          <cell r="E25">
            <v>101.39473700000001</v>
          </cell>
        </row>
        <row r="26">
          <cell r="E26">
            <v>100.8016944</v>
          </cell>
        </row>
        <row r="27">
          <cell r="E27">
            <v>100.1745939</v>
          </cell>
        </row>
        <row r="28">
          <cell r="E28">
            <v>101.15435100000001</v>
          </cell>
        </row>
        <row r="29">
          <cell r="E29">
            <v>100.08823872000001</v>
          </cell>
        </row>
        <row r="30">
          <cell r="E30">
            <v>102.33360500000001</v>
          </cell>
        </row>
        <row r="31">
          <cell r="E31">
            <v>102.54952900000001</v>
          </cell>
        </row>
        <row r="32">
          <cell r="E32">
            <v>103.51548200000001</v>
          </cell>
        </row>
        <row r="33">
          <cell r="E33">
            <v>103.9678</v>
          </cell>
        </row>
        <row r="34">
          <cell r="E34">
            <v>104.46493599999999</v>
          </cell>
          <cell r="K34" t="b">
            <v>0</v>
          </cell>
        </row>
        <row r="35">
          <cell r="E35">
            <v>103.953934</v>
          </cell>
        </row>
        <row r="36">
          <cell r="E36">
            <v>104.45168</v>
          </cell>
        </row>
        <row r="37">
          <cell r="E37">
            <v>104.392505</v>
          </cell>
        </row>
        <row r="38">
          <cell r="E38">
            <v>105.125618</v>
          </cell>
        </row>
        <row r="39">
          <cell r="E39">
            <v>105.540943</v>
          </cell>
        </row>
        <row r="40">
          <cell r="E40">
            <v>105.288732</v>
          </cell>
        </row>
        <row r="41">
          <cell r="E41">
            <v>105.624092</v>
          </cell>
        </row>
        <row r="42">
          <cell r="E42">
            <v>104.543018</v>
          </cell>
        </row>
        <row r="43">
          <cell r="E43">
            <v>105.082393</v>
          </cell>
        </row>
        <row r="44">
          <cell r="E44">
            <v>105.21822</v>
          </cell>
        </row>
        <row r="45">
          <cell r="E45">
            <v>103.651619</v>
          </cell>
        </row>
        <row r="46">
          <cell r="E46">
            <v>103.99619300000001</v>
          </cell>
        </row>
        <row r="47">
          <cell r="E47">
            <v>103.50727999999999</v>
          </cell>
        </row>
        <row r="48">
          <cell r="E48">
            <v>103.730619</v>
          </cell>
        </row>
        <row r="49">
          <cell r="E49">
            <v>105.30663699999999</v>
          </cell>
        </row>
        <row r="50">
          <cell r="E50">
            <v>105.459177</v>
          </cell>
        </row>
        <row r="51">
          <cell r="E51">
            <v>105.36932899999999</v>
          </cell>
        </row>
        <row r="52">
          <cell r="E52">
            <v>105.74933300000001</v>
          </cell>
        </row>
        <row r="53">
          <cell r="E53">
            <v>106.58685</v>
          </cell>
        </row>
        <row r="54">
          <cell r="E54">
            <v>106.007338</v>
          </cell>
        </row>
        <row r="55">
          <cell r="E55">
            <v>105.882621</v>
          </cell>
        </row>
        <row r="56">
          <cell r="E56">
            <v>106.51946100000001</v>
          </cell>
        </row>
        <row r="57">
          <cell r="E57">
            <v>106.05495000000001</v>
          </cell>
        </row>
        <row r="58">
          <cell r="E58">
            <v>105.448234</v>
          </cell>
        </row>
        <row r="59">
          <cell r="E59">
            <v>105.393851</v>
          </cell>
        </row>
        <row r="60">
          <cell r="E60">
            <v>106.6404</v>
          </cell>
        </row>
        <row r="61">
          <cell r="E61">
            <v>106.6272</v>
          </cell>
        </row>
        <row r="62">
          <cell r="E62">
            <v>105.834305</v>
          </cell>
        </row>
        <row r="63">
          <cell r="E63">
            <v>105.15823399999999</v>
          </cell>
        </row>
        <row r="64">
          <cell r="E64">
            <v>104.207027</v>
          </cell>
        </row>
        <row r="65">
          <cell r="E65">
            <v>105.050766</v>
          </cell>
        </row>
        <row r="66">
          <cell r="E66">
            <v>104.168582</v>
          </cell>
        </row>
        <row r="67">
          <cell r="E67">
            <v>104.337728</v>
          </cell>
        </row>
        <row r="68">
          <cell r="E68">
            <v>106.03174</v>
          </cell>
        </row>
        <row r="69">
          <cell r="E69">
            <v>106.22539500000001</v>
          </cell>
        </row>
        <row r="70">
          <cell r="E70">
            <v>106.7029</v>
          </cell>
        </row>
        <row r="71">
          <cell r="E71">
            <v>106.67968999999999</v>
          </cell>
        </row>
        <row r="72">
          <cell r="E72">
            <v>107.885885</v>
          </cell>
        </row>
        <row r="73">
          <cell r="E73">
            <v>107.534778</v>
          </cell>
        </row>
        <row r="74">
          <cell r="E74">
            <v>107.374239</v>
          </cell>
        </row>
        <row r="75">
          <cell r="E75">
            <v>107.884276</v>
          </cell>
        </row>
        <row r="76">
          <cell r="E76">
            <v>107.056844</v>
          </cell>
        </row>
        <row r="77">
          <cell r="E77">
            <v>107.849288</v>
          </cell>
        </row>
        <row r="78">
          <cell r="E78">
            <v>106.929958</v>
          </cell>
        </row>
        <row r="79">
          <cell r="E79">
            <v>106.83580600000001</v>
          </cell>
        </row>
        <row r="80">
          <cell r="E80">
            <v>108.07513</v>
          </cell>
        </row>
        <row r="81">
          <cell r="E81">
            <v>108.370733</v>
          </cell>
        </row>
        <row r="82">
          <cell r="E82">
            <v>107.759154</v>
          </cell>
        </row>
        <row r="83">
          <cell r="E83">
            <v>108.47523200000001</v>
          </cell>
        </row>
        <row r="84">
          <cell r="E84">
            <v>108.62270599999999</v>
          </cell>
        </row>
        <row r="85">
          <cell r="E85">
            <v>109.92072899999999</v>
          </cell>
        </row>
        <row r="86">
          <cell r="E86">
            <v>109.871734</v>
          </cell>
        </row>
        <row r="87">
          <cell r="E87">
            <v>110.302842</v>
          </cell>
        </row>
        <row r="88">
          <cell r="E88">
            <v>110.614419</v>
          </cell>
        </row>
        <row r="89">
          <cell r="E89">
            <v>110.41458900000001</v>
          </cell>
        </row>
        <row r="90">
          <cell r="E90">
            <v>110.60133</v>
          </cell>
        </row>
        <row r="91">
          <cell r="E91">
            <v>112.013817</v>
          </cell>
        </row>
        <row r="92">
          <cell r="E92">
            <v>112.043322</v>
          </cell>
        </row>
        <row r="93">
          <cell r="E93">
            <v>112.275338</v>
          </cell>
        </row>
        <row r="94">
          <cell r="E94">
            <v>111.936772</v>
          </cell>
        </row>
        <row r="95">
          <cell r="E95">
            <v>113.32424899999999</v>
          </cell>
        </row>
        <row r="96">
          <cell r="E96">
            <v>113.47589499999999</v>
          </cell>
        </row>
        <row r="97">
          <cell r="E97">
            <v>113.77352500000001</v>
          </cell>
        </row>
        <row r="98">
          <cell r="E98">
            <v>114.34296399999999</v>
          </cell>
        </row>
        <row r="99">
          <cell r="E99">
            <v>113.32674</v>
          </cell>
        </row>
        <row r="100">
          <cell r="E100">
            <v>113.872231</v>
          </cell>
        </row>
        <row r="101">
          <cell r="E101">
            <v>113.270259</v>
          </cell>
        </row>
        <row r="102">
          <cell r="E102">
            <v>114.213145</v>
          </cell>
        </row>
        <row r="103">
          <cell r="E103">
            <v>114.36913</v>
          </cell>
        </row>
        <row r="104">
          <cell r="E104">
            <v>115.155125</v>
          </cell>
        </row>
        <row r="105">
          <cell r="E105">
            <v>115.048528</v>
          </cell>
        </row>
        <row r="106">
          <cell r="E106">
            <v>115.950954</v>
          </cell>
        </row>
        <row r="107">
          <cell r="E107">
            <v>115.580797</v>
          </cell>
        </row>
        <row r="108">
          <cell r="E108">
            <v>115.340614</v>
          </cell>
        </row>
        <row r="109">
          <cell r="E109">
            <v>116.73697</v>
          </cell>
        </row>
        <row r="110">
          <cell r="E110">
            <v>115.593827</v>
          </cell>
        </row>
        <row r="111">
          <cell r="E111">
            <v>114.03907599999999</v>
          </cell>
        </row>
        <row r="112">
          <cell r="E112">
            <v>114.637733</v>
          </cell>
        </row>
        <row r="113">
          <cell r="E113">
            <v>114.33601400000001</v>
          </cell>
        </row>
        <row r="114">
          <cell r="E114">
            <v>114.754677</v>
          </cell>
        </row>
        <row r="115">
          <cell r="E115">
            <v>114.833105</v>
          </cell>
        </row>
        <row r="116">
          <cell r="E116">
            <v>113.889945</v>
          </cell>
        </row>
        <row r="117">
          <cell r="E117">
            <v>114.102233</v>
          </cell>
        </row>
        <row r="118">
          <cell r="E118">
            <v>115.54083799999999</v>
          </cell>
        </row>
        <row r="119">
          <cell r="E119">
            <v>115.265179</v>
          </cell>
        </row>
        <row r="120">
          <cell r="E120">
            <v>115.845383</v>
          </cell>
        </row>
        <row r="121">
          <cell r="E121">
            <v>117.12397</v>
          </cell>
        </row>
        <row r="122">
          <cell r="E122">
            <v>116.56344</v>
          </cell>
        </row>
        <row r="123">
          <cell r="E123">
            <v>115.93620799999999</v>
          </cell>
        </row>
        <row r="124">
          <cell r="E124">
            <v>117.06815</v>
          </cell>
        </row>
        <row r="125">
          <cell r="E125">
            <v>116.56076</v>
          </cell>
        </row>
        <row r="126">
          <cell r="E126">
            <v>116.08477000000001</v>
          </cell>
        </row>
        <row r="127">
          <cell r="E127">
            <v>115.787519</v>
          </cell>
        </row>
        <row r="128">
          <cell r="E128">
            <v>115.474558</v>
          </cell>
        </row>
        <row r="129">
          <cell r="E129">
            <v>115.282679</v>
          </cell>
        </row>
        <row r="130">
          <cell r="E130">
            <v>115.761745</v>
          </cell>
        </row>
        <row r="131">
          <cell r="E131">
            <v>115.92023399999999</v>
          </cell>
        </row>
        <row r="132">
          <cell r="E132">
            <v>115.92469199999999</v>
          </cell>
        </row>
        <row r="133">
          <cell r="E133">
            <v>117.04525000000001</v>
          </cell>
        </row>
        <row r="134">
          <cell r="E134">
            <v>116.35242</v>
          </cell>
        </row>
        <row r="135">
          <cell r="E135">
            <v>116.58018</v>
          </cell>
        </row>
        <row r="136">
          <cell r="E136">
            <v>116.9721</v>
          </cell>
        </row>
        <row r="137">
          <cell r="E137">
            <v>117.17309</v>
          </cell>
        </row>
        <row r="138">
          <cell r="E138">
            <v>116.20394</v>
          </cell>
        </row>
        <row r="139">
          <cell r="E139">
            <v>115.535569</v>
          </cell>
        </row>
        <row r="140">
          <cell r="E140">
            <v>113.855553</v>
          </cell>
        </row>
        <row r="141">
          <cell r="E141">
            <v>112.155271</v>
          </cell>
        </row>
        <row r="142">
          <cell r="E142">
            <v>113.553346</v>
          </cell>
        </row>
        <row r="143">
          <cell r="E143">
            <v>111.92654400000001</v>
          </cell>
        </row>
        <row r="144">
          <cell r="E144">
            <v>112.55778100000001</v>
          </cell>
        </row>
        <row r="145">
          <cell r="E145">
            <v>113.889897</v>
          </cell>
        </row>
        <row r="146">
          <cell r="E146">
            <v>113.74680000000001</v>
          </cell>
        </row>
        <row r="147">
          <cell r="E147">
            <v>112.47629999999999</v>
          </cell>
        </row>
        <row r="148">
          <cell r="E148">
            <v>111.020411</v>
          </cell>
        </row>
        <row r="149">
          <cell r="E149">
            <v>110.87344899999999</v>
          </cell>
        </row>
        <row r="150">
          <cell r="E150">
            <v>110.608328</v>
          </cell>
        </row>
        <row r="151">
          <cell r="E151">
            <v>112.41846099999999</v>
          </cell>
        </row>
        <row r="152">
          <cell r="E152">
            <v>112.303985</v>
          </cell>
        </row>
        <row r="153">
          <cell r="E153">
            <v>113.784087</v>
          </cell>
        </row>
        <row r="154">
          <cell r="E154">
            <v>114.245749</v>
          </cell>
        </row>
        <row r="155">
          <cell r="E155">
            <v>114.17585699999999</v>
          </cell>
        </row>
        <row r="156">
          <cell r="E156">
            <v>114.7812</v>
          </cell>
        </row>
        <row r="157">
          <cell r="E157">
            <v>115.766132</v>
          </cell>
        </row>
        <row r="158">
          <cell r="E158">
            <v>116.65443999999999</v>
          </cell>
        </row>
        <row r="159">
          <cell r="E159">
            <v>116.44613</v>
          </cell>
        </row>
        <row r="160">
          <cell r="E160">
            <v>115.67833400000001</v>
          </cell>
        </row>
        <row r="161">
          <cell r="E161">
            <v>115.555609</v>
          </cell>
        </row>
        <row r="162">
          <cell r="E162">
            <v>116.15427</v>
          </cell>
        </row>
        <row r="163">
          <cell r="E163">
            <v>114.561165</v>
          </cell>
        </row>
        <row r="164">
          <cell r="E164">
            <v>114.43559999999999</v>
          </cell>
        </row>
        <row r="165">
          <cell r="E165">
            <v>114.503551</v>
          </cell>
        </row>
        <row r="166">
          <cell r="E166">
            <v>115.08883299999999</v>
          </cell>
        </row>
        <row r="167">
          <cell r="E167">
            <v>115.211916</v>
          </cell>
        </row>
        <row r="168">
          <cell r="E168">
            <v>113.41978399999999</v>
          </cell>
        </row>
        <row r="169">
          <cell r="E169">
            <v>114.03000400000001</v>
          </cell>
        </row>
        <row r="170">
          <cell r="E170">
            <v>115.642679</v>
          </cell>
        </row>
        <row r="171">
          <cell r="E171">
            <v>115.711951</v>
          </cell>
        </row>
        <row r="172">
          <cell r="E172">
            <v>115.19821899999999</v>
          </cell>
        </row>
        <row r="173">
          <cell r="E173">
            <v>115.45995499999999</v>
          </cell>
        </row>
        <row r="174">
          <cell r="E174">
            <v>113.884091</v>
          </cell>
        </row>
        <row r="175">
          <cell r="E175">
            <v>113.051438</v>
          </cell>
        </row>
        <row r="176">
          <cell r="E176">
            <v>112.38317499999999</v>
          </cell>
        </row>
        <row r="177">
          <cell r="E177">
            <v>113.417686</v>
          </cell>
        </row>
        <row r="178">
          <cell r="E178">
            <v>113.627863</v>
          </cell>
        </row>
        <row r="179">
          <cell r="E179">
            <v>113.845432</v>
          </cell>
        </row>
        <row r="180">
          <cell r="E180">
            <v>113.0916</v>
          </cell>
        </row>
        <row r="181">
          <cell r="E181">
            <v>111.53936400000001</v>
          </cell>
        </row>
        <row r="182">
          <cell r="E182">
            <v>110.36776399999999</v>
          </cell>
        </row>
        <row r="183">
          <cell r="E183">
            <v>111.236942</v>
          </cell>
        </row>
        <row r="184">
          <cell r="E184">
            <v>111.45919599999999</v>
          </cell>
        </row>
        <row r="185">
          <cell r="E185">
            <v>111.38378400000001</v>
          </cell>
        </row>
        <row r="186">
          <cell r="E186">
            <v>111.319208</v>
          </cell>
        </row>
        <row r="187">
          <cell r="E187">
            <v>110.151089</v>
          </cell>
        </row>
        <row r="188">
          <cell r="E188">
            <v>110.90537399999999</v>
          </cell>
        </row>
        <row r="189">
          <cell r="E189">
            <v>110.638165</v>
          </cell>
        </row>
        <row r="190">
          <cell r="E190">
            <v>110.692263</v>
          </cell>
        </row>
        <row r="191">
          <cell r="E191">
            <v>111.137342</v>
          </cell>
        </row>
        <row r="192">
          <cell r="E192">
            <v>111.32617</v>
          </cell>
        </row>
        <row r="193">
          <cell r="E193">
            <v>113.119364</v>
          </cell>
        </row>
        <row r="194">
          <cell r="E194">
            <v>113.32742</v>
          </cell>
        </row>
        <row r="195">
          <cell r="E195">
            <v>113.984526</v>
          </cell>
        </row>
        <row r="196">
          <cell r="E196">
            <v>113.925552</v>
          </cell>
        </row>
        <row r="197">
          <cell r="E197">
            <v>113.979387</v>
          </cell>
        </row>
        <row r="198">
          <cell r="E198">
            <v>114.400649</v>
          </cell>
        </row>
        <row r="199">
          <cell r="E199">
            <v>113.553775</v>
          </cell>
        </row>
        <row r="200">
          <cell r="E200">
            <v>114.151729</v>
          </cell>
        </row>
        <row r="201">
          <cell r="E201">
            <v>115.979195</v>
          </cell>
        </row>
        <row r="202">
          <cell r="E202">
            <v>116.16731</v>
          </cell>
        </row>
        <row r="203">
          <cell r="E203">
            <v>115.073145</v>
          </cell>
        </row>
        <row r="204">
          <cell r="E204">
            <v>115.600503</v>
          </cell>
        </row>
        <row r="205">
          <cell r="E205">
            <v>114.49298899999999</v>
          </cell>
        </row>
        <row r="206">
          <cell r="E206">
            <v>115.178704</v>
          </cell>
        </row>
        <row r="207">
          <cell r="E207">
            <v>115.338945</v>
          </cell>
        </row>
        <row r="208">
          <cell r="E208">
            <v>115.18640499999999</v>
          </cell>
        </row>
        <row r="209">
          <cell r="E209">
            <v>115.488828</v>
          </cell>
        </row>
        <row r="210">
          <cell r="E210">
            <v>115.00919999999999</v>
          </cell>
        </row>
        <row r="211">
          <cell r="E211">
            <v>115.4296875</v>
          </cell>
        </row>
        <row r="212">
          <cell r="E212">
            <v>116.41281000000001</v>
          </cell>
        </row>
        <row r="213">
          <cell r="E213">
            <v>116.08888</v>
          </cell>
        </row>
        <row r="214">
          <cell r="E214">
            <v>115.45626</v>
          </cell>
        </row>
        <row r="215">
          <cell r="E215">
            <v>115.365458</v>
          </cell>
        </row>
        <row r="216">
          <cell r="E216">
            <v>115.657819</v>
          </cell>
        </row>
        <row r="217">
          <cell r="E217">
            <v>116.14157</v>
          </cell>
        </row>
        <row r="218">
          <cell r="E218">
            <v>114.943957</v>
          </cell>
        </row>
        <row r="219">
          <cell r="E219">
            <v>114.584947</v>
          </cell>
        </row>
        <row r="220">
          <cell r="E220">
            <v>113.651252</v>
          </cell>
        </row>
        <row r="221">
          <cell r="E221">
            <v>113.895607</v>
          </cell>
        </row>
        <row r="222">
          <cell r="E222">
            <v>112.963307</v>
          </cell>
        </row>
        <row r="223">
          <cell r="E223">
            <v>113.345564</v>
          </cell>
        </row>
        <row r="224">
          <cell r="E224">
            <v>113.505495</v>
          </cell>
        </row>
        <row r="225">
          <cell r="E225">
            <v>113.591469</v>
          </cell>
        </row>
        <row r="226">
          <cell r="E226">
            <v>113.2213</v>
          </cell>
        </row>
        <row r="227">
          <cell r="E227">
            <v>112.73437799999999</v>
          </cell>
        </row>
        <row r="228">
          <cell r="E228">
            <v>112.196016</v>
          </cell>
        </row>
        <row r="229">
          <cell r="E229">
            <v>112.14610399999999</v>
          </cell>
        </row>
        <row r="230">
          <cell r="E230">
            <v>112.938107</v>
          </cell>
        </row>
        <row r="231">
          <cell r="E231">
            <v>111.44079000000001</v>
          </cell>
        </row>
        <row r="232">
          <cell r="E232">
            <v>111.745143</v>
          </cell>
        </row>
        <row r="233">
          <cell r="E233">
            <v>110.66145899999999</v>
          </cell>
        </row>
        <row r="234">
          <cell r="E234">
            <v>110.445083</v>
          </cell>
        </row>
        <row r="235">
          <cell r="E235">
            <v>111.541307</v>
          </cell>
        </row>
        <row r="236">
          <cell r="E236">
            <v>111.621737</v>
          </cell>
        </row>
        <row r="237">
          <cell r="E237">
            <v>112.16523599999999</v>
          </cell>
        </row>
        <row r="238">
          <cell r="E238">
            <v>112.297285</v>
          </cell>
        </row>
        <row r="239">
          <cell r="E239">
            <v>112.796915</v>
          </cell>
        </row>
        <row r="240">
          <cell r="E240">
            <v>112.09122000000001</v>
          </cell>
        </row>
        <row r="241">
          <cell r="E241">
            <v>112.00194399999999</v>
          </cell>
        </row>
        <row r="242">
          <cell r="E242">
            <v>110.178388</v>
          </cell>
        </row>
        <row r="243">
          <cell r="E243">
            <v>108.47886800000001</v>
          </cell>
        </row>
        <row r="244">
          <cell r="E244">
            <v>108.60954599999999</v>
          </cell>
        </row>
        <row r="245">
          <cell r="E245">
            <v>110.020447</v>
          </cell>
        </row>
        <row r="246">
          <cell r="E246">
            <v>109.74878099999999</v>
          </cell>
        </row>
        <row r="247">
          <cell r="E247">
            <v>108.470023</v>
          </cell>
        </row>
        <row r="248">
          <cell r="E248">
            <v>108.642912</v>
          </cell>
        </row>
        <row r="249">
          <cell r="E249">
            <v>110.13001300000001</v>
          </cell>
        </row>
        <row r="250">
          <cell r="E250">
            <v>110.381269</v>
          </cell>
        </row>
        <row r="251">
          <cell r="E251">
            <v>111.77551699999999</v>
          </cell>
        </row>
        <row r="252">
          <cell r="E252">
            <v>111.377263</v>
          </cell>
        </row>
        <row r="253">
          <cell r="E253">
            <v>112.10397500000001</v>
          </cell>
        </row>
        <row r="254">
          <cell r="E254">
            <v>111.841989</v>
          </cell>
        </row>
        <row r="255">
          <cell r="E255">
            <v>111.895597</v>
          </cell>
        </row>
        <row r="256">
          <cell r="E256">
            <v>112.79674799999999</v>
          </cell>
        </row>
        <row r="257">
          <cell r="E257">
            <v>112.81091000000001</v>
          </cell>
        </row>
        <row r="258">
          <cell r="E258">
            <v>113.09780000000001</v>
          </cell>
        </row>
        <row r="259">
          <cell r="E259">
            <v>112.228787</v>
          </cell>
        </row>
        <row r="260">
          <cell r="E260">
            <v>112.751794</v>
          </cell>
        </row>
        <row r="261">
          <cell r="E261">
            <v>112.95820499999999</v>
          </cell>
        </row>
        <row r="262">
          <cell r="E262">
            <v>114.22591199999999</v>
          </cell>
        </row>
        <row r="263">
          <cell r="E263">
            <v>113.74926600000001</v>
          </cell>
        </row>
        <row r="264">
          <cell r="E264">
            <v>114.53805</v>
          </cell>
        </row>
        <row r="265">
          <cell r="E265">
            <v>114.04469</v>
          </cell>
        </row>
        <row r="266">
          <cell r="E266">
            <v>114.260864</v>
          </cell>
        </row>
        <row r="267">
          <cell r="E267">
            <v>114.8278</v>
          </cell>
        </row>
        <row r="268">
          <cell r="E268">
            <v>115.053428</v>
          </cell>
        </row>
        <row r="269">
          <cell r="E269">
            <v>115.31024000000001</v>
          </cell>
        </row>
        <row r="270">
          <cell r="E270">
            <v>114.500117</v>
          </cell>
        </row>
        <row r="271">
          <cell r="E271">
            <v>114.823055</v>
          </cell>
        </row>
        <row r="272">
          <cell r="E272">
            <v>115.34037599999999</v>
          </cell>
        </row>
        <row r="273">
          <cell r="E273">
            <v>114.691604</v>
          </cell>
        </row>
        <row r="274">
          <cell r="E274">
            <v>115.41853</v>
          </cell>
        </row>
        <row r="275">
          <cell r="E275">
            <v>113.812089</v>
          </cell>
        </row>
        <row r="276">
          <cell r="E276">
            <v>113.30409</v>
          </cell>
        </row>
        <row r="277">
          <cell r="E277">
            <v>113.483024</v>
          </cell>
        </row>
        <row r="278">
          <cell r="E278">
            <v>112.80998</v>
          </cell>
        </row>
        <row r="279">
          <cell r="E279">
            <v>113.497925</v>
          </cell>
        </row>
      </sheetData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X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1"/>
      <sheetName val="Sheet1"/>
      <sheetName val="BAL-2"/>
      <sheetName val="PTR-3"/>
      <sheetName val="CSH-4"/>
      <sheetName val="INC-5"/>
      <sheetName val="may31bs"/>
      <sheetName val="Sched 16 1997"/>
      <sheetName val="Sched 23"/>
      <sheetName val="96 Bud_Proj"/>
      <sheetName val="Sched 16"/>
      <sheetName val="Contents"/>
      <sheetName val="Sched 19"/>
      <sheetName val="Sched 20"/>
      <sheetName val="Sched 21"/>
      <sheetName val="Sched 4"/>
      <sheetName val="Sched 3"/>
      <sheetName val="Sched 2"/>
      <sheetName val="Sched 4a"/>
      <sheetName val="Sched 5"/>
      <sheetName val="Sched 13"/>
      <sheetName val="Sched 17"/>
      <sheetName val="Sched 18"/>
      <sheetName val="TB Soccresv Dump"/>
      <sheetName val="334DEPR"/>
      <sheetName val="Tenants"/>
      <sheetName val="INVOICES"/>
      <sheetName val="Submeter (7e)"/>
      <sheetName val="64-500"/>
      <sheetName val="63-100"/>
      <sheetName val="TPS BACKUP"/>
      <sheetName val="DPW 18 &amp; 19"/>
      <sheetName val="Summary"/>
      <sheetName val="Esc_Exps"/>
      <sheetName val="ignore3"/>
      <sheetName val="1997"/>
      <sheetName val="Superseded"/>
      <sheetName val="III.C2 Var Exp Summary"/>
      <sheetName val="I.A Executive Summary"/>
      <sheetName val="III.E3 Op Exp Detail"/>
      <sheetName val="Proforma"/>
      <sheetName val="INPUT General Assumptions"/>
      <sheetName val="Assumptions"/>
      <sheetName val="Budget"/>
      <sheetName val="Data_Input"/>
      <sheetName val="TaxCalculations"/>
      <sheetName val="RE Tax Assessment"/>
      <sheetName val="Membership Lookup "/>
      <sheetName val="Sched_16_1997"/>
      <sheetName val="Sched_23"/>
      <sheetName val="96_Bud_Proj"/>
      <sheetName val="Sched_16"/>
      <sheetName val="Sched_19"/>
      <sheetName val="Sched_20"/>
      <sheetName val="Sched_21"/>
      <sheetName val="Sched_4"/>
      <sheetName val="Sched_3"/>
      <sheetName val="Sched_2"/>
      <sheetName val="Sched_4a"/>
      <sheetName val="Sched_5"/>
      <sheetName val="Sched_13"/>
      <sheetName val="Sched_17"/>
      <sheetName val="Sched_18"/>
      <sheetName val="TB_Soccresv_Dump"/>
      <sheetName val="Submeter_(7e)"/>
      <sheetName val="TPS_BACKUP"/>
      <sheetName val="DPW_18_&amp;_19"/>
      <sheetName val="III_C2_Var_Exp_Summary"/>
      <sheetName val="I_A_Executive_Summary"/>
      <sheetName val="III_E3_Op_Exp_Detail"/>
      <sheetName val="varWB"/>
      <sheetName val="DEPRECIATION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RENT (AFR)"/>
      <sheetName val="FITREV"/>
      <sheetName val="DPW 18 &amp; 19"/>
      <sheetName val="TPS BACKUP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_graphs"/>
      <sheetName val="Summary"/>
      <sheetName val="IRR_Calculation"/>
      <sheetName val="dropdown fields"/>
      <sheetName val="list"/>
      <sheetName val="2015 YE Act"/>
      <sheetName val="Rooms"/>
      <sheetName val="MSTR"/>
      <sheetName val="Bank List"/>
      <sheetName val="Trans Type"/>
      <sheetName val="Lookups"/>
      <sheetName val="Supporting Schedules"/>
      <sheetName val="Input Page"/>
      <sheetName val="Data Validations"/>
      <sheetName val="2QFINSUM"/>
      <sheetName val="II-Consolidated RentRoll"/>
      <sheetName val="MATRIX"/>
      <sheetName val="AE Reference Sheet"/>
      <sheetName val="Underwriting Assumptions"/>
      <sheetName val="Occ Cost Analysis"/>
      <sheetName val="AE RR"/>
      <sheetName val="Sheet5"/>
      <sheetName val="Leasing Activity"/>
      <sheetName val="Summary Stats"/>
      <sheetName val="Summary Stats - Dec"/>
      <sheetName val="Deduction"/>
      <sheetName val="Occupied Area"/>
      <sheetName val="CF"/>
      <sheetName val="PGR"/>
      <sheetName val="Deduction - Dec"/>
      <sheetName val="Occupied Area - Dec"/>
      <sheetName val="CF - Dec"/>
      <sheetName val="PGR - Dec"/>
      <sheetName val="Rent Roll 1.17"/>
      <sheetName val="Total Tenant Revenue "/>
      <sheetName val="Property Sales and Occupancy Co"/>
      <sheetName val="Sch Base Rental Rev"/>
      <sheetName val="Retail Sales % Rev"/>
      <sheetName val="Exp Reimb"/>
      <sheetName val="Retail Sales"/>
      <sheetName val="Leases"/>
      <sheetName val="Sheet1"/>
      <sheetName val="Sales"/>
      <sheetName val="Sales Data"/>
      <sheetName val="Sales Data v2"/>
    </sheetNames>
    <sheetDataSet>
      <sheetData sheetId="0" refreshError="1">
        <row r="12">
          <cell r="A12" t="str">
            <v>Yr 1</v>
          </cell>
          <cell r="H12">
            <v>21312753</v>
          </cell>
        </row>
        <row r="13">
          <cell r="H13">
            <v>22703977</v>
          </cell>
        </row>
        <row r="14">
          <cell r="H14">
            <v>23289088</v>
          </cell>
        </row>
        <row r="15">
          <cell r="H15">
            <v>23894859</v>
          </cell>
        </row>
        <row r="16">
          <cell r="H16">
            <v>24719909</v>
          </cell>
        </row>
        <row r="17">
          <cell r="H17">
            <v>25975167</v>
          </cell>
        </row>
        <row r="18">
          <cell r="H18">
            <v>28691489</v>
          </cell>
        </row>
        <row r="19">
          <cell r="H19">
            <v>30659817</v>
          </cell>
        </row>
        <row r="20">
          <cell r="H20">
            <v>31193653</v>
          </cell>
        </row>
        <row r="21">
          <cell r="H21">
            <v>32157016</v>
          </cell>
        </row>
        <row r="22">
          <cell r="H22">
            <v>33663611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12">
          <cell r="G12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ogicTools"/>
      <sheetName val="TASKLOG"/>
      <sheetName val="Settings_Properties"/>
      <sheetName val="Settings_Parameters"/>
      <sheetName val="Unleveraged Cash Flow"/>
      <sheetName val="Executive Summary"/>
      <sheetName val="Monthly Cash Flow"/>
      <sheetName val="Debt Inputs"/>
      <sheetName val="Annual Leveraged Summary"/>
      <sheetName val="Monthly Leveraged Cash Flow"/>
      <sheetName val="DebtValidation"/>
      <sheetName val="DebtSupport"/>
      <sheetName val="Waterfall"/>
      <sheetName val="X1"/>
      <sheetName val="Rent Roll"/>
      <sheetName val="In Place"/>
      <sheetName val="Rollover"/>
      <sheetName val="Expirations"/>
      <sheetName val="Occupancy"/>
      <sheetName val="MLA Detail"/>
      <sheetName val="Market Summary"/>
      <sheetName val="Unleveraged IRR Calcs"/>
      <sheetName val="Leveraged IRR Calcs"/>
      <sheetName val="Exceptions"/>
    </sheetNames>
    <sheetDataSet>
      <sheetData sheetId="0" refreshError="1"/>
      <sheetData sheetId="1" refreshError="1"/>
      <sheetData sheetId="2" refreshError="1"/>
      <sheetData sheetId="3">
        <row r="8">
          <cell r="B8">
            <v>40452</v>
          </cell>
        </row>
      </sheetData>
      <sheetData sheetId="4"/>
      <sheetData sheetId="5" refreshError="1"/>
      <sheetData sheetId="6"/>
      <sheetData sheetId="7">
        <row r="19">
          <cell r="AH19" t="str">
            <v>No</v>
          </cell>
          <cell r="AK19" t="str">
            <v>No</v>
          </cell>
          <cell r="AN19" t="str">
            <v>No</v>
          </cell>
        </row>
        <row r="24">
          <cell r="J24">
            <v>0</v>
          </cell>
          <cell r="V24">
            <v>0</v>
          </cell>
        </row>
        <row r="26">
          <cell r="J26">
            <v>0.75</v>
          </cell>
        </row>
        <row r="28">
          <cell r="J28">
            <v>0.01</v>
          </cell>
          <cell r="V28">
            <v>0</v>
          </cell>
          <cell r="AH28">
            <v>0</v>
          </cell>
        </row>
        <row r="29">
          <cell r="J29">
            <v>0</v>
          </cell>
          <cell r="V29">
            <v>0</v>
          </cell>
          <cell r="AH29">
            <v>0</v>
          </cell>
        </row>
        <row r="44"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G44">
            <v>0</v>
          </cell>
        </row>
        <row r="45">
          <cell r="AR45">
            <v>88500000</v>
          </cell>
          <cell r="AS45">
            <v>-885000</v>
          </cell>
        </row>
      </sheetData>
      <sheetData sheetId="8" refreshError="1"/>
      <sheetData sheetId="9"/>
      <sheetData sheetId="10">
        <row r="2">
          <cell r="A2" t="str">
            <v>None</v>
          </cell>
          <cell r="C2" t="str">
            <v>30/360</v>
          </cell>
          <cell r="D2" t="str">
            <v>Fixed Rate</v>
          </cell>
          <cell r="E2" t="str">
            <v>Amount</v>
          </cell>
          <cell r="J2" t="str">
            <v>Senior</v>
          </cell>
          <cell r="K2" t="str">
            <v>Yes</v>
          </cell>
        </row>
        <row r="3">
          <cell r="A3" t="str">
            <v>Existing Note</v>
          </cell>
          <cell r="C3" t="str">
            <v>Actual/360</v>
          </cell>
          <cell r="D3" t="str">
            <v>Floating Rate</v>
          </cell>
          <cell r="E3" t="str">
            <v>% of Purchase Price</v>
          </cell>
          <cell r="J3" t="str">
            <v>Subordinated</v>
          </cell>
          <cell r="K3" t="str">
            <v>No</v>
          </cell>
        </row>
        <row r="4">
          <cell r="A4" t="str">
            <v>New Funding</v>
          </cell>
          <cell r="C4" t="str">
            <v>Actual/365</v>
          </cell>
          <cell r="E4" t="str">
            <v>% of Direct Cap Value</v>
          </cell>
        </row>
        <row r="5">
          <cell r="A5" t="str">
            <v>Refinance</v>
          </cell>
        </row>
      </sheetData>
      <sheetData sheetId="11">
        <row r="2">
          <cell r="C2" t="b">
            <v>1</v>
          </cell>
          <cell r="D2" t="b">
            <v>1</v>
          </cell>
          <cell r="E2" t="b">
            <v>0</v>
          </cell>
        </row>
        <row r="3">
          <cell r="C3" t="b">
            <v>0</v>
          </cell>
          <cell r="D3" t="b">
            <v>1</v>
          </cell>
          <cell r="E3" t="b">
            <v>0</v>
          </cell>
        </row>
        <row r="4">
          <cell r="C4" t="b">
            <v>1</v>
          </cell>
          <cell r="D4" t="b">
            <v>1</v>
          </cell>
          <cell r="E4" t="b">
            <v>0</v>
          </cell>
        </row>
        <row r="5">
          <cell r="C5" t="b">
            <v>1</v>
          </cell>
          <cell r="D5" t="b">
            <v>1</v>
          </cell>
          <cell r="E5" t="b">
            <v>0</v>
          </cell>
        </row>
        <row r="6">
          <cell r="C6" t="b">
            <v>0</v>
          </cell>
          <cell r="D6" t="b">
            <v>1</v>
          </cell>
          <cell r="E6" t="b">
            <v>0</v>
          </cell>
        </row>
        <row r="7">
          <cell r="C7" t="b">
            <v>1</v>
          </cell>
          <cell r="D7" t="b">
            <v>0</v>
          </cell>
          <cell r="E7" t="b">
            <v>0</v>
          </cell>
        </row>
        <row r="8">
          <cell r="C8" t="b">
            <v>1</v>
          </cell>
          <cell r="D8" t="b">
            <v>1</v>
          </cell>
          <cell r="E8" t="b">
            <v>0</v>
          </cell>
        </row>
        <row r="9">
          <cell r="C9" t="b">
            <v>1</v>
          </cell>
          <cell r="D9" t="b">
            <v>1</v>
          </cell>
          <cell r="E9" t="b">
            <v>0</v>
          </cell>
        </row>
        <row r="10">
          <cell r="C10" t="b">
            <v>0</v>
          </cell>
          <cell r="D10" t="b">
            <v>0</v>
          </cell>
          <cell r="E10" t="b">
            <v>0</v>
          </cell>
        </row>
        <row r="11">
          <cell r="C11" t="b">
            <v>1</v>
          </cell>
          <cell r="D11" t="b">
            <v>1</v>
          </cell>
          <cell r="E11" t="b">
            <v>0</v>
          </cell>
        </row>
        <row r="12">
          <cell r="E12" t="b">
            <v>0</v>
          </cell>
        </row>
        <row r="13">
          <cell r="E13" t="b">
            <v>0</v>
          </cell>
        </row>
        <row r="14">
          <cell r="E14" t="b">
            <v>0</v>
          </cell>
        </row>
        <row r="17">
          <cell r="C17" t="str">
            <v>Funding Amount:</v>
          </cell>
          <cell r="D17" t="str">
            <v>Funding Amount:</v>
          </cell>
          <cell r="E17" t="str">
            <v>Funding Amount:</v>
          </cell>
        </row>
        <row r="18">
          <cell r="C18" t="str">
            <v>Purchase Price:</v>
          </cell>
          <cell r="D18">
            <v>0</v>
          </cell>
          <cell r="E18">
            <v>0</v>
          </cell>
        </row>
        <row r="19">
          <cell r="C19" t="str">
            <v>% Financed:</v>
          </cell>
          <cell r="D19">
            <v>0</v>
          </cell>
          <cell r="E19">
            <v>0</v>
          </cell>
        </row>
        <row r="20">
          <cell r="C20" t="str">
            <v>Term (Months):</v>
          </cell>
          <cell r="D20" t="str">
            <v>Term (Months):</v>
          </cell>
          <cell r="E20" t="str">
            <v>Term (Months):</v>
          </cell>
        </row>
        <row r="21">
          <cell r="C21" t="str">
            <v>IO Period (Months):</v>
          </cell>
          <cell r="D21" t="str">
            <v>IO Period (Months, Min: 24):</v>
          </cell>
          <cell r="E21" t="str">
            <v>IO Period (Months):</v>
          </cell>
        </row>
        <row r="22">
          <cell r="C22" t="str">
            <v>Amort (Months):</v>
          </cell>
          <cell r="D22" t="str">
            <v>Amort (Months):</v>
          </cell>
          <cell r="E22" t="str">
            <v>Amort (Months):</v>
          </cell>
        </row>
        <row r="23">
          <cell r="C23" t="str">
            <v>Maturity:</v>
          </cell>
          <cell r="D23" t="str">
            <v>Prepayment:</v>
          </cell>
          <cell r="E23" t="str">
            <v>Maturity:</v>
          </cell>
        </row>
        <row r="24">
          <cell r="C24" t="str">
            <v>Interest Rate:</v>
          </cell>
          <cell r="D24" t="str">
            <v>Interest Rate:</v>
          </cell>
          <cell r="E24" t="str">
            <v>Initial Interest Rate:</v>
          </cell>
        </row>
        <row r="26">
          <cell r="C26">
            <v>1</v>
          </cell>
          <cell r="D26">
            <v>1</v>
          </cell>
          <cell r="E26">
            <v>1</v>
          </cell>
        </row>
        <row r="27">
          <cell r="C27">
            <v>60</v>
          </cell>
          <cell r="D27">
            <v>240</v>
          </cell>
          <cell r="E27">
            <v>0</v>
          </cell>
        </row>
        <row r="28">
          <cell r="C28">
            <v>60</v>
          </cell>
          <cell r="D28">
            <v>240</v>
          </cell>
          <cell r="E28">
            <v>0</v>
          </cell>
        </row>
        <row r="29">
          <cell r="C29">
            <v>0</v>
          </cell>
          <cell r="D29">
            <v>24</v>
          </cell>
          <cell r="E29">
            <v>0</v>
          </cell>
        </row>
        <row r="30">
          <cell r="C30">
            <v>0</v>
          </cell>
          <cell r="D30">
            <v>24</v>
          </cell>
          <cell r="E30">
            <v>0</v>
          </cell>
        </row>
        <row r="31">
          <cell r="C31">
            <v>0</v>
          </cell>
          <cell r="D31">
            <v>24</v>
          </cell>
          <cell r="E31">
            <v>0</v>
          </cell>
        </row>
        <row r="32">
          <cell r="C32">
            <v>1</v>
          </cell>
          <cell r="D32">
            <v>0</v>
          </cell>
          <cell r="E32">
            <v>0</v>
          </cell>
        </row>
        <row r="33">
          <cell r="C33">
            <v>60</v>
          </cell>
          <cell r="D33">
            <v>60</v>
          </cell>
          <cell r="E33">
            <v>0</v>
          </cell>
        </row>
        <row r="34">
          <cell r="C34" t="b">
            <v>0</v>
          </cell>
          <cell r="D34" t="b">
            <v>0</v>
          </cell>
        </row>
        <row r="35">
          <cell r="C35" t="b">
            <v>0</v>
          </cell>
          <cell r="D35" t="b">
            <v>1</v>
          </cell>
          <cell r="E35" t="b">
            <v>0</v>
          </cell>
        </row>
        <row r="36">
          <cell r="E36" t="b">
            <v>0</v>
          </cell>
        </row>
        <row r="37">
          <cell r="E37" t="b">
            <v>0</v>
          </cell>
        </row>
        <row r="38">
          <cell r="C38">
            <v>88500000</v>
          </cell>
          <cell r="D38">
            <v>0</v>
          </cell>
          <cell r="E38">
            <v>0</v>
          </cell>
        </row>
        <row r="39">
          <cell r="C39">
            <v>1</v>
          </cell>
          <cell r="D39">
            <v>1</v>
          </cell>
        </row>
      </sheetData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ogicTools"/>
      <sheetName val="TASKLOG"/>
      <sheetName val="Settings_Properties"/>
      <sheetName val="Settings_Parameters"/>
      <sheetName val="Executive Summary"/>
      <sheetName val="Portfolio Valuation"/>
      <sheetName val="Annual Cons. Cash Flow"/>
      <sheetName val="Monthly Cons. Cash Flow"/>
      <sheetName val="Portfolio Cash Flow Detail"/>
      <sheetName val="Debt Inputs"/>
      <sheetName val="Annual Leveraged Summary"/>
      <sheetName val="Monthly Leveraged Cash Flow"/>
      <sheetName val="DebtValidation"/>
      <sheetName val="DebtSupport"/>
      <sheetName val="Waterfall"/>
      <sheetName val="X1"/>
      <sheetName val="Rent Roll"/>
      <sheetName val="In Place"/>
      <sheetName val="Rollover"/>
      <sheetName val="Portfolio Market Assumptions"/>
      <sheetName val="Portfolio DCF Detail"/>
      <sheetName val="Unleveraged IRR Calcs"/>
      <sheetName val="Leveraged IRR Calcs"/>
      <sheetName val="TS - Total SF"/>
      <sheetName val="TS - Occupied SF"/>
      <sheetName val="TS - Base Rent"/>
      <sheetName val="TS - CPI"/>
      <sheetName val="TS - PW"/>
      <sheetName val="TS - Misc Rent"/>
      <sheetName val="TS - Percent Rent"/>
      <sheetName val="TS - Reimbursements"/>
      <sheetName val="TS - Other Income"/>
      <sheetName val="TS - Vacancy"/>
      <sheetName val="TS - Credit Loss"/>
      <sheetName val="TS - Recoverable Exp."/>
      <sheetName val="TS - Non-Recoverable Exp."/>
      <sheetName val="TS - TI"/>
      <sheetName val="TS - LC"/>
      <sheetName val="TS - Other Capital"/>
      <sheetName val="TS - Revenue"/>
      <sheetName val="TS - Net Operating Income"/>
      <sheetName val="TS - Cash Flow"/>
      <sheetName val="TS - Occupancy"/>
      <sheetName val="TS - Economic Occupancy"/>
      <sheetName val="Ex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None</v>
          </cell>
        </row>
        <row r="5">
          <cell r="C5" t="str">
            <v>Coupon (1 Yr)</v>
          </cell>
        </row>
        <row r="6">
          <cell r="C6" t="str">
            <v>Coupon (6 Mo)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PI"/>
      <sheetName val="1997"/>
      <sheetName val="1998"/>
      <sheetName val="1999"/>
      <sheetName val="2000"/>
      <sheetName val="2001"/>
      <sheetName val="AFR Analysis"/>
      <sheetName val="Host Average"/>
      <sheetName val="H1"/>
      <sheetName val="H2"/>
      <sheetName val="H3"/>
      <sheetName val="Master Cost Comps"/>
      <sheetName val="STR Graph"/>
      <sheetName val="Master Utilization Comps"/>
      <sheetName val="Visitation"/>
      <sheetName val="Lodg"/>
      <sheetName val="Camp"/>
      <sheetName val="FB"/>
      <sheetName val="Retail"/>
      <sheetName val="S Station"/>
      <sheetName val="Fin Bases"/>
      <sheetName val="P&amp;L - SQ"/>
      <sheetName val="Lodg (S)"/>
      <sheetName val="Camp (S)"/>
      <sheetName val="FB (S)"/>
      <sheetName val="Retail (S)"/>
      <sheetName val="S Station (S)"/>
      <sheetName val="Fin Bases (S)"/>
      <sheetName val="CFIP"/>
      <sheetName val="Scenarios"/>
      <sheetName val="P&amp;L (S)"/>
      <sheetName val="CB"/>
      <sheetName val="S&amp;P"/>
      <sheetName val="PreOpen"/>
      <sheetName val="FFA"/>
      <sheetName val="IRR"/>
      <sheetName val="Control"/>
      <sheetName val="Matrix"/>
      <sheetName val="Matrix Builder"/>
      <sheetName val="MC1"/>
      <sheetName val="NPS Model Pisgah Inn Update Cle"/>
      <sheetName val="Data 1"/>
      <sheetName val="CRITERIA1"/>
      <sheetName val="CPI Table"/>
      <sheetName val="Inputs"/>
      <sheetName val="Assum"/>
      <sheetName val="Vendor List"/>
      <sheetName val="NPS%20Model%20Pisgah%20Inn%20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ogicTools"/>
      <sheetName val="TASKLOG"/>
      <sheetName val="Settings_Properties"/>
      <sheetName val="Settings_Parameters"/>
      <sheetName val="Executive Summary"/>
      <sheetName val="Portfolio Valuation"/>
      <sheetName val="Annual Cons. Cash Flow"/>
      <sheetName val="Monthly Cons. Cash Flow"/>
      <sheetName val="Portfolio Cash Flow Detail"/>
      <sheetName val="Debt Inputs"/>
      <sheetName val="Annual Leveraged Summary"/>
      <sheetName val="Monthly Leveraged Cash Flow"/>
      <sheetName val="DebtValidation"/>
      <sheetName val="DebtSupport"/>
      <sheetName val="Waterfall"/>
      <sheetName val="X1"/>
      <sheetName val="Rent Roll"/>
      <sheetName val="In Place"/>
      <sheetName val="Rollover"/>
      <sheetName val="Portfolio Market Assumptions"/>
      <sheetName val="Portfolio DCF Detail"/>
      <sheetName val="Unleveraged IRR Calcs"/>
      <sheetName val="Leveraged IRR Calcs"/>
      <sheetName val="Exceptions"/>
    </sheetNames>
    <sheetDataSet>
      <sheetData sheetId="0" refreshError="1"/>
      <sheetData sheetId="1" refreshError="1"/>
      <sheetData sheetId="2" refreshError="1"/>
      <sheetData sheetId="3" refreshError="1">
        <row r="8">
          <cell r="B8">
            <v>40664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Analysis"/>
      <sheetName val="Global - Custome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23"/>
  <sheetViews>
    <sheetView showGridLines="0" view="pageBreakPreview" zoomScaleNormal="100" zoomScaleSheetLayoutView="100" workbookViewId="0">
      <selection activeCell="Q16" sqref="Q16"/>
    </sheetView>
  </sheetViews>
  <sheetFormatPr defaultColWidth="9.140625" defaultRowHeight="14.25"/>
  <cols>
    <col min="1" max="2" width="1.85546875" style="58" customWidth="1"/>
    <col min="3" max="3" width="1.42578125" style="58" customWidth="1"/>
    <col min="4" max="11" width="10.42578125" style="58" customWidth="1"/>
    <col min="12" max="12" width="1.42578125" style="58" customWidth="1"/>
    <col min="13" max="13" width="1.85546875" style="58" customWidth="1"/>
    <col min="14" max="16384" width="9.140625" style="58"/>
  </cols>
  <sheetData>
    <row r="1" spans="3:12" ht="18.75" customHeight="1"/>
    <row r="2" spans="3:12" ht="18.75" customHeight="1">
      <c r="C2" s="310"/>
      <c r="D2" s="74"/>
      <c r="E2" s="74"/>
      <c r="F2" s="74"/>
      <c r="G2" s="74"/>
      <c r="H2" s="74"/>
      <c r="I2" s="74"/>
      <c r="J2" s="74"/>
      <c r="K2" s="74"/>
      <c r="L2" s="311"/>
    </row>
    <row r="3" spans="3:12">
      <c r="C3" s="312"/>
      <c r="D3" s="313"/>
      <c r="L3" s="314"/>
    </row>
    <row r="4" spans="3:12">
      <c r="C4" s="312"/>
      <c r="L4" s="314"/>
    </row>
    <row r="5" spans="3:12">
      <c r="C5" s="312"/>
      <c r="L5" s="314"/>
    </row>
    <row r="6" spans="3:12">
      <c r="C6" s="312"/>
      <c r="L6" s="314"/>
    </row>
    <row r="7" spans="3:12">
      <c r="C7" s="312"/>
      <c r="L7" s="314"/>
    </row>
    <row r="8" spans="3:12">
      <c r="C8" s="312"/>
      <c r="L8" s="314"/>
    </row>
    <row r="9" spans="3:12" ht="35.25">
      <c r="C9" s="315" t="s">
        <v>259</v>
      </c>
      <c r="D9" s="316"/>
      <c r="E9" s="316"/>
      <c r="F9" s="316"/>
      <c r="G9" s="316"/>
      <c r="H9" s="316"/>
      <c r="I9" s="316"/>
      <c r="J9" s="316"/>
      <c r="K9" s="316"/>
      <c r="L9" s="317"/>
    </row>
    <row r="10" spans="3:12">
      <c r="C10" s="312"/>
      <c r="L10" s="314"/>
    </row>
    <row r="11" spans="3:12" ht="27">
      <c r="C11" s="318" t="str">
        <f>+Dashboard!C5</f>
        <v>1425 4th Ave</v>
      </c>
      <c r="D11" s="316"/>
      <c r="E11" s="316"/>
      <c r="F11" s="316"/>
      <c r="G11" s="316"/>
      <c r="H11" s="316"/>
      <c r="I11" s="316"/>
      <c r="J11" s="316"/>
      <c r="K11" s="316"/>
      <c r="L11" s="317"/>
    </row>
    <row r="12" spans="3:12">
      <c r="C12" s="319" t="s">
        <v>257</v>
      </c>
      <c r="L12" s="314"/>
    </row>
    <row r="13" spans="3:12">
      <c r="C13" s="312"/>
      <c r="L13" s="314"/>
    </row>
    <row r="14" spans="3:12" ht="18.75">
      <c r="C14" s="320" t="s">
        <v>258</v>
      </c>
      <c r="D14" s="321"/>
      <c r="E14" s="321"/>
      <c r="F14" s="321"/>
      <c r="G14" s="321"/>
      <c r="H14" s="321"/>
      <c r="I14" s="321"/>
      <c r="J14" s="321"/>
      <c r="K14" s="321"/>
      <c r="L14" s="322"/>
    </row>
    <row r="15" spans="3:12">
      <c r="C15" s="312"/>
      <c r="L15" s="314"/>
    </row>
    <row r="16" spans="3:12" ht="15">
      <c r="C16" s="323">
        <f ca="1">TODAY()</f>
        <v>45037</v>
      </c>
      <c r="D16" s="316"/>
      <c r="E16" s="316"/>
      <c r="F16" s="316"/>
      <c r="G16" s="324"/>
      <c r="H16" s="316"/>
      <c r="I16" s="316"/>
      <c r="J16" s="316"/>
      <c r="K16" s="316"/>
      <c r="L16" s="317"/>
    </row>
    <row r="17" spans="3:12">
      <c r="C17" s="312"/>
      <c r="L17" s="314"/>
    </row>
    <row r="18" spans="3:12">
      <c r="C18" s="312"/>
      <c r="L18" s="314"/>
    </row>
    <row r="19" spans="3:12">
      <c r="C19" s="312"/>
      <c r="L19" s="314"/>
    </row>
    <row r="20" spans="3:12">
      <c r="C20" s="312"/>
      <c r="L20" s="314"/>
    </row>
    <row r="21" spans="3:12">
      <c r="C21" s="312"/>
      <c r="L21" s="314"/>
    </row>
    <row r="22" spans="3:12">
      <c r="C22" s="312"/>
      <c r="L22" s="314"/>
    </row>
    <row r="23" spans="3:12">
      <c r="C23" s="325"/>
      <c r="D23" s="326"/>
      <c r="E23" s="326"/>
      <c r="F23" s="326"/>
      <c r="G23" s="326"/>
      <c r="H23" s="326"/>
      <c r="I23" s="326"/>
      <c r="J23" s="326"/>
      <c r="K23" s="326"/>
      <c r="L23" s="327"/>
    </row>
  </sheetData>
  <pageMargins left="0.7" right="0.7" top="0.75" bottom="0.75" header="0.3" footer="0.3"/>
  <pageSetup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4CD7-F32F-4B49-96C1-62817F87B5D2}">
  <dimension ref="A1"/>
  <sheetViews>
    <sheetView showGridLines="0" zoomScale="55" zoomScaleNormal="55" workbookViewId="0">
      <selection activeCell="AE35" sqref="AE35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F0EF-5DB2-4822-B380-AD1B31FA3451}">
  <dimension ref="B5:D13"/>
  <sheetViews>
    <sheetView showGridLines="0" workbookViewId="0">
      <selection activeCell="F8" sqref="F8"/>
    </sheetView>
  </sheetViews>
  <sheetFormatPr defaultRowHeight="15"/>
  <cols>
    <col min="2" max="2" width="14.5703125" customWidth="1"/>
    <col min="3" max="4" width="14.28515625" bestFit="1" customWidth="1"/>
  </cols>
  <sheetData>
    <row r="5" spans="2:4">
      <c r="B5" s="31"/>
      <c r="C5" s="1192" t="s">
        <v>633</v>
      </c>
      <c r="D5" s="1192" t="s">
        <v>634</v>
      </c>
    </row>
    <row r="6" spans="2:4">
      <c r="B6" t="s">
        <v>635</v>
      </c>
      <c r="C6" s="4">
        <f ca="1">'Budget Detail'!K66+'Budget Detail'!K68</f>
        <v>35728298</v>
      </c>
      <c r="D6" s="4">
        <v>30500000</v>
      </c>
    </row>
    <row r="7" spans="2:4">
      <c r="B7" t="s">
        <v>555</v>
      </c>
      <c r="C7" s="4">
        <f>Assumptions!K34</f>
        <v>195551</v>
      </c>
      <c r="D7" s="4">
        <v>146824</v>
      </c>
    </row>
    <row r="8" spans="2:4">
      <c r="B8" s="1190" t="s">
        <v>636</v>
      </c>
      <c r="C8" s="1191">
        <f ca="1">C6/C7</f>
        <v>182.70578007783135</v>
      </c>
      <c r="D8" s="1191">
        <f>D6/D7</f>
        <v>207.73170598812183</v>
      </c>
    </row>
    <row r="9" spans="2:4">
      <c r="C9" s="4"/>
      <c r="D9" s="4"/>
    </row>
    <row r="10" spans="2:4">
      <c r="B10" t="s">
        <v>83</v>
      </c>
      <c r="C10" s="4">
        <f>Assumptions!J36</f>
        <v>135381</v>
      </c>
      <c r="D10" s="4">
        <v>123355</v>
      </c>
    </row>
    <row r="11" spans="2:4">
      <c r="B11" s="1190" t="s">
        <v>56</v>
      </c>
      <c r="C11" s="1191">
        <f ca="1">C6/C10</f>
        <v>263.90924871289178</v>
      </c>
      <c r="D11" s="1191">
        <f>D6/D10</f>
        <v>247.2538608082364</v>
      </c>
    </row>
    <row r="13" spans="2:4">
      <c r="C13" s="1181">
        <f>C7-C10</f>
        <v>60170</v>
      </c>
      <c r="D13" s="1181">
        <f>D7-D10</f>
        <v>23469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2B01-D940-41C6-AA5A-63D0C914E471}">
  <dimension ref="B2:F15"/>
  <sheetViews>
    <sheetView showGridLines="0" workbookViewId="0">
      <selection activeCell="E11" sqref="E11"/>
    </sheetView>
  </sheetViews>
  <sheetFormatPr defaultRowHeight="15"/>
  <cols>
    <col min="1" max="1" width="1.5703125" customWidth="1"/>
    <col min="2" max="2" width="12.28515625" customWidth="1"/>
    <col min="3" max="7" width="16.42578125" customWidth="1"/>
  </cols>
  <sheetData>
    <row r="2" spans="2:6">
      <c r="B2" s="1307" t="s">
        <v>693</v>
      </c>
      <c r="C2" s="1307"/>
      <c r="D2" s="1307"/>
      <c r="E2" s="1307"/>
      <c r="F2" s="1307"/>
    </row>
    <row r="3" spans="2:6" ht="60">
      <c r="B3" s="1308"/>
      <c r="C3" s="1309" t="s">
        <v>694</v>
      </c>
      <c r="D3" s="1309" t="s">
        <v>695</v>
      </c>
      <c r="E3" s="1309" t="s">
        <v>696</v>
      </c>
      <c r="F3" s="1309" t="s">
        <v>697</v>
      </c>
    </row>
    <row r="4" spans="2:6">
      <c r="C4" s="5"/>
      <c r="D4" s="5"/>
      <c r="E4" s="5"/>
      <c r="F4" s="5"/>
    </row>
    <row r="5" spans="2:6">
      <c r="B5" t="s">
        <v>21</v>
      </c>
      <c r="C5" s="1310">
        <v>38130142</v>
      </c>
      <c r="D5" s="1310">
        <v>36700000</v>
      </c>
      <c r="E5" s="1310">
        <v>35008771</v>
      </c>
      <c r="F5" s="1310">
        <f ca="1">'Budget Detail'!K68++'Budget Detail'!K66</f>
        <v>35728298</v>
      </c>
    </row>
    <row r="6" spans="2:6">
      <c r="B6" s="31" t="s">
        <v>698</v>
      </c>
      <c r="C6" s="1311">
        <v>196602</v>
      </c>
      <c r="D6" s="1311">
        <v>196602</v>
      </c>
      <c r="E6" s="1311">
        <v>196602</v>
      </c>
      <c r="F6" s="1311">
        <v>196602</v>
      </c>
    </row>
    <row r="7" spans="2:6">
      <c r="B7" t="s">
        <v>56</v>
      </c>
      <c r="C7" s="1312">
        <f>C5/C6</f>
        <v>193.9458499913531</v>
      </c>
      <c r="D7" s="1312">
        <f t="shared" ref="D7:F7" si="0">D5/D6</f>
        <v>186.67154962818282</v>
      </c>
      <c r="E7" s="1312">
        <f t="shared" si="0"/>
        <v>178.06925158441928</v>
      </c>
      <c r="F7" s="1312">
        <f t="shared" ca="1" si="0"/>
        <v>181.72906684570859</v>
      </c>
    </row>
    <row r="9" spans="2:6">
      <c r="C9" s="1183"/>
    </row>
    <row r="10" spans="2:6">
      <c r="B10" s="1307" t="s">
        <v>693</v>
      </c>
      <c r="D10" s="31"/>
    </row>
    <row r="11" spans="2:6" ht="60">
      <c r="B11" s="1308"/>
      <c r="C11" s="1309" t="s">
        <v>697</v>
      </c>
      <c r="D11" s="1313" t="s">
        <v>699</v>
      </c>
    </row>
    <row r="12" spans="2:6">
      <c r="B12" t="s">
        <v>21</v>
      </c>
      <c r="C12" s="1310">
        <f ca="1">F5</f>
        <v>35728298</v>
      </c>
      <c r="D12" s="1310">
        <v>33058410</v>
      </c>
    </row>
    <row r="13" spans="2:6">
      <c r="B13" s="31" t="s">
        <v>698</v>
      </c>
      <c r="C13" s="1311">
        <f>F6</f>
        <v>196602</v>
      </c>
      <c r="D13" s="1311">
        <v>149267</v>
      </c>
    </row>
    <row r="14" spans="2:6">
      <c r="B14" t="s">
        <v>56</v>
      </c>
      <c r="C14" s="1312">
        <f ca="1">C12/C13</f>
        <v>181.72906684570859</v>
      </c>
      <c r="D14" s="1312">
        <f t="shared" ref="D14" si="1">D12/D13</f>
        <v>221.47165816958872</v>
      </c>
    </row>
    <row r="15" spans="2:6">
      <c r="E15" s="1314">
        <f ca="1">(D14-C14)/C14</f>
        <v>0.2186914400304622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4:DN115"/>
  <sheetViews>
    <sheetView showGridLines="0" tabSelected="1" view="pageBreakPreview" topLeftCell="A19" zoomScale="90" zoomScaleNormal="70" zoomScaleSheetLayoutView="90" workbookViewId="0">
      <selection activeCell="B47" sqref="B47"/>
    </sheetView>
  </sheetViews>
  <sheetFormatPr defaultColWidth="11.42578125" defaultRowHeight="14.25" outlineLevelRow="2"/>
  <cols>
    <col min="1" max="1" width="4.42578125" style="58" customWidth="1"/>
    <col min="2" max="2" width="36" style="58" customWidth="1"/>
    <col min="3" max="5" width="16.5703125" style="58" customWidth="1"/>
    <col min="6" max="6" width="15.42578125" style="58" customWidth="1"/>
    <col min="7" max="11" width="16.5703125" style="59" customWidth="1"/>
    <col min="12" max="12" width="4.42578125" style="59" customWidth="1"/>
    <col min="13" max="13" width="14.140625" style="59" bestFit="1" customWidth="1"/>
    <col min="14" max="14" width="15" style="59" customWidth="1"/>
    <col min="15" max="15" width="14.140625" style="59" bestFit="1" customWidth="1"/>
    <col min="16" max="16" width="16.85546875" style="59" bestFit="1" customWidth="1"/>
    <col min="17" max="118" width="14.140625" style="59" bestFit="1" customWidth="1"/>
    <col min="119" max="16384" width="11.42578125" style="58"/>
  </cols>
  <sheetData>
    <row r="4" spans="1:118" ht="15.75" thickBot="1">
      <c r="A4" s="60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</row>
    <row r="5" spans="1:118" ht="15.75" thickBot="1">
      <c r="B5" s="60" t="s">
        <v>455</v>
      </c>
      <c r="C5" s="61" t="str">
        <f>Assumptions!E3</f>
        <v>1425 4th Ave</v>
      </c>
      <c r="D5" s="62"/>
      <c r="G5" s="63"/>
      <c r="H5" s="58"/>
      <c r="I5" s="58"/>
      <c r="J5" s="64"/>
      <c r="K5" s="64"/>
      <c r="L5" s="65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</row>
    <row r="6" spans="1:118" ht="15.75" thickBot="1">
      <c r="B6" s="60" t="s">
        <v>457</v>
      </c>
      <c r="C6" s="61" t="str">
        <f>Assumptions!E4</f>
        <v>Multifamily</v>
      </c>
      <c r="D6" s="62"/>
      <c r="G6" s="63"/>
      <c r="H6" s="58"/>
      <c r="I6" s="58"/>
      <c r="J6" s="64"/>
      <c r="K6" s="64"/>
      <c r="L6" s="65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</row>
    <row r="7" spans="1:118" ht="15.75" thickBot="1">
      <c r="B7" s="60" t="s">
        <v>458</v>
      </c>
      <c r="C7" s="67" t="s">
        <v>459</v>
      </c>
      <c r="D7" s="62"/>
      <c r="G7" s="58"/>
      <c r="H7" s="58"/>
      <c r="I7" s="58"/>
      <c r="J7" s="58"/>
      <c r="K7" s="58"/>
      <c r="L7" s="6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</row>
    <row r="8" spans="1:118" ht="15.75" thickBot="1">
      <c r="B8" s="60" t="s">
        <v>456</v>
      </c>
      <c r="C8" s="651">
        <f>Assumptions!J35</f>
        <v>103297</v>
      </c>
      <c r="D8" s="69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</row>
    <row r="9" spans="1:118" ht="15">
      <c r="B9" s="60"/>
      <c r="C9" s="623"/>
      <c r="D9" s="624"/>
      <c r="G9" s="58"/>
      <c r="H9" s="58"/>
      <c r="I9" s="58"/>
      <c r="J9" s="58"/>
      <c r="K9" s="58"/>
      <c r="L9" s="58"/>
      <c r="M9" s="58"/>
      <c r="N9" s="58"/>
      <c r="O9" s="58"/>
      <c r="P9" s="58" t="s">
        <v>255</v>
      </c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</row>
    <row r="10" spans="1:118" ht="15" hidden="1" outlineLevel="1">
      <c r="B10" s="637" t="s">
        <v>473</v>
      </c>
      <c r="C10" s="490"/>
      <c r="D10" s="490"/>
      <c r="E10" s="490"/>
      <c r="F10" s="490"/>
      <c r="G10" s="490"/>
      <c r="H10" s="490"/>
      <c r="I10" s="490"/>
      <c r="J10" s="490"/>
      <c r="K10" s="490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</row>
    <row r="11" spans="1:118" ht="30" hidden="1" outlineLevel="1">
      <c r="B11" s="674" t="s">
        <v>316</v>
      </c>
      <c r="C11" s="675" t="s">
        <v>96</v>
      </c>
      <c r="D11" s="675" t="s">
        <v>187</v>
      </c>
      <c r="E11" s="675" t="s">
        <v>84</v>
      </c>
      <c r="F11" s="675" t="s">
        <v>438</v>
      </c>
      <c r="G11" s="675" t="s">
        <v>461</v>
      </c>
      <c r="H11" s="676" t="s">
        <v>471</v>
      </c>
      <c r="I11" s="675" t="s">
        <v>450</v>
      </c>
      <c r="J11" s="675" t="s">
        <v>463</v>
      </c>
      <c r="K11" s="675" t="s">
        <v>462</v>
      </c>
      <c r="L11" s="58"/>
      <c r="M11" s="761" t="s">
        <v>518</v>
      </c>
      <c r="N11" s="58"/>
      <c r="O11" s="1199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</row>
    <row r="12" spans="1:118" hidden="1" outlineLevel="1">
      <c r="B12" s="665" t="str">
        <f>Assumptions!B28</f>
        <v>Studio</v>
      </c>
      <c r="C12" s="638">
        <f>Assumptions!C28</f>
        <v>12</v>
      </c>
      <c r="D12" s="639">
        <f>C12/$C$18</f>
        <v>9.1603053435114504E-2</v>
      </c>
      <c r="E12" s="640">
        <f>Assumptions!E28</f>
        <v>458</v>
      </c>
      <c r="F12" s="641">
        <f>Assumptions!F28</f>
        <v>5496</v>
      </c>
      <c r="G12" s="664">
        <f>F12/$F$18</f>
        <v>5.3205804621625025E-2</v>
      </c>
      <c r="H12" s="1475">
        <f>I12*C12*12</f>
        <v>216000</v>
      </c>
      <c r="I12" s="1475">
        <f>'Rent Comps'!D70</f>
        <v>1500</v>
      </c>
      <c r="J12" s="1475">
        <f>I12/M12</f>
        <v>1500</v>
      </c>
      <c r="K12" s="1472">
        <f>I12/E12</f>
        <v>3.2751091703056767</v>
      </c>
      <c r="L12" s="58"/>
      <c r="M12" s="577">
        <v>1</v>
      </c>
      <c r="N12" s="58"/>
      <c r="O12" s="66"/>
      <c r="P12" s="66"/>
      <c r="Q12" s="66"/>
      <c r="R12" s="66"/>
      <c r="S12" s="66"/>
      <c r="T12" s="66"/>
      <c r="U12" s="66"/>
      <c r="V12" s="66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</row>
    <row r="13" spans="1:118" hidden="1" outlineLevel="1">
      <c r="B13" s="665" t="str">
        <f>Assumptions!B29</f>
        <v xml:space="preserve">1 bed </v>
      </c>
      <c r="C13" s="644">
        <f>Assumptions!C29</f>
        <v>76</v>
      </c>
      <c r="D13" s="639">
        <f>C13/$C$18</f>
        <v>0.58015267175572516</v>
      </c>
      <c r="E13" s="640">
        <f>Assumptions!E29</f>
        <v>702.18421052631584</v>
      </c>
      <c r="F13" s="641">
        <f>Assumptions!F29</f>
        <v>53366</v>
      </c>
      <c r="G13" s="664">
        <f>F13/$F$18</f>
        <v>0.5166268139442578</v>
      </c>
      <c r="H13" s="1475">
        <f t="shared" ref="H13:H14" si="0">I13*C13*12</f>
        <v>1732800</v>
      </c>
      <c r="I13" s="1475">
        <f>'Rent Comps'!D71</f>
        <v>1900</v>
      </c>
      <c r="J13" s="1475">
        <f t="shared" ref="J13:J14" si="1">I13/M13</f>
        <v>1900</v>
      </c>
      <c r="K13" s="1472">
        <f>I13/E13</f>
        <v>2.7058426713637895</v>
      </c>
      <c r="M13" s="577">
        <v>1</v>
      </c>
      <c r="N13" s="58"/>
      <c r="O13" s="66"/>
      <c r="P13" s="66"/>
      <c r="Q13" s="66"/>
      <c r="R13" s="66"/>
      <c r="S13" s="66"/>
      <c r="T13" s="66"/>
      <c r="U13" s="66"/>
      <c r="V13" s="66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</row>
    <row r="14" spans="1:118" hidden="1" outlineLevel="1">
      <c r="B14" s="665" t="str">
        <f>Assumptions!B30</f>
        <v>2 Bed</v>
      </c>
      <c r="C14" s="644">
        <f>Assumptions!C30</f>
        <v>37</v>
      </c>
      <c r="D14" s="639">
        <f>C14/$C$18</f>
        <v>0.28244274809160308</v>
      </c>
      <c r="E14" s="640">
        <f>Assumptions!E30</f>
        <v>1016.8918918918919</v>
      </c>
      <c r="F14" s="641">
        <f>Assumptions!F30</f>
        <v>37625</v>
      </c>
      <c r="G14" s="664">
        <f>F14/$F$18</f>
        <v>0.36424097505251846</v>
      </c>
      <c r="H14" s="1475">
        <f t="shared" si="0"/>
        <v>1287600</v>
      </c>
      <c r="I14" s="1475">
        <f>'Rent Comps'!D72</f>
        <v>2900</v>
      </c>
      <c r="J14" s="1475">
        <f t="shared" si="1"/>
        <v>1450</v>
      </c>
      <c r="K14" s="1472">
        <f>I14/E14</f>
        <v>2.8518272425249171</v>
      </c>
      <c r="M14" s="577">
        <v>2</v>
      </c>
      <c r="N14" s="58"/>
      <c r="O14" s="66"/>
      <c r="P14" s="66"/>
      <c r="Q14" s="66"/>
      <c r="R14" s="66"/>
      <c r="S14" s="66"/>
      <c r="T14" s="66"/>
      <c r="U14" s="66"/>
      <c r="V14" s="66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</row>
    <row r="15" spans="1:118" hidden="1" outlineLevel="1">
      <c r="B15" s="665" t="str">
        <f>Assumptions!B31</f>
        <v>2 Bed Plus</v>
      </c>
      <c r="C15" s="644">
        <f>Assumptions!C31</f>
        <v>2</v>
      </c>
      <c r="D15" s="639">
        <f>C15/$C$18</f>
        <v>1.5267175572519083E-2</v>
      </c>
      <c r="E15" s="640">
        <f>Assumptions!E31</f>
        <v>1485</v>
      </c>
      <c r="F15" s="641">
        <f>Assumptions!F31</f>
        <v>2970</v>
      </c>
      <c r="G15" s="664">
        <f>F15/$F$18</f>
        <v>2.8752045073913084E-2</v>
      </c>
      <c r="H15" s="1475">
        <f t="shared" ref="H15" si="2">I15*C15*12</f>
        <v>84000</v>
      </c>
      <c r="I15" s="1475">
        <f>'Rent Comps'!D73</f>
        <v>3500</v>
      </c>
      <c r="J15" s="1475">
        <f t="shared" ref="J15" si="3">I15/M15</f>
        <v>1750</v>
      </c>
      <c r="K15" s="1472">
        <f>I15/E15</f>
        <v>2.3569023569023568</v>
      </c>
      <c r="M15" s="577">
        <v>2</v>
      </c>
      <c r="N15" s="58"/>
      <c r="O15" s="66"/>
      <c r="P15" s="66"/>
      <c r="Q15" s="66"/>
      <c r="R15" s="66"/>
      <c r="S15" s="66"/>
      <c r="T15" s="66"/>
      <c r="U15" s="66"/>
      <c r="V15" s="66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</row>
    <row r="16" spans="1:118" hidden="1" outlineLevel="1">
      <c r="B16" s="665" t="s">
        <v>691</v>
      </c>
      <c r="C16" s="644">
        <f>Assumptions!C32</f>
        <v>4</v>
      </c>
      <c r="D16" s="639">
        <f>C16/$C$18</f>
        <v>3.0534351145038167E-2</v>
      </c>
      <c r="E16" s="640">
        <f>Assumptions!E32</f>
        <v>960</v>
      </c>
      <c r="F16" s="641">
        <f>Assumptions!F32</f>
        <v>3840</v>
      </c>
      <c r="G16" s="664">
        <f>F16/$F$18</f>
        <v>3.7174361307685602E-2</v>
      </c>
      <c r="H16" s="1475">
        <f t="shared" ref="H16" si="4">I16*C16*12</f>
        <v>139200</v>
      </c>
      <c r="I16" s="1475">
        <f>'Rent Comps'!D74</f>
        <v>2900</v>
      </c>
      <c r="J16" s="1475">
        <f t="shared" ref="J16" si="5">I16/M16</f>
        <v>966.66666666666663</v>
      </c>
      <c r="K16" s="1472">
        <f>IFERROR(I16/E16,0)</f>
        <v>3.0208333333333335</v>
      </c>
      <c r="L16" s="58"/>
      <c r="M16" s="577">
        <v>3</v>
      </c>
      <c r="N16" s="58"/>
      <c r="O16" s="66"/>
      <c r="P16" s="66"/>
      <c r="Q16" s="66"/>
      <c r="R16" s="66"/>
      <c r="S16" s="66"/>
      <c r="T16" s="66"/>
      <c r="U16" s="66"/>
      <c r="V16" s="66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</row>
    <row r="17" spans="2:118" ht="15.75" hidden="1" customHeight="1" outlineLevel="1">
      <c r="B17" s="83"/>
      <c r="C17" s="642"/>
      <c r="D17" s="645"/>
      <c r="E17" s="641"/>
      <c r="F17" s="641"/>
      <c r="G17" s="643"/>
      <c r="H17" s="1476"/>
      <c r="I17" s="1476"/>
      <c r="J17" s="1476"/>
      <c r="K17" s="1473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</row>
    <row r="18" spans="2:118" ht="15.75" hidden="1" outlineLevel="1" thickBot="1">
      <c r="B18" s="655" t="s">
        <v>11</v>
      </c>
      <c r="C18" s="1459">
        <f>SUM(C12:C17)</f>
        <v>131</v>
      </c>
      <c r="D18" s="658">
        <f>SUM(D12:D17)</f>
        <v>1</v>
      </c>
      <c r="E18" s="656">
        <f>F18/C18</f>
        <v>788.52671755725191</v>
      </c>
      <c r="F18" s="657">
        <f>SUM(F12:F17)</f>
        <v>103297</v>
      </c>
      <c r="G18" s="658">
        <f>SUM(G12:G17)</f>
        <v>0.99999999999999989</v>
      </c>
      <c r="H18" s="1477">
        <f>SUM(H12:H17)</f>
        <v>3459600</v>
      </c>
      <c r="I18" s="1478">
        <f>SUMPRODUCT(I12:I17,C12:C17)/C18</f>
        <v>2200.7633587786258</v>
      </c>
      <c r="J18" s="1477">
        <f>SUMPRODUCT(M12:M17,C12:C17,J12:J17)/SUMPRODUCT(M12:M17,C12:C17)</f>
        <v>1619.6629213483145</v>
      </c>
      <c r="K18" s="1474">
        <f>I18/E18</f>
        <v>2.7909813450535834</v>
      </c>
      <c r="L18" s="58"/>
      <c r="M18" s="58"/>
      <c r="N18" s="66"/>
      <c r="O18" s="66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</row>
    <row r="19" spans="2:118" ht="15" collapsed="1">
      <c r="B19" s="89"/>
      <c r="C19" s="659"/>
      <c r="D19" s="659"/>
      <c r="E19" s="660"/>
      <c r="F19" s="661"/>
      <c r="G19" s="662"/>
      <c r="H19" s="661"/>
      <c r="I19" s="661"/>
      <c r="J19" s="661"/>
      <c r="K19" s="663"/>
      <c r="L19" s="58"/>
      <c r="M19" s="58"/>
      <c r="N19" s="58"/>
      <c r="O19" s="66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</row>
    <row r="20" spans="2:118" ht="15" outlineLevel="2">
      <c r="B20" s="637" t="s">
        <v>1226</v>
      </c>
      <c r="C20" s="490"/>
      <c r="D20" s="490"/>
      <c r="E20" s="490"/>
      <c r="F20" s="490"/>
      <c r="G20" s="490"/>
      <c r="H20" s="490"/>
      <c r="I20" s="490"/>
      <c r="J20" s="490"/>
      <c r="K20" s="490"/>
      <c r="L20" s="58"/>
      <c r="M20" s="58"/>
      <c r="N20" s="58"/>
      <c r="O20" s="66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</row>
    <row r="21" spans="2:118" ht="45" outlineLevel="2">
      <c r="B21" s="989" t="s">
        <v>316</v>
      </c>
      <c r="C21" s="1811" t="s">
        <v>96</v>
      </c>
      <c r="D21" s="1811" t="s">
        <v>187</v>
      </c>
      <c r="E21" s="1811" t="s">
        <v>84</v>
      </c>
      <c r="F21" s="1811" t="s">
        <v>438</v>
      </c>
      <c r="G21" s="1811" t="s">
        <v>461</v>
      </c>
      <c r="H21" s="990" t="s">
        <v>1145</v>
      </c>
      <c r="I21" s="990" t="s">
        <v>938</v>
      </c>
      <c r="J21" s="990" t="s">
        <v>1146</v>
      </c>
      <c r="K21" s="990" t="s">
        <v>1147</v>
      </c>
      <c r="L21" s="58"/>
      <c r="M21" s="58"/>
      <c r="N21" s="58"/>
      <c r="O21" s="66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</row>
    <row r="22" spans="2:118" outlineLevel="2">
      <c r="B22" s="665" t="str">
        <f>B12</f>
        <v>Studio</v>
      </c>
      <c r="C22" s="640">
        <f>Assumptions!C28</f>
        <v>12</v>
      </c>
      <c r="D22" s="639">
        <f>C22/$C$26</f>
        <v>9.1603053435114504E-2</v>
      </c>
      <c r="E22" s="991">
        <f>Assumptions!E28</f>
        <v>458</v>
      </c>
      <c r="F22" s="1471">
        <f>E22*C22</f>
        <v>5496</v>
      </c>
      <c r="G22" s="992">
        <f>F22/$F$26</f>
        <v>5.3205804621625025E-2</v>
      </c>
      <c r="H22" s="1034">
        <f>((I22*365)*C22)*(1-J22)</f>
        <v>830886</v>
      </c>
      <c r="I22" s="1034">
        <f>'Assumptions MH'!E71</f>
        <v>271</v>
      </c>
      <c r="J22" s="1092">
        <f>1-'Assumptions MH'!D71</f>
        <v>0.30000000000000004</v>
      </c>
      <c r="K22" s="1471">
        <f>I22*(1-J22)</f>
        <v>189.7</v>
      </c>
      <c r="L22" s="58"/>
      <c r="M22" s="58"/>
      <c r="N22" s="58"/>
      <c r="O22" s="66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</row>
    <row r="23" spans="2:118" outlineLevel="2">
      <c r="B23" s="283" t="s">
        <v>188</v>
      </c>
      <c r="C23" s="640">
        <f>Assumptions!C29+Assumptions!C32</f>
        <v>80</v>
      </c>
      <c r="D23" s="639">
        <f t="shared" ref="D23:D24" si="6">C23/$C$26</f>
        <v>0.61068702290076338</v>
      </c>
      <c r="E23" s="991">
        <f>((Assumptions!C29*Assumptions!E29)+(Assumptions!C32*Assumptions!E32))/(Assumptions!C29+Assumptions!C32)</f>
        <v>715.07500000000005</v>
      </c>
      <c r="F23" s="1471">
        <f t="shared" ref="F23:F24" si="7">E23*C23</f>
        <v>57206</v>
      </c>
      <c r="G23" s="992">
        <f t="shared" ref="G23:G24" si="8">F23/$F$26</f>
        <v>0.55380117525194339</v>
      </c>
      <c r="H23" s="1034">
        <f t="shared" ref="H23:H26" si="9">((I23*365)*C23)*(1-J23)</f>
        <v>5539240</v>
      </c>
      <c r="I23" s="1034">
        <f>'Assumptions MH'!E72</f>
        <v>271</v>
      </c>
      <c r="J23" s="1092">
        <f>1-'Assumptions MH'!D72</f>
        <v>0.30000000000000004</v>
      </c>
      <c r="K23" s="1471">
        <f>I23*(1-J23)</f>
        <v>189.7</v>
      </c>
      <c r="L23" s="58"/>
      <c r="M23" s="58"/>
      <c r="N23" s="58"/>
      <c r="O23" s="66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</row>
    <row r="24" spans="2:118" outlineLevel="2">
      <c r="B24" s="283" t="s">
        <v>189</v>
      </c>
      <c r="C24" s="640">
        <f>Assumptions!C30+Assumptions!C31</f>
        <v>39</v>
      </c>
      <c r="D24" s="639">
        <f t="shared" si="6"/>
        <v>0.29770992366412213</v>
      </c>
      <c r="E24" s="991">
        <f>((Assumptions!C30*Assumptions!E30)+(Assumptions!C31*Assumptions!E31))/(Assumptions!C30+Assumptions!C31)</f>
        <v>1040.8974358974358</v>
      </c>
      <c r="F24" s="1471">
        <f t="shared" si="7"/>
        <v>40594.999999999993</v>
      </c>
      <c r="G24" s="992">
        <f t="shared" si="8"/>
        <v>0.3929930201264315</v>
      </c>
      <c r="H24" s="1034">
        <f t="shared" si="9"/>
        <v>2700379.5</v>
      </c>
      <c r="I24" s="1034">
        <f>'Assumptions MH'!E73</f>
        <v>271</v>
      </c>
      <c r="J24" s="1092">
        <f>1-'Assumptions MH'!D73</f>
        <v>0.30000000000000004</v>
      </c>
      <c r="K24" s="1471">
        <f>I24*(1-J24)</f>
        <v>189.7</v>
      </c>
      <c r="L24" s="58"/>
      <c r="M24" s="58"/>
      <c r="N24" s="58"/>
      <c r="O24" s="66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</row>
    <row r="25" spans="2:118" outlineLevel="2">
      <c r="B25" s="283"/>
      <c r="C25" s="994"/>
      <c r="D25" s="994"/>
      <c r="E25" s="994"/>
      <c r="F25" s="1471"/>
      <c r="G25" s="992"/>
      <c r="H25" s="58"/>
      <c r="I25" s="1320"/>
      <c r="J25" s="993"/>
      <c r="K25" s="992"/>
      <c r="L25" s="58"/>
      <c r="M25" s="58"/>
      <c r="N25" s="58"/>
      <c r="O25" s="66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</row>
    <row r="26" spans="2:118" ht="15.75" outlineLevel="2" thickBot="1">
      <c r="B26" s="995" t="s">
        <v>11</v>
      </c>
      <c r="C26" s="996">
        <f>SUM(C22:C25)</f>
        <v>131</v>
      </c>
      <c r="D26" s="1101">
        <f>SUM(D22:D25)</f>
        <v>1</v>
      </c>
      <c r="E26" s="996">
        <f>F26/C26</f>
        <v>788.52671755725191</v>
      </c>
      <c r="F26" s="996">
        <f>SUM(F22:F25)</f>
        <v>103297</v>
      </c>
      <c r="G26" s="1101">
        <f>SUM(G22:G25)</f>
        <v>1</v>
      </c>
      <c r="H26" s="1824">
        <f t="shared" si="9"/>
        <v>9070505.5</v>
      </c>
      <c r="I26" s="996">
        <f>SUMPRODUCT(I22:I25,C22:C25)/C26</f>
        <v>271</v>
      </c>
      <c r="J26" s="1101">
        <f>1-(K26/I26)</f>
        <v>0.29999999999999993</v>
      </c>
      <c r="K26" s="996">
        <f>SUMPRODUCT(K22:K25,C22:C25)/C26</f>
        <v>189.70000000000002</v>
      </c>
      <c r="L26" s="58"/>
      <c r="M26" s="58"/>
      <c r="N26" s="58"/>
      <c r="O26" s="66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</row>
    <row r="27" spans="2:118" ht="15.75" outlineLevel="2" thickTop="1">
      <c r="B27" s="89"/>
      <c r="C27" s="659"/>
      <c r="D27" s="660"/>
      <c r="E27" s="661"/>
      <c r="F27" s="662"/>
      <c r="G27" s="672"/>
      <c r="H27" s="661"/>
      <c r="I27" s="661"/>
      <c r="J27" s="663"/>
      <c r="K27" s="663"/>
      <c r="L27" s="58"/>
      <c r="M27" s="58"/>
      <c r="N27" s="58"/>
      <c r="O27" s="66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</row>
    <row r="28" spans="2:118" ht="15.75" thickBot="1">
      <c r="B28" s="70" t="s">
        <v>251</v>
      </c>
      <c r="C28" s="627"/>
      <c r="D28" s="628"/>
      <c r="E28" s="627"/>
      <c r="F28" s="1104"/>
      <c r="G28" s="70" t="s">
        <v>1227</v>
      </c>
      <c r="H28" s="627"/>
      <c r="I28" s="627"/>
      <c r="J28" s="677" t="s">
        <v>793</v>
      </c>
      <c r="K28" s="677" t="s">
        <v>792</v>
      </c>
      <c r="L28" s="58"/>
      <c r="M28" s="58"/>
      <c r="O28" s="66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</row>
    <row r="29" spans="2:118" ht="15">
      <c r="B29" s="1088"/>
      <c r="C29" s="1089" t="s">
        <v>11</v>
      </c>
      <c r="D29" s="1089" t="s">
        <v>351</v>
      </c>
      <c r="E29" s="1089" t="s">
        <v>472</v>
      </c>
      <c r="F29" s="1104"/>
      <c r="G29" s="59" t="s">
        <v>608</v>
      </c>
      <c r="J29" s="599">
        <v>3</v>
      </c>
      <c r="O29" s="66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</row>
    <row r="30" spans="2:118">
      <c r="B30" s="1090" t="s">
        <v>43</v>
      </c>
      <c r="C30" s="649">
        <f>Assumptions!N12</f>
        <v>5200000</v>
      </c>
      <c r="D30" s="1091">
        <f ca="1">+C30/C$37</f>
        <v>9.457252757324279E-2</v>
      </c>
      <c r="E30" s="649">
        <f>C30/$C$8</f>
        <v>50.340280937490924</v>
      </c>
      <c r="F30" s="1104"/>
      <c r="G30" s="59" t="s">
        <v>602</v>
      </c>
      <c r="J30" s="1086">
        <f>'Assumptions MH'!T6</f>
        <v>0.03</v>
      </c>
      <c r="O30" s="66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</row>
    <row r="31" spans="2:118">
      <c r="B31" s="1090" t="s">
        <v>44</v>
      </c>
      <c r="C31" s="649">
        <f ca="1">Assumptions!N27</f>
        <v>38440297.899999999</v>
      </c>
      <c r="D31" s="1092">
        <f t="shared" ref="D31:D37" ca="1" si="10">+C31/C$37</f>
        <v>0.69911464097527254</v>
      </c>
      <c r="E31" s="649">
        <f ca="1">C31/$C$8</f>
        <v>372.13372992439275</v>
      </c>
      <c r="F31" s="1104"/>
      <c r="G31" s="1125" t="s">
        <v>603</v>
      </c>
      <c r="H31" s="1125"/>
      <c r="I31" s="1125"/>
      <c r="J31" s="1087">
        <f>'Assumptions MH'!T9</f>
        <v>0.03</v>
      </c>
      <c r="K31" s="1125"/>
      <c r="Q31" s="58"/>
      <c r="R31" s="58"/>
      <c r="S31" s="58"/>
      <c r="T31" s="666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</row>
    <row r="32" spans="2:118" ht="15">
      <c r="B32" s="1093" t="s">
        <v>45</v>
      </c>
      <c r="C32" s="649">
        <f ca="1">Assumptions!N33-C36-C34</f>
        <v>8322236.7580923922</v>
      </c>
      <c r="D32" s="1092">
        <f t="shared" ca="1" si="10"/>
        <v>0.1513567240914899</v>
      </c>
      <c r="E32" s="649">
        <f ca="1">C32/$C$8</f>
        <v>80.566103159747058</v>
      </c>
      <c r="F32" s="1104"/>
      <c r="G32" s="1104" t="s">
        <v>1169</v>
      </c>
      <c r="H32" s="1126"/>
      <c r="I32" s="1127"/>
      <c r="J32" s="1128">
        <f>K32*(1+$J$30)^($J$29-1)</f>
        <v>9622899.2849499993</v>
      </c>
      <c r="K32" s="1128">
        <f>H26</f>
        <v>9070505.5</v>
      </c>
      <c r="M32" s="66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</row>
    <row r="33" spans="2:118" hidden="1" outlineLevel="2">
      <c r="B33" s="58" t="s">
        <v>46</v>
      </c>
      <c r="C33" s="1034">
        <f>'Budget Detail'!$K$72</f>
        <v>0</v>
      </c>
      <c r="D33" s="1092">
        <f t="shared" ca="1" si="10"/>
        <v>0</v>
      </c>
      <c r="E33" s="649">
        <f>C33/$C$8</f>
        <v>0</v>
      </c>
      <c r="F33" s="1104"/>
      <c r="M33" s="66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</row>
    <row r="34" spans="2:118" outlineLevel="1" collapsed="1">
      <c r="B34" s="1094" t="s">
        <v>460</v>
      </c>
      <c r="C34" s="646">
        <f>Assumptions!E16+Assumptions!E20</f>
        <v>300000</v>
      </c>
      <c r="D34" s="1095">
        <f t="shared" ca="1" si="10"/>
        <v>5.456107359994777E-3</v>
      </c>
      <c r="E34" s="649">
        <f>C34/$C$8</f>
        <v>2.9042469771629378</v>
      </c>
      <c r="F34" s="1104"/>
      <c r="G34" s="1115" t="s">
        <v>1171</v>
      </c>
      <c r="H34" s="1115"/>
      <c r="I34" s="1009"/>
      <c r="J34" s="1129">
        <f>K34*(1+$J$30)^($J$29-1)</f>
        <v>429533.21362499997</v>
      </c>
      <c r="K34" s="1129">
        <f>(('Assumptions MH'!L41*'Assumptions MH'!L42*'Assumptions MH'!L43*'Assumptions MH'!L44*'Assumptions MH'!L45)*365)*0.75</f>
        <v>404876.25</v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</row>
    <row r="35" spans="2:118" ht="15">
      <c r="B35" s="1096" t="s">
        <v>531</v>
      </c>
      <c r="C35" s="1097">
        <f ca="1">SUM(C30:C34)</f>
        <v>52262534.658092394</v>
      </c>
      <c r="D35" s="1098">
        <f t="shared" ca="1" si="10"/>
        <v>0.95050000000000001</v>
      </c>
      <c r="E35" s="1097">
        <f ca="1">SUM(E30:E34)</f>
        <v>505.94436099879368</v>
      </c>
      <c r="F35" s="1104"/>
      <c r="G35" s="1117" t="s">
        <v>33</v>
      </c>
      <c r="H35" s="1117"/>
      <c r="I35" s="649"/>
      <c r="J35" s="640">
        <f>SUM(J32:J34)</f>
        <v>10052432.498575</v>
      </c>
      <c r="K35" s="640">
        <f>SUM(K32:K34)</f>
        <v>9475381.75</v>
      </c>
      <c r="L35" s="71"/>
      <c r="M35" s="66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</row>
    <row r="36" spans="2:118" ht="16.5">
      <c r="B36" s="1093" t="s">
        <v>522</v>
      </c>
      <c r="C36" s="647">
        <f ca="1">'Budget Detail'!K22+'Budget Detail'!K23</f>
        <v>2721720.6371126487</v>
      </c>
      <c r="D36" s="1092">
        <f t="shared" ca="1" si="10"/>
        <v>4.9499999999999982E-2</v>
      </c>
      <c r="E36" s="649">
        <f ca="1">C36/$C$8</f>
        <v>26.348496443387987</v>
      </c>
      <c r="F36" s="1104"/>
      <c r="G36" s="1118" t="s">
        <v>1170</v>
      </c>
      <c r="H36" s="1118"/>
      <c r="I36" s="1841"/>
      <c r="J36" s="1129">
        <f ca="1">K36*(1+$J$31)^($J$29-1)</f>
        <v>-5588397.6094182692</v>
      </c>
      <c r="K36" s="1129">
        <f ca="1">(-'Stabalized NOI'!F42-'Stabalized NOI'!F63-'Stabalized NOI'!F69-'Stabalized NOI'!F80-'Stabalized NOI'!F86)-('RE Tax'!J44*Dashboard!C26)-((Assumptions!$I$82*Assumptions!$C$34)*12)</f>
        <v>-5267600.7252505133</v>
      </c>
      <c r="L36" s="71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</row>
    <row r="37" spans="2:118" ht="15.75" thickBot="1">
      <c r="B37" s="1099" t="s">
        <v>16</v>
      </c>
      <c r="C37" s="1100">
        <f ca="1">SUM(C35:C36)</f>
        <v>54984255.295205042</v>
      </c>
      <c r="D37" s="1101">
        <f t="shared" ca="1" si="10"/>
        <v>1</v>
      </c>
      <c r="E37" s="1100">
        <f ca="1">C37/$C$8</f>
        <v>532.29285744218168</v>
      </c>
      <c r="F37" s="1102"/>
      <c r="G37" s="1117" t="s">
        <v>29</v>
      </c>
      <c r="H37" s="1117"/>
      <c r="I37" s="649"/>
      <c r="J37" s="1128">
        <f ca="1">J35+J36</f>
        <v>4464034.8891567308</v>
      </c>
      <c r="K37" s="1128">
        <f ca="1">K35+K36</f>
        <v>4207781.0247494867</v>
      </c>
      <c r="M37" s="1842"/>
      <c r="N37" s="873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</row>
    <row r="38" spans="2:118" ht="18" thickTop="1" thickBot="1">
      <c r="C38" s="1823"/>
      <c r="F38" s="1104"/>
      <c r="G38" s="1117" t="s">
        <v>451</v>
      </c>
      <c r="H38" s="1117"/>
      <c r="I38" s="649"/>
      <c r="J38" s="1128">
        <f ca="1">K38</f>
        <v>54984255.295205042</v>
      </c>
      <c r="K38" s="1128">
        <f ca="1">C37</f>
        <v>54984255.295205042</v>
      </c>
      <c r="M38" s="79">
        <f ca="1">K37/K35</f>
        <v>0.44407509225150604</v>
      </c>
      <c r="N38" s="59" t="s">
        <v>576</v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</row>
    <row r="39" spans="2:118" ht="15.75" thickBot="1">
      <c r="B39" s="1102"/>
      <c r="C39" s="1103"/>
      <c r="D39" s="1104"/>
      <c r="E39" s="1104"/>
      <c r="F39" s="1104"/>
      <c r="G39" s="2005" t="s">
        <v>1156</v>
      </c>
      <c r="H39" s="2006"/>
      <c r="I39" s="2007"/>
      <c r="J39" s="2008">
        <f ca="1">J37/J38</f>
        <v>8.1187512046671684E-2</v>
      </c>
      <c r="K39" s="2009">
        <f ca="1">K37/K38</f>
        <v>7.6527016727940128E-2</v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</row>
    <row r="40" spans="2:118" ht="15.75" thickBot="1">
      <c r="B40" s="70" t="s">
        <v>252</v>
      </c>
      <c r="C40" s="626"/>
      <c r="D40" s="628"/>
      <c r="E40" s="627"/>
      <c r="F40" s="1104"/>
      <c r="G40" s="1131" t="s">
        <v>1193</v>
      </c>
      <c r="H40" s="1104"/>
      <c r="I40" s="1123"/>
      <c r="J40" s="1123"/>
      <c r="K40" s="1123"/>
      <c r="L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</row>
    <row r="41" spans="2:118" ht="15">
      <c r="B41" s="1088"/>
      <c r="C41" s="1088"/>
      <c r="D41" s="1089" t="s">
        <v>11</v>
      </c>
      <c r="E41" s="1089" t="s">
        <v>351</v>
      </c>
      <c r="F41" s="1104"/>
      <c r="G41" s="1131" t="s">
        <v>604</v>
      </c>
      <c r="H41" s="1126"/>
      <c r="I41" s="1127"/>
      <c r="J41" s="1139"/>
      <c r="K41" s="1127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</row>
    <row r="42" spans="2:118" ht="16.5">
      <c r="B42" s="1090" t="s">
        <v>75</v>
      </c>
      <c r="C42" s="1105"/>
      <c r="D42" s="649">
        <f ca="1">'Monthly-CF'!I109+'Monthly-CF'!I116</f>
        <v>32990553.177123014</v>
      </c>
      <c r="E42" s="1106">
        <f ca="1">D42/$D$44</f>
        <v>0.6</v>
      </c>
      <c r="F42" s="1104"/>
      <c r="L42" s="58"/>
      <c r="M42" s="66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</row>
    <row r="43" spans="2:118" ht="15.75" thickBot="1">
      <c r="B43" s="1107" t="s">
        <v>74</v>
      </c>
      <c r="C43" s="1108"/>
      <c r="D43" s="646">
        <f ca="1">'Monthly-CF'!F105</f>
        <v>21993702.118082017</v>
      </c>
      <c r="E43" s="1109">
        <f ca="1">D43/$D$44</f>
        <v>0.40000000000000013</v>
      </c>
      <c r="F43" s="1104"/>
      <c r="G43" s="70" t="s">
        <v>447</v>
      </c>
      <c r="H43" s="627"/>
      <c r="I43" s="677"/>
      <c r="J43" s="677"/>
      <c r="K43" s="677" t="s">
        <v>570</v>
      </c>
      <c r="L43" s="58"/>
      <c r="M43" s="909"/>
      <c r="N43" s="1320"/>
      <c r="O43" s="58"/>
      <c r="P43" s="1211" t="s">
        <v>659</v>
      </c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</row>
    <row r="44" spans="2:118" ht="15">
      <c r="B44" s="1110" t="s">
        <v>319</v>
      </c>
      <c r="C44" s="1110"/>
      <c r="D44" s="1111">
        <f ca="1">SUM(D42:D43)</f>
        <v>54984255.295205027</v>
      </c>
      <c r="E44" s="1112">
        <f ca="1">+SUM(E42:E43)</f>
        <v>1</v>
      </c>
      <c r="F44" s="1104"/>
      <c r="G44" s="1104" t="s">
        <v>26</v>
      </c>
      <c r="H44" s="1132"/>
      <c r="K44" s="1133">
        <f>Assumptions!M55</f>
        <v>5.2499999999999998E-2</v>
      </c>
      <c r="L44" s="58"/>
      <c r="M44" s="630"/>
      <c r="O44" s="58"/>
      <c r="P44" s="1212">
        <f ca="1">K37/K44</f>
        <v>80148209.99522832</v>
      </c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</row>
    <row r="45" spans="2:118">
      <c r="B45" s="1113" t="s">
        <v>453</v>
      </c>
      <c r="C45" s="1113"/>
      <c r="D45" s="648">
        <f ca="1">-SUMIFS('Monthly-Waterfall'!I58:DY58,'Monthly-Waterfall'!I58:DY58,"&lt;"&amp;0)</f>
        <v>19794331.906273816</v>
      </c>
      <c r="E45" s="1114">
        <f ca="1">+D45/D43</f>
        <v>0.9</v>
      </c>
      <c r="F45" s="1124"/>
      <c r="G45" s="1090" t="s">
        <v>3</v>
      </c>
      <c r="H45" s="1134"/>
      <c r="K45" s="1133">
        <f>Assumptions!M56</f>
        <v>1.2500000000000001E-2</v>
      </c>
      <c r="L45" s="58"/>
      <c r="M45" s="58"/>
      <c r="N45" s="1450"/>
      <c r="O45" s="58"/>
      <c r="P45" s="1213">
        <f ca="1">-P44*K45</f>
        <v>-1001852.624940354</v>
      </c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</row>
    <row r="46" spans="2:118" ht="16.5">
      <c r="B46" s="1115" t="s">
        <v>454</v>
      </c>
      <c r="C46" s="1115"/>
      <c r="D46" s="646">
        <f ca="1">-SUMIFS('Monthly-Waterfall'!I59:DY59,'Monthly-Waterfall'!I59:DY59,"&lt;"&amp;0)</f>
        <v>2199370.2118082009</v>
      </c>
      <c r="E46" s="1109">
        <f ca="1">+D46/D43</f>
        <v>9.9999999999999964E-2</v>
      </c>
      <c r="F46" s="1104"/>
      <c r="G46" s="1090" t="s">
        <v>452</v>
      </c>
      <c r="H46" s="523"/>
      <c r="K46" s="1135">
        <f>Assumptions!M57</f>
        <v>10</v>
      </c>
      <c r="L46" s="58"/>
      <c r="M46" s="58"/>
      <c r="O46" s="58"/>
      <c r="P46" s="1215">
        <f ca="1">SUM(P44:P45)</f>
        <v>79146357.37028797</v>
      </c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</row>
    <row r="47" spans="2:118">
      <c r="B47" s="1140" t="s">
        <v>1228</v>
      </c>
      <c r="C47" s="1104"/>
      <c r="D47" s="1102"/>
      <c r="E47" s="1104"/>
      <c r="F47" s="1104"/>
      <c r="G47" s="1090"/>
      <c r="H47" s="523"/>
      <c r="I47" s="1123"/>
      <c r="J47" s="1123"/>
      <c r="K47" s="1135"/>
      <c r="L47" s="58"/>
      <c r="M47" s="58"/>
      <c r="O47" s="58"/>
      <c r="P47" s="1214">
        <f ca="1">P46/C18</f>
        <v>604170.66694876307</v>
      </c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</row>
    <row r="48" spans="2:118" ht="15">
      <c r="B48" s="1104"/>
      <c r="C48" s="1104"/>
      <c r="D48" s="1104"/>
      <c r="E48" s="1104"/>
      <c r="F48" s="1104"/>
      <c r="G48" s="1136" t="s">
        <v>570</v>
      </c>
      <c r="H48" s="1136"/>
      <c r="I48" s="1137" t="s">
        <v>11</v>
      </c>
      <c r="J48" s="1137" t="s">
        <v>574</v>
      </c>
      <c r="K48" s="1137" t="s">
        <v>472</v>
      </c>
      <c r="L48" s="58"/>
      <c r="M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</row>
    <row r="49" spans="2:118" ht="15.75" thickBot="1">
      <c r="B49" s="70" t="s">
        <v>254</v>
      </c>
      <c r="C49" s="627"/>
      <c r="D49" s="628"/>
      <c r="E49" s="627"/>
      <c r="F49" s="1104"/>
      <c r="G49" s="1090" t="s">
        <v>448</v>
      </c>
      <c r="H49" s="523"/>
      <c r="I49" s="1128">
        <f ca="1">I51-I50</f>
        <v>86491037.630996227</v>
      </c>
      <c r="J49" s="1128">
        <f ca="1">I49/$C$18</f>
        <v>660236.9284808872</v>
      </c>
      <c r="K49" s="1128">
        <f ca="1">I49/$F$18</f>
        <v>837.30444863835567</v>
      </c>
      <c r="L49" s="58"/>
      <c r="M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</row>
    <row r="50" spans="2:118" ht="15">
      <c r="B50" s="1088"/>
      <c r="C50" s="1116"/>
      <c r="D50" s="1089" t="s">
        <v>41</v>
      </c>
      <c r="E50" s="1089" t="s">
        <v>42</v>
      </c>
      <c r="F50" s="1104"/>
      <c r="G50" s="1094" t="s">
        <v>3</v>
      </c>
      <c r="H50" s="1138"/>
      <c r="I50" s="1129">
        <f ca="1">-I51*K45</f>
        <v>-1067790.5880369905</v>
      </c>
      <c r="J50" s="1129">
        <f ca="1">I50/$C$18</f>
        <v>-8151.0731911220646</v>
      </c>
      <c r="K50" s="1129">
        <f ca="1">I50/$F$18</f>
        <v>-10.337091958498219</v>
      </c>
      <c r="L50" s="58"/>
      <c r="M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</row>
    <row r="51" spans="2:118" ht="15">
      <c r="B51" s="1117" t="s">
        <v>349</v>
      </c>
      <c r="C51" s="1117"/>
      <c r="D51" s="1007">
        <f>Assumptions!F13</f>
        <v>3</v>
      </c>
      <c r="E51" s="1007">
        <f>Assumptions!G13</f>
        <v>19</v>
      </c>
      <c r="F51" s="629"/>
      <c r="G51" s="1130" t="s">
        <v>607</v>
      </c>
      <c r="H51" s="1130"/>
      <c r="I51" s="1139">
        <f ca="1">'Monthly-CF'!I62</f>
        <v>85423247.042959243</v>
      </c>
      <c r="J51" s="1139">
        <f ca="1">I51/$C$18</f>
        <v>652085.85528976517</v>
      </c>
      <c r="K51" s="1139">
        <f ca="1">I51/$F$18</f>
        <v>826.96735667985752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</row>
    <row r="52" spans="2:118">
      <c r="B52" s="1117" t="s">
        <v>466</v>
      </c>
      <c r="C52" s="1117"/>
      <c r="D52" s="1007">
        <f>E51+1</f>
        <v>20</v>
      </c>
      <c r="E52" s="1007">
        <f>D52+'Assumptions MH'!W36</f>
        <v>32</v>
      </c>
      <c r="F52" s="1104"/>
      <c r="G52" s="1140" t="s">
        <v>449</v>
      </c>
      <c r="H52" s="1104"/>
      <c r="I52" s="1123"/>
      <c r="J52" s="1123"/>
      <c r="K52" s="1123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</row>
    <row r="53" spans="2:118">
      <c r="B53" s="1104" t="s">
        <v>353</v>
      </c>
      <c r="C53" s="1104"/>
      <c r="D53" s="1007">
        <f>E52</f>
        <v>32</v>
      </c>
      <c r="E53" s="649"/>
      <c r="F53" s="1104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</row>
    <row r="54" spans="2:118">
      <c r="B54" s="1118" t="s">
        <v>350</v>
      </c>
      <c r="C54" s="1118"/>
      <c r="D54" s="1008">
        <f>Assumptions!M57*12</f>
        <v>120</v>
      </c>
      <c r="E54" s="1009"/>
      <c r="F54" s="1104"/>
      <c r="G54" s="1090"/>
      <c r="H54" s="523"/>
      <c r="I54" s="1128"/>
      <c r="J54" s="1128"/>
      <c r="K54" s="112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</row>
    <row r="55" spans="2:118">
      <c r="F55" s="1104"/>
      <c r="G55" s="1090"/>
      <c r="H55" s="1845"/>
      <c r="I55" s="1128"/>
      <c r="J55" s="1128"/>
      <c r="K55" s="112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</row>
    <row r="56" spans="2:118" ht="15.75" thickBot="1">
      <c r="B56" s="70" t="s">
        <v>253</v>
      </c>
      <c r="C56" s="627"/>
      <c r="D56" s="628"/>
      <c r="E56" s="627"/>
      <c r="F56" s="1104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</row>
    <row r="57" spans="2:118" ht="15">
      <c r="B57" s="1088"/>
      <c r="C57" s="1089" t="s">
        <v>17</v>
      </c>
      <c r="D57" s="1089" t="s">
        <v>18</v>
      </c>
      <c r="E57" s="1089" t="s">
        <v>19</v>
      </c>
      <c r="F57" s="1104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</row>
    <row r="58" spans="2:118">
      <c r="B58" s="1104" t="s">
        <v>467</v>
      </c>
      <c r="C58" s="649">
        <f ca="1">'Monthly-CF'!I98</f>
        <v>65495875.834879518</v>
      </c>
      <c r="D58" s="1119">
        <f ca="1">'Monthly-CF'!E99</f>
        <v>0.10644598603248598</v>
      </c>
      <c r="E58" s="1120">
        <f ca="1">(C58+D43)/D43</f>
        <v>3.9779377515999181</v>
      </c>
      <c r="F58" s="1104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</row>
    <row r="59" spans="2:118">
      <c r="B59" s="1104" t="s">
        <v>468</v>
      </c>
      <c r="C59" s="649">
        <f ca="1">'Monthly-CF'!I129</f>
        <v>49098975.722157948</v>
      </c>
      <c r="D59" s="1119">
        <f ca="1">'Monthly-CF'!E140</f>
        <v>0.17306911349296569</v>
      </c>
      <c r="E59" s="1120">
        <f ca="1">(C59+D43)/D43</f>
        <v>3.232410690048924</v>
      </c>
      <c r="F59" s="1104"/>
      <c r="L59" s="58"/>
      <c r="M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</row>
    <row r="60" spans="2:118">
      <c r="B60" s="1104" t="s">
        <v>469</v>
      </c>
      <c r="C60" s="649">
        <f ca="1">SUM('Monthly-Waterfall'!I58:DY58)</f>
        <v>35615955.529329158</v>
      </c>
      <c r="D60" s="1119">
        <f ca="1">'Monthly-Waterfall'!E58</f>
        <v>0.15477971434593202</v>
      </c>
      <c r="E60" s="1120">
        <f ca="1">(C60+D45)/D45</f>
        <v>2.7993007138594397</v>
      </c>
      <c r="F60" s="1104"/>
      <c r="L60" s="58"/>
      <c r="M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</row>
    <row r="61" spans="2:118">
      <c r="B61" s="1115" t="s">
        <v>470</v>
      </c>
      <c r="C61" s="646">
        <f ca="1">SUM('Monthly-Waterfall'!I63:DY63)</f>
        <v>13483020.192828808</v>
      </c>
      <c r="D61" s="1121">
        <f ca="1">IFERROR('Monthly-Waterfall'!E63,"")</f>
        <v>0.27251419425010692</v>
      </c>
      <c r="E61" s="1122">
        <f ca="1">(C61+D46)/D46</f>
        <v>7.13040047575429</v>
      </c>
      <c r="F61" s="1104"/>
      <c r="L61" s="58"/>
      <c r="M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</row>
    <row r="62" spans="2:118">
      <c r="B62" s="1104"/>
      <c r="C62" s="649"/>
      <c r="D62" s="1119"/>
      <c r="E62" s="1120"/>
      <c r="F62" s="1104"/>
      <c r="G62" s="58"/>
      <c r="H62" s="58"/>
      <c r="I62" s="58"/>
      <c r="J62" s="58"/>
      <c r="K62" s="58"/>
      <c r="L62" s="58"/>
      <c r="M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</row>
    <row r="63" spans="2:118" ht="15.75" thickBot="1">
      <c r="B63" s="1104"/>
      <c r="C63" s="649"/>
      <c r="D63" s="1119"/>
      <c r="E63" s="1120"/>
      <c r="F63" s="1104"/>
      <c r="G63" s="70" t="s">
        <v>128</v>
      </c>
      <c r="H63" s="627"/>
      <c r="I63" s="631"/>
      <c r="J63" s="631"/>
      <c r="K63" s="631"/>
      <c r="L63" s="58"/>
      <c r="M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</row>
    <row r="64" spans="2:118" ht="15">
      <c r="B64" s="1104"/>
      <c r="C64" s="649"/>
      <c r="D64" s="1119"/>
      <c r="E64" s="1120"/>
      <c r="F64" s="1120"/>
      <c r="G64" s="1117" t="s">
        <v>17</v>
      </c>
      <c r="H64" s="1117"/>
      <c r="I64" s="1127"/>
      <c r="J64" s="629"/>
      <c r="K64" s="629">
        <f ca="1">'Annual-CF'!I128-Dashboard!C59</f>
        <v>0</v>
      </c>
      <c r="L64" s="58"/>
      <c r="M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</row>
    <row r="65" spans="2:118" ht="15">
      <c r="B65" s="1104"/>
      <c r="C65" s="649"/>
      <c r="D65" s="1119"/>
      <c r="E65" s="1120"/>
      <c r="F65" s="1120"/>
      <c r="G65" s="1104" t="s">
        <v>352</v>
      </c>
      <c r="H65" s="1117"/>
      <c r="I65" s="1141"/>
      <c r="J65" s="629"/>
      <c r="K65" s="629">
        <f ca="1">D44-'Monthly-CF'!F105-'Monthly-CF'!I109-'Monthly-CF'!I116</f>
        <v>-3.7252902984619141E-9</v>
      </c>
      <c r="L65" s="58"/>
      <c r="M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</row>
    <row r="66" spans="2:118" ht="15">
      <c r="B66" s="1104"/>
      <c r="C66" s="649"/>
      <c r="D66" s="1119"/>
      <c r="E66" s="1120"/>
      <c r="F66" s="1120"/>
      <c r="G66" s="1104" t="s">
        <v>92</v>
      </c>
      <c r="H66" s="1117"/>
      <c r="I66" s="1141"/>
      <c r="J66" s="629"/>
      <c r="K66" s="629">
        <f ca="1">D44-C37</f>
        <v>0</v>
      </c>
      <c r="L66" s="58"/>
      <c r="M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</row>
    <row r="67" spans="2:118" ht="15">
      <c r="B67" s="1104"/>
      <c r="C67" s="649"/>
      <c r="D67" s="1119"/>
      <c r="E67" s="1120"/>
      <c r="F67" s="1120"/>
      <c r="G67" s="1104" t="s">
        <v>520</v>
      </c>
      <c r="H67" s="1117"/>
      <c r="I67" s="1141"/>
      <c r="J67" s="629"/>
      <c r="K67" s="629">
        <f ca="1">SUM(D45:D46)-D43</f>
        <v>0</v>
      </c>
      <c r="L67" s="58"/>
      <c r="M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</row>
    <row r="68" spans="2:118">
      <c r="B68" s="1104"/>
      <c r="C68" s="649"/>
      <c r="D68" s="1119"/>
      <c r="E68" s="1120"/>
      <c r="F68" s="1120"/>
      <c r="G68" s="1115" t="s">
        <v>138</v>
      </c>
      <c r="H68" s="1118"/>
      <c r="I68" s="1009"/>
      <c r="J68" s="650"/>
      <c r="K68" s="650">
        <f ca="1">C37+'Monthly-CF'!I76+'Monthly-CF'!I86</f>
        <v>1.4901161193847656E-8</v>
      </c>
      <c r="L68" s="58"/>
      <c r="M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</row>
    <row r="69" spans="2:118">
      <c r="B69" s="1104"/>
      <c r="C69" s="649"/>
      <c r="D69" s="1119"/>
      <c r="E69" s="1120"/>
      <c r="F69" s="1120"/>
      <c r="G69" s="1120"/>
      <c r="H69" s="1120"/>
      <c r="I69" s="1120"/>
      <c r="J69" s="1120"/>
      <c r="K69" s="1856"/>
      <c r="L69" s="58"/>
      <c r="M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</row>
    <row r="70" spans="2:118">
      <c r="B70" s="1104"/>
      <c r="C70" s="649"/>
      <c r="D70" s="1119"/>
      <c r="E70" s="1120"/>
      <c r="F70" s="1104"/>
      <c r="G70" s="1115"/>
      <c r="H70" s="1118"/>
      <c r="I70" s="1009"/>
      <c r="J70" s="650"/>
      <c r="K70" s="1856"/>
      <c r="L70" s="58"/>
      <c r="M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</row>
    <row r="71" spans="2:118" ht="15">
      <c r="B71" s="632" t="s">
        <v>445</v>
      </c>
      <c r="C71" s="633"/>
      <c r="D71" s="634"/>
      <c r="E71" s="635"/>
      <c r="F71" s="635"/>
      <c r="G71" s="636"/>
      <c r="H71" s="636"/>
      <c r="I71" s="635"/>
      <c r="J71" s="635"/>
      <c r="K71" s="673"/>
      <c r="L71" s="58"/>
      <c r="M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</row>
    <row r="72" spans="2:118">
      <c r="B72" s="652"/>
      <c r="C72" s="652"/>
      <c r="D72" s="653"/>
      <c r="E72" s="652"/>
      <c r="F72" s="652"/>
      <c r="G72" s="652"/>
      <c r="H72" s="652"/>
      <c r="I72" s="652"/>
      <c r="J72" s="652"/>
      <c r="K72" s="652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</row>
    <row r="73" spans="2:118">
      <c r="B73" s="652"/>
      <c r="C73" s="1853"/>
      <c r="D73" s="653"/>
      <c r="E73" s="652"/>
      <c r="F73" s="652"/>
      <c r="G73" s="652"/>
      <c r="H73" s="652"/>
      <c r="I73" s="652"/>
      <c r="J73" s="652"/>
      <c r="K73" s="652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</row>
    <row r="74" spans="2:118">
      <c r="B74" s="652"/>
      <c r="C74" s="652"/>
      <c r="D74" s="653"/>
      <c r="E74" s="652"/>
      <c r="F74" s="652"/>
      <c r="G74" s="652"/>
      <c r="H74" s="652"/>
      <c r="I74" s="652"/>
      <c r="J74" s="652"/>
      <c r="K74" s="652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</row>
    <row r="75" spans="2:118">
      <c r="B75" s="652"/>
      <c r="C75" s="652"/>
      <c r="D75" s="653"/>
      <c r="E75" s="652"/>
      <c r="F75" s="652"/>
      <c r="G75" s="652"/>
      <c r="H75" s="652"/>
      <c r="I75" s="652"/>
      <c r="J75" s="652"/>
      <c r="K75" s="652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</row>
    <row r="76" spans="2:118">
      <c r="B76" s="652"/>
      <c r="C76" s="652"/>
      <c r="D76" s="653"/>
      <c r="E76" s="652"/>
      <c r="F76" s="652"/>
      <c r="G76" s="652"/>
      <c r="H76" s="652"/>
      <c r="I76" s="652"/>
      <c r="J76" s="652"/>
      <c r="K76" s="652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</row>
    <row r="77" spans="2:118">
      <c r="B77" s="652"/>
      <c r="C77" s="652"/>
      <c r="D77" s="653"/>
      <c r="E77" s="652"/>
      <c r="F77" s="652"/>
      <c r="G77" s="652"/>
      <c r="H77" s="652"/>
      <c r="I77" s="652"/>
      <c r="J77" s="652"/>
      <c r="K77" s="652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</row>
    <row r="78" spans="2:118">
      <c r="B78" s="652"/>
      <c r="C78" s="652"/>
      <c r="D78" s="654"/>
      <c r="E78" s="652"/>
      <c r="F78" s="652"/>
      <c r="G78" s="652"/>
      <c r="H78" s="652"/>
      <c r="I78" s="652"/>
      <c r="J78" s="652"/>
      <c r="K78" s="652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</row>
    <row r="79" spans="2:118">
      <c r="B79" s="73"/>
      <c r="C79" s="77"/>
      <c r="D79" s="7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</row>
    <row r="80" spans="2:118">
      <c r="B80" s="73"/>
      <c r="C80" s="77"/>
      <c r="D80" s="7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</row>
    <row r="81" spans="2:118">
      <c r="B81" s="73"/>
      <c r="C81" s="77"/>
      <c r="D81" s="7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</row>
    <row r="82" spans="2:118">
      <c r="B82" s="73"/>
      <c r="C82" s="77"/>
      <c r="D82" s="7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</row>
    <row r="83" spans="2:118">
      <c r="B83" s="73"/>
      <c r="C83" s="77"/>
      <c r="D83" s="7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</row>
    <row r="84" spans="2:118">
      <c r="B84" s="73"/>
      <c r="C84" s="77"/>
      <c r="D84" s="7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</row>
    <row r="85" spans="2:118">
      <c r="B85" s="73"/>
      <c r="C85" s="77"/>
      <c r="D85" s="7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</row>
    <row r="86" spans="2:118">
      <c r="B86" s="73"/>
      <c r="C86" s="77"/>
      <c r="D86" s="7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</row>
    <row r="87" spans="2:118">
      <c r="B87" s="73"/>
      <c r="C87" s="77"/>
      <c r="D87" s="7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</row>
    <row r="88" spans="2:118">
      <c r="B88" s="73"/>
      <c r="C88" s="77"/>
      <c r="D88" s="7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</row>
    <row r="89" spans="2:118">
      <c r="B89" s="73"/>
      <c r="C89" s="77"/>
      <c r="D89" s="7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</row>
    <row r="90" spans="2:118">
      <c r="B90" s="73"/>
      <c r="C90" s="77"/>
      <c r="D90" s="7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</row>
    <row r="91" spans="2:118">
      <c r="B91" s="73"/>
      <c r="C91" s="77"/>
      <c r="D91" s="7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</row>
    <row r="92" spans="2:118">
      <c r="B92" s="73"/>
      <c r="C92" s="77"/>
      <c r="D92" s="7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</row>
    <row r="93" spans="2:118">
      <c r="B93" s="73"/>
      <c r="C93" s="77"/>
      <c r="D93" s="7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</row>
    <row r="94" spans="2:118">
      <c r="B94" s="73"/>
      <c r="C94" s="77"/>
      <c r="D94" s="7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</row>
    <row r="95" spans="2:118">
      <c r="B95" s="73"/>
      <c r="C95" s="77"/>
      <c r="D95" s="7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</row>
    <row r="96" spans="2:118">
      <c r="B96" s="73"/>
      <c r="C96" s="77"/>
      <c r="D96" s="7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</row>
    <row r="97" spans="2:118">
      <c r="B97" s="73"/>
      <c r="C97" s="77"/>
      <c r="D97" s="7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</row>
    <row r="98" spans="2:118">
      <c r="B98" s="73"/>
      <c r="C98" s="77"/>
      <c r="D98" s="7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</row>
    <row r="99" spans="2:118">
      <c r="B99" s="73"/>
      <c r="C99" s="77"/>
      <c r="D99" s="7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</row>
    <row r="100" spans="2:118">
      <c r="B100" s="73"/>
      <c r="C100" s="77"/>
      <c r="D100" s="7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</row>
    <row r="101" spans="2:118">
      <c r="B101" s="73"/>
      <c r="C101" s="77"/>
      <c r="D101" s="7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</row>
    <row r="102" spans="2:118">
      <c r="B102" s="73"/>
      <c r="C102" s="77"/>
      <c r="D102" s="7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</row>
    <row r="103" spans="2:118">
      <c r="B103" s="73"/>
      <c r="C103" s="77"/>
      <c r="D103" s="7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</row>
    <row r="104" spans="2:118">
      <c r="B104" s="73"/>
      <c r="C104" s="77"/>
      <c r="D104" s="7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</row>
    <row r="105" spans="2:118">
      <c r="B105" s="73"/>
      <c r="C105" s="77"/>
      <c r="D105" s="7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</row>
    <row r="106" spans="2:118">
      <c r="B106" s="73"/>
      <c r="C106" s="77"/>
      <c r="D106" s="7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</row>
    <row r="107" spans="2:118">
      <c r="B107" s="73"/>
      <c r="C107" s="77"/>
      <c r="D107" s="7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</row>
    <row r="108" spans="2:118">
      <c r="B108" s="73"/>
      <c r="C108" s="77"/>
      <c r="D108" s="7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</row>
    <row r="109" spans="2:118">
      <c r="B109" s="73"/>
      <c r="C109" s="77"/>
      <c r="D109" s="7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</row>
    <row r="110" spans="2:118">
      <c r="B110" s="73"/>
      <c r="C110" s="77"/>
      <c r="D110" s="7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</row>
    <row r="111" spans="2:118">
      <c r="B111" s="73"/>
      <c r="C111" s="77"/>
      <c r="D111" s="7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</row>
    <row r="112" spans="2:118">
      <c r="B112" s="73"/>
      <c r="C112" s="77"/>
      <c r="D112" s="7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</row>
    <row r="113" spans="2:118">
      <c r="B113" s="73"/>
      <c r="C113" s="78"/>
      <c r="L113" s="58"/>
      <c r="M113" s="79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</row>
    <row r="114" spans="2:118" ht="15">
      <c r="B114" s="80"/>
      <c r="C114" s="81"/>
      <c r="H114" s="58"/>
      <c r="I114" s="58"/>
      <c r="J114" s="58"/>
      <c r="K114" s="58"/>
      <c r="L114" s="58"/>
      <c r="M114" s="79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</row>
    <row r="115" spans="2:118" ht="15">
      <c r="B115" s="80"/>
      <c r="C115" s="82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</row>
  </sheetData>
  <scenarios current="0" show="0">
    <scenario name="IRR Scale" locked="1" count="1" user="Eric" comment="Created by Eric on 8/18/2019_x000a_Modified by Eric on 8/18/2019">
      <inputCells r="A113" val="60"/>
    </scenario>
  </scenarios>
  <pageMargins left="0.25" right="0.25" top="0.75" bottom="0.75" header="0.3" footer="0.3"/>
  <pageSetup scale="52" fitToHeight="0" orientation="portrait" r:id="rId1"/>
  <ignoredErrors>
    <ignoredError sqref="E59 E26 D35:E35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fitToPage="1"/>
  </sheetPr>
  <dimension ref="A1:AH1007"/>
  <sheetViews>
    <sheetView showGridLines="0" view="pageBreakPreview" topLeftCell="A3" zoomScale="70" zoomScaleNormal="70" zoomScaleSheetLayoutView="70" workbookViewId="0">
      <selection activeCell="T40" sqref="T40"/>
    </sheetView>
  </sheetViews>
  <sheetFormatPr defaultColWidth="14.42578125" defaultRowHeight="15" customHeight="1" outlineLevelRow="1"/>
  <cols>
    <col min="1" max="1" width="2.140625" style="86" customWidth="1"/>
    <col min="2" max="2" width="29.85546875" style="86" customWidth="1"/>
    <col min="3" max="3" width="18.42578125" style="86" customWidth="1"/>
    <col min="4" max="4" width="30.42578125" style="86" bestFit="1" customWidth="1"/>
    <col min="5" max="5" width="21.42578125" style="86" customWidth="1"/>
    <col min="6" max="6" width="14.42578125" style="86"/>
    <col min="7" max="7" width="21.42578125" style="86" customWidth="1"/>
    <col min="8" max="8" width="14.42578125" style="86"/>
    <col min="9" max="9" width="25.42578125" style="86" bestFit="1" customWidth="1"/>
    <col min="10" max="10" width="17.140625" style="86" bestFit="1" customWidth="1"/>
    <col min="11" max="11" width="20.7109375" style="86" bestFit="1" customWidth="1"/>
    <col min="12" max="13" width="24" style="86" bestFit="1" customWidth="1"/>
    <col min="14" max="14" width="18.28515625" style="86" bestFit="1" customWidth="1"/>
    <col min="15" max="15" width="2.140625" style="86" customWidth="1"/>
    <col min="16" max="16" width="19.7109375" style="86" customWidth="1"/>
    <col min="17" max="17" width="16.85546875" style="86" bestFit="1" customWidth="1"/>
    <col min="18" max="19" width="14.42578125" style="86"/>
    <col min="20" max="22" width="14.42578125" style="58"/>
    <col min="23" max="23" width="14.42578125" style="73"/>
    <col min="24" max="24" width="21.140625" style="86" bestFit="1" customWidth="1"/>
    <col min="25" max="25" width="19.140625" style="86" bestFit="1" customWidth="1"/>
    <col min="26" max="26" width="14.42578125" style="86" bestFit="1" customWidth="1"/>
    <col min="27" max="27" width="12.85546875" style="86" bestFit="1" customWidth="1"/>
    <col min="28" max="28" width="7.85546875" style="86" bestFit="1" customWidth="1"/>
    <col min="29" max="29" width="12.85546875" style="86" bestFit="1" customWidth="1"/>
    <col min="30" max="30" width="12" style="86" bestFit="1" customWidth="1"/>
    <col min="31" max="31" width="13.42578125" style="86" bestFit="1" customWidth="1"/>
    <col min="32" max="32" width="9.42578125" style="86" bestFit="1" customWidth="1"/>
    <col min="33" max="33" width="8.28515625" style="86" bestFit="1" customWidth="1"/>
    <col min="34" max="16384" width="14.42578125" style="86"/>
  </cols>
  <sheetData>
    <row r="1" spans="1:34" ht="14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  <c r="U1" s="84"/>
      <c r="V1" s="84"/>
      <c r="W1" s="85"/>
      <c r="X1" s="83"/>
    </row>
    <row r="2" spans="1:34" ht="21" thickBot="1">
      <c r="A2" s="83"/>
      <c r="B2" s="58"/>
      <c r="C2" s="83"/>
      <c r="D2" s="83"/>
      <c r="E2" s="83"/>
      <c r="F2" s="83"/>
      <c r="G2" s="83"/>
      <c r="I2" s="87"/>
      <c r="J2" s="88"/>
      <c r="K2" s="88"/>
      <c r="L2" s="88"/>
      <c r="M2" s="83"/>
      <c r="N2" s="83"/>
      <c r="O2" s="83"/>
      <c r="P2" s="89"/>
      <c r="Q2" s="83"/>
      <c r="R2" s="83"/>
      <c r="S2" s="83"/>
      <c r="T2" s="90"/>
      <c r="U2" s="91"/>
      <c r="V2" s="91"/>
      <c r="W2" s="85"/>
      <c r="X2" s="83"/>
    </row>
    <row r="3" spans="1:34" ht="15.75" thickBot="1">
      <c r="A3" s="83"/>
      <c r="B3" s="83"/>
      <c r="C3" s="83"/>
      <c r="D3" s="92" t="s">
        <v>14</v>
      </c>
      <c r="E3" s="93" t="s">
        <v>606</v>
      </c>
      <c r="F3" s="94"/>
      <c r="H3" s="95"/>
      <c r="I3" s="96"/>
      <c r="J3" s="96"/>
      <c r="K3" s="96"/>
      <c r="L3" s="96"/>
      <c r="O3" s="83"/>
      <c r="P3" s="97"/>
      <c r="Q3" s="98"/>
      <c r="R3" s="98"/>
      <c r="S3" s="83"/>
      <c r="T3" s="83"/>
      <c r="U3" s="83"/>
      <c r="V3" s="83"/>
      <c r="W3" s="83"/>
      <c r="X3" s="83"/>
      <c r="Y3" s="83"/>
    </row>
    <row r="4" spans="1:34" ht="15.75" thickBot="1">
      <c r="A4" s="83"/>
      <c r="B4" s="83"/>
      <c r="C4" s="83"/>
      <c r="D4" s="92" t="s">
        <v>60</v>
      </c>
      <c r="E4" s="93" t="s">
        <v>217</v>
      </c>
      <c r="F4" s="94"/>
      <c r="H4" s="95"/>
      <c r="I4" s="99"/>
      <c r="J4" s="99"/>
      <c r="K4" s="99"/>
      <c r="L4" s="99"/>
      <c r="P4" s="97"/>
      <c r="Q4" s="98"/>
      <c r="R4" s="100" t="b">
        <v>0</v>
      </c>
      <c r="S4" s="83"/>
      <c r="T4" s="86"/>
      <c r="U4" s="101"/>
      <c r="V4" s="102"/>
      <c r="W4" s="83"/>
      <c r="X4" s="83"/>
      <c r="Y4" s="83"/>
    </row>
    <row r="5" spans="1:34" ht="27" thickBot="1">
      <c r="A5" s="103"/>
      <c r="B5" s="83"/>
      <c r="C5" s="58"/>
      <c r="D5" s="92" t="s">
        <v>61</v>
      </c>
      <c r="E5" s="1180"/>
      <c r="F5" s="94"/>
      <c r="H5" s="104"/>
      <c r="I5" s="105"/>
      <c r="J5" s="105"/>
      <c r="K5" s="105"/>
      <c r="L5" s="105"/>
      <c r="N5" s="106"/>
      <c r="P5" s="97"/>
      <c r="Q5" s="98"/>
      <c r="R5" s="98"/>
      <c r="S5" s="83"/>
      <c r="T5" s="86"/>
      <c r="U5" s="107"/>
      <c r="V5" s="107"/>
      <c r="W5" s="83"/>
      <c r="X5" s="83"/>
      <c r="Y5" s="83"/>
    </row>
    <row r="6" spans="1:34" ht="15.75" thickBot="1">
      <c r="A6" s="83"/>
      <c r="B6" s="83"/>
      <c r="C6" s="83"/>
      <c r="D6" s="92" t="s">
        <v>15</v>
      </c>
      <c r="E6" s="108" t="s">
        <v>62</v>
      </c>
      <c r="F6" s="109"/>
      <c r="H6" s="104"/>
      <c r="I6" s="105"/>
      <c r="J6" s="105"/>
      <c r="K6" s="105"/>
      <c r="L6" s="105"/>
    </row>
    <row r="7" spans="1:34" ht="14.25">
      <c r="A7" s="83" t="s">
        <v>255</v>
      </c>
      <c r="I7" s="110"/>
      <c r="J7" s="111"/>
      <c r="O7" s="112"/>
    </row>
    <row r="8" spans="1:34" ht="19.5">
      <c r="B8" s="113" t="s">
        <v>318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</row>
    <row r="9" spans="1:34" ht="5.0999999999999996" customHeight="1">
      <c r="O9" s="107"/>
    </row>
    <row r="10" spans="1:34">
      <c r="B10" s="114" t="s">
        <v>238</v>
      </c>
      <c r="C10" s="114"/>
      <c r="D10" s="115"/>
      <c r="E10" s="116"/>
      <c r="F10" s="117"/>
      <c r="G10" s="118"/>
      <c r="H10" s="118"/>
      <c r="I10" s="118"/>
      <c r="J10" s="118"/>
      <c r="K10" s="118"/>
      <c r="L10" s="118"/>
      <c r="M10" s="118"/>
      <c r="N10" s="118"/>
    </row>
    <row r="11" spans="1:34">
      <c r="B11" s="119" t="s">
        <v>35</v>
      </c>
      <c r="C11" s="120" t="s">
        <v>63</v>
      </c>
      <c r="D11" s="119" t="s">
        <v>36</v>
      </c>
      <c r="E11" s="119" t="s">
        <v>37</v>
      </c>
      <c r="F11" s="119" t="s">
        <v>41</v>
      </c>
      <c r="G11" s="119" t="s">
        <v>42</v>
      </c>
      <c r="I11" s="121"/>
      <c r="J11" s="122" t="s">
        <v>58</v>
      </c>
      <c r="K11" s="122" t="s">
        <v>57</v>
      </c>
      <c r="L11" s="122" t="s">
        <v>56</v>
      </c>
      <c r="M11" s="122"/>
      <c r="N11" s="122" t="s">
        <v>11</v>
      </c>
      <c r="P11" s="123" t="s">
        <v>327</v>
      </c>
      <c r="Q11" s="123"/>
    </row>
    <row r="12" spans="1:34">
      <c r="B12" s="124">
        <f t="shared" ref="B12:B23" ca="1" si="0">+E12/$E$23</f>
        <v>7.2848358509794639E-2</v>
      </c>
      <c r="C12" s="125">
        <f t="shared" ref="C12:C23" si="1">E12/$J$35</f>
        <v>50.340280937490924</v>
      </c>
      <c r="D12" s="126" t="s">
        <v>43</v>
      </c>
      <c r="E12" s="127">
        <f>N12</f>
        <v>5200000</v>
      </c>
      <c r="F12" s="888">
        <v>1</v>
      </c>
      <c r="G12" s="888">
        <v>1</v>
      </c>
      <c r="I12" s="128" t="s">
        <v>10</v>
      </c>
      <c r="J12" s="129">
        <v>1.1200000000000001</v>
      </c>
      <c r="K12" s="130">
        <f>+J12*43650</f>
        <v>48888.000000000007</v>
      </c>
      <c r="L12" s="131">
        <f>N12/K12</f>
        <v>106.36557028309603</v>
      </c>
      <c r="M12" s="132"/>
      <c r="N12" s="133">
        <v>5200000</v>
      </c>
      <c r="P12" s="134">
        <f>N12/C34</f>
        <v>39694.656488549619</v>
      </c>
      <c r="Q12" s="112"/>
    </row>
    <row r="13" spans="1:34">
      <c r="B13" s="124">
        <f t="shared" ca="1" si="0"/>
        <v>0.53852165435432797</v>
      </c>
      <c r="C13" s="125">
        <f t="shared" ca="1" si="1"/>
        <v>372.13372992439275</v>
      </c>
      <c r="D13" s="126" t="s">
        <v>44</v>
      </c>
      <c r="E13" s="127">
        <f ca="1">N27</f>
        <v>38440297.899999999</v>
      </c>
      <c r="F13" s="888">
        <f>'Monthly-CF'!F70</f>
        <v>3</v>
      </c>
      <c r="G13" s="888">
        <f>'Monthly-CF'!H70</f>
        <v>19</v>
      </c>
      <c r="I13" s="135"/>
      <c r="J13" s="136" t="s">
        <v>64</v>
      </c>
      <c r="K13" s="137"/>
      <c r="L13" s="138"/>
      <c r="M13" s="137"/>
      <c r="N13" s="137"/>
      <c r="O13" s="139"/>
      <c r="AH13" s="107"/>
    </row>
    <row r="14" spans="1:34">
      <c r="B14" s="124">
        <f t="shared" ca="1" si="0"/>
        <v>0.11658870903017415</v>
      </c>
      <c r="C14" s="125">
        <f t="shared" ca="1" si="1"/>
        <v>80.566103159747058</v>
      </c>
      <c r="D14" s="126" t="s">
        <v>45</v>
      </c>
      <c r="E14" s="127">
        <f ca="1">N33-E19-E18-E20</f>
        <v>8322236.7580923922</v>
      </c>
      <c r="F14" s="888">
        <f>'Monthly-CF'!F71</f>
        <v>2</v>
      </c>
      <c r="G14" s="888">
        <f>'Monthly-CF'!H81</f>
        <v>0</v>
      </c>
      <c r="I14" s="140" t="s">
        <v>9</v>
      </c>
      <c r="J14" s="141"/>
      <c r="K14" s="142"/>
      <c r="L14" s="143"/>
      <c r="M14" s="142"/>
      <c r="N14" s="144"/>
    </row>
    <row r="15" spans="1:34">
      <c r="B15" s="124">
        <f t="shared" ca="1" si="0"/>
        <v>0</v>
      </c>
      <c r="C15" s="125">
        <f t="shared" si="1"/>
        <v>0</v>
      </c>
      <c r="D15" s="126" t="s">
        <v>46</v>
      </c>
      <c r="E15" s="145">
        <f>'Budget Detail'!K72</f>
        <v>0</v>
      </c>
      <c r="F15" s="888">
        <f>G13-1</f>
        <v>18</v>
      </c>
      <c r="G15" s="888"/>
      <c r="I15" s="146" t="s">
        <v>186</v>
      </c>
      <c r="J15" s="147" t="s">
        <v>65</v>
      </c>
      <c r="K15" s="148">
        <f>F34</f>
        <v>103297</v>
      </c>
      <c r="L15" s="1040">
        <f ca="1">N15/K15</f>
        <v>345.87933821892216</v>
      </c>
      <c r="M15" s="83"/>
      <c r="N15" s="150">
        <f ca="1">'Budget Detail'!K66+'Budget Detail'!K68</f>
        <v>35728298</v>
      </c>
    </row>
    <row r="16" spans="1:34">
      <c r="B16" s="124">
        <f t="shared" ca="1" si="0"/>
        <v>0</v>
      </c>
      <c r="C16" s="125">
        <f t="shared" si="1"/>
        <v>0</v>
      </c>
      <c r="D16" s="126" t="s">
        <v>47</v>
      </c>
      <c r="E16" s="145"/>
      <c r="F16" s="888">
        <f ca="1">INDEX('Monthly-CF'!$L$10:$EA$10,MATCH(Assumptions!$H$59,'Monthly-CF'!$L$13:$EA$13,0))</f>
        <v>1</v>
      </c>
      <c r="G16" s="888">
        <f ca="1">INDEX('Monthly-CF'!$L$10:$EA$10,MATCH(Assumptions!$J$59,'Monthly-CF'!$L$13:$EA$13,0))</f>
        <v>1</v>
      </c>
      <c r="I16" s="146" t="s">
        <v>262</v>
      </c>
      <c r="J16" s="147" t="s">
        <v>65</v>
      </c>
      <c r="K16" s="151">
        <f>F41</f>
        <v>0</v>
      </c>
      <c r="L16" s="1040">
        <v>0</v>
      </c>
      <c r="M16" s="83"/>
      <c r="N16" s="150"/>
      <c r="O16" s="106"/>
    </row>
    <row r="17" spans="2:23">
      <c r="B17" s="152">
        <f t="shared" ca="1" si="0"/>
        <v>0.72795872189429689</v>
      </c>
      <c r="C17" s="153">
        <f t="shared" ca="1" si="1"/>
        <v>503.04011402163076</v>
      </c>
      <c r="D17" s="154" t="s">
        <v>48</v>
      </c>
      <c r="E17" s="155">
        <f ca="1">SUM(E10:E16)</f>
        <v>51962534.658092394</v>
      </c>
      <c r="F17" s="156">
        <f ca="1">MIN(F12:F16)</f>
        <v>1</v>
      </c>
      <c r="G17" s="157">
        <f ca="1">MAX(G12:G16)</f>
        <v>19</v>
      </c>
      <c r="I17" s="158" t="s">
        <v>320</v>
      </c>
      <c r="J17" s="147"/>
      <c r="K17" s="130">
        <f>F37+F38+F36+F39</f>
        <v>32084</v>
      </c>
      <c r="L17" s="1040">
        <v>0</v>
      </c>
      <c r="M17" s="83"/>
      <c r="N17" s="150"/>
      <c r="P17" s="159"/>
    </row>
    <row r="18" spans="2:23">
      <c r="B18" s="124">
        <f t="shared" ca="1" si="0"/>
        <v>3.4663091037742812E-3</v>
      </c>
      <c r="C18" s="125">
        <f t="shared" ca="1" si="1"/>
        <v>2.3953178584898165</v>
      </c>
      <c r="D18" s="126" t="s">
        <v>49</v>
      </c>
      <c r="E18" s="160">
        <f ca="1">-'Monthly-CF'!I93</f>
        <v>247429.14882842259</v>
      </c>
      <c r="F18" s="888">
        <f ca="1">INDEX('Monthly-CF'!$L$10:$EA$10,MATCH(-Assumptions!$E$18,'Monthly-CF'!$L$93:$EA$93,0))</f>
        <v>8</v>
      </c>
      <c r="G18" s="889">
        <f ca="1">F18</f>
        <v>8</v>
      </c>
      <c r="I18" s="158"/>
      <c r="J18" s="147"/>
      <c r="K18" s="161"/>
      <c r="L18" s="1040"/>
      <c r="M18" s="83"/>
      <c r="N18" s="150"/>
      <c r="P18" s="159"/>
    </row>
    <row r="19" spans="2:23" ht="14.25">
      <c r="B19" s="124">
        <f t="shared" ca="1" si="0"/>
        <v>3.4663091037742816E-2</v>
      </c>
      <c r="C19" s="125">
        <f t="shared" ca="1" si="1"/>
        <v>23.953178584898168</v>
      </c>
      <c r="D19" s="126" t="s">
        <v>50</v>
      </c>
      <c r="E19" s="160">
        <f ca="1">-'Monthly-CF'!I94</f>
        <v>2474291.488284226</v>
      </c>
      <c r="F19" s="162"/>
      <c r="G19" s="162"/>
      <c r="I19" s="158"/>
      <c r="J19" s="163"/>
      <c r="K19" s="161"/>
      <c r="L19" s="1040"/>
      <c r="M19" s="164"/>
      <c r="N19" s="150"/>
      <c r="P19" s="159"/>
      <c r="R19" s="106"/>
    </row>
    <row r="20" spans="2:23" ht="14.25">
      <c r="B20" s="124">
        <f t="shared" ca="1" si="0"/>
        <v>4.2027899140266133E-3</v>
      </c>
      <c r="C20" s="125">
        <f t="shared" si="1"/>
        <v>2.9042469771629378</v>
      </c>
      <c r="D20" s="126" t="s">
        <v>51</v>
      </c>
      <c r="E20" s="145">
        <f>-'Monthly-CF'!I75-'Monthly-CF'!I85</f>
        <v>300000</v>
      </c>
      <c r="F20" s="162"/>
      <c r="G20" s="162"/>
      <c r="I20" s="158" t="s">
        <v>309</v>
      </c>
      <c r="J20" s="163"/>
      <c r="K20" s="130">
        <f>F45</f>
        <v>60170</v>
      </c>
      <c r="L20" s="1040">
        <v>0</v>
      </c>
      <c r="M20" s="165"/>
      <c r="N20" s="150"/>
      <c r="O20" s="166"/>
      <c r="P20" s="159"/>
    </row>
    <row r="21" spans="2:23">
      <c r="B21" s="152">
        <f t="shared" ca="1" si="0"/>
        <v>0.77029091194984056</v>
      </c>
      <c r="C21" s="153">
        <f t="shared" ca="1" si="1"/>
        <v>532.29285744218168</v>
      </c>
      <c r="D21" s="167" t="s">
        <v>52</v>
      </c>
      <c r="E21" s="155">
        <f ca="1">SUM(E17:E20)</f>
        <v>54984255.295205042</v>
      </c>
      <c r="F21" s="168"/>
      <c r="G21" s="168"/>
      <c r="I21" s="158"/>
      <c r="J21" s="163"/>
      <c r="K21" s="161"/>
      <c r="L21" s="149"/>
      <c r="N21" s="150"/>
      <c r="O21" s="106"/>
      <c r="P21" s="159"/>
      <c r="R21" s="237"/>
      <c r="S21" s="237"/>
    </row>
    <row r="22" spans="2:23">
      <c r="B22" s="124">
        <f t="shared" ca="1" si="0"/>
        <v>0.22970908805015952</v>
      </c>
      <c r="C22" s="125">
        <f t="shared" ca="1" si="1"/>
        <v>158.73549195738039</v>
      </c>
      <c r="D22" s="169" t="s">
        <v>53</v>
      </c>
      <c r="E22" s="127">
        <f ca="1">-'Monthly-CF'!I127</f>
        <v>16396900.112721523</v>
      </c>
      <c r="F22" s="170"/>
      <c r="G22" s="170"/>
      <c r="I22" s="158"/>
      <c r="J22" s="147"/>
      <c r="K22" s="161"/>
      <c r="L22" s="149"/>
      <c r="M22" s="83"/>
      <c r="N22" s="171"/>
      <c r="P22" s="159"/>
      <c r="R22" s="283"/>
      <c r="S22" s="237"/>
      <c r="V22" s="1260"/>
      <c r="W22" s="1261"/>
    </row>
    <row r="23" spans="2:23" ht="15.75" thickBot="1">
      <c r="B23" s="172">
        <f t="shared" ca="1" si="0"/>
        <v>1</v>
      </c>
      <c r="C23" s="173">
        <f t="shared" ca="1" si="1"/>
        <v>691.02834939956199</v>
      </c>
      <c r="D23" s="174" t="s">
        <v>54</v>
      </c>
      <c r="E23" s="175">
        <f ca="1">SUM(E21:E22)</f>
        <v>71381155.407926559</v>
      </c>
      <c r="F23" s="176"/>
      <c r="G23" s="176"/>
      <c r="I23" s="158"/>
      <c r="J23" s="163"/>
      <c r="K23" s="161"/>
      <c r="L23" s="149"/>
      <c r="M23" s="164"/>
      <c r="N23" s="171"/>
      <c r="P23" s="159"/>
      <c r="R23" s="237"/>
      <c r="S23" s="237"/>
      <c r="W23" s="1261"/>
    </row>
    <row r="24" spans="2:23" ht="15.75" thickTop="1">
      <c r="I24" s="158" t="s">
        <v>293</v>
      </c>
      <c r="J24" s="83"/>
      <c r="K24" s="161"/>
      <c r="L24" s="149"/>
      <c r="M24" s="83"/>
      <c r="N24" s="177">
        <f>'Budget Detail'!K65</f>
        <v>412125</v>
      </c>
      <c r="P24" s="159"/>
      <c r="R24" s="237"/>
      <c r="S24" s="237"/>
      <c r="W24" s="1261"/>
    </row>
    <row r="25" spans="2:23">
      <c r="B25" s="114" t="s">
        <v>261</v>
      </c>
      <c r="C25" s="114"/>
      <c r="D25" s="114"/>
      <c r="E25" s="114"/>
      <c r="F25" s="114"/>
      <c r="G25" s="114"/>
      <c r="I25" s="158" t="s">
        <v>302</v>
      </c>
      <c r="K25" s="161"/>
      <c r="L25" s="149"/>
      <c r="N25" s="177">
        <f>'Budget Detail'!K73+SUM('Budget Detail'!K69:K71)</f>
        <v>513460</v>
      </c>
      <c r="O25" s="83"/>
      <c r="P25" s="159"/>
      <c r="R25" s="1262"/>
      <c r="S25" s="1262"/>
      <c r="T25" s="1262"/>
      <c r="U25" s="1262"/>
      <c r="V25" s="1262"/>
      <c r="W25" s="1261"/>
    </row>
    <row r="26" spans="2:23" ht="19.5">
      <c r="B26" s="178" t="s">
        <v>23</v>
      </c>
      <c r="C26" s="178" t="s">
        <v>96</v>
      </c>
      <c r="D26" s="179" t="s">
        <v>187</v>
      </c>
      <c r="E26" s="178" t="s">
        <v>84</v>
      </c>
      <c r="F26" s="179" t="s">
        <v>97</v>
      </c>
      <c r="G26" s="178" t="s">
        <v>260</v>
      </c>
      <c r="I26" s="158" t="s">
        <v>55</v>
      </c>
      <c r="J26" s="83"/>
      <c r="K26" s="83"/>
      <c r="L26" s="83"/>
      <c r="M26" s="180">
        <f>'Budget Detail'!E67</f>
        <v>0.05</v>
      </c>
      <c r="N26" s="181">
        <f ca="1">'Budget Detail'!K67</f>
        <v>1786414.9000000001</v>
      </c>
      <c r="O26" s="83"/>
      <c r="P26" s="182"/>
      <c r="R26" s="237"/>
      <c r="S26" s="1263"/>
      <c r="T26" s="1263"/>
      <c r="U26" s="1264"/>
      <c r="V26" s="1263"/>
      <c r="W26" s="1261"/>
    </row>
    <row r="27" spans="2:23">
      <c r="C27" s="184"/>
      <c r="D27" s="185"/>
      <c r="E27" s="186"/>
      <c r="F27" s="101"/>
      <c r="G27" s="187"/>
      <c r="H27" s="188"/>
      <c r="I27" s="140" t="s">
        <v>59</v>
      </c>
      <c r="J27" s="141"/>
      <c r="K27" s="189">
        <f>SUM(K15:K25)</f>
        <v>195551</v>
      </c>
      <c r="L27" s="190">
        <f t="shared" ref="L27:L32" ca="1" si="2">N27/K27</f>
        <v>196.57428445776293</v>
      </c>
      <c r="M27" s="191">
        <f ca="1">N27/SUM(K15:K19)</f>
        <v>283.94160111093873</v>
      </c>
      <c r="N27" s="192">
        <f ca="1">SUM(N15:N26)</f>
        <v>38440297.899999999</v>
      </c>
      <c r="O27" s="83"/>
      <c r="P27" s="159">
        <f ca="1">SUM(N26,N15:N23)/SUM(K15:K17)</f>
        <v>277.10471114853635</v>
      </c>
      <c r="Q27" s="193"/>
      <c r="R27" s="237"/>
      <c r="S27" s="302"/>
      <c r="T27" s="302"/>
      <c r="U27" s="1265"/>
      <c r="V27" s="234"/>
      <c r="W27" s="1261"/>
    </row>
    <row r="28" spans="2:23">
      <c r="B28" s="86" t="s">
        <v>165</v>
      </c>
      <c r="C28" s="872">
        <f>'Unit Detail'!D23</f>
        <v>12</v>
      </c>
      <c r="D28" s="185">
        <f>C28/$C$34</f>
        <v>9.1603053435114504E-2</v>
      </c>
      <c r="E28" s="186">
        <f>'Unit Detail'!E23</f>
        <v>458</v>
      </c>
      <c r="F28" s="101">
        <f>E28*C28</f>
        <v>5496</v>
      </c>
      <c r="G28" s="187">
        <f>F28/$F$34</f>
        <v>5.3205804621625025E-2</v>
      </c>
      <c r="H28" s="188"/>
      <c r="I28" s="158" t="s">
        <v>38</v>
      </c>
      <c r="J28" s="83"/>
      <c r="K28" s="194">
        <f>$K$27</f>
        <v>195551</v>
      </c>
      <c r="L28" s="195">
        <f t="shared" si="2"/>
        <v>6.9497729492562046</v>
      </c>
      <c r="M28" s="180"/>
      <c r="N28" s="196">
        <f>'Budget Detail'!K36+'Budget Detail'!K39</f>
        <v>1359035.05</v>
      </c>
      <c r="O28" s="197"/>
      <c r="P28" s="159">
        <f>N28/$C$34</f>
        <v>10374.313358778627</v>
      </c>
      <c r="R28" s="237"/>
      <c r="S28" s="302"/>
      <c r="T28" s="302"/>
      <c r="U28" s="1265"/>
      <c r="V28" s="234"/>
      <c r="W28" s="1261"/>
    </row>
    <row r="29" spans="2:23">
      <c r="B29" s="86" t="s">
        <v>188</v>
      </c>
      <c r="C29" s="872">
        <f>'Unit Detail'!D24</f>
        <v>76</v>
      </c>
      <c r="D29" s="185">
        <f>C29/$C$34</f>
        <v>0.58015267175572516</v>
      </c>
      <c r="E29" s="186">
        <f>'Unit Detail'!E24</f>
        <v>702.18421052631584</v>
      </c>
      <c r="F29" s="101">
        <f t="shared" ref="F29:F30" si="3">E29*C29</f>
        <v>53366</v>
      </c>
      <c r="G29" s="187">
        <f t="shared" ref="G29:G30" si="4">F29/$F$34</f>
        <v>0.5166268139442578</v>
      </c>
      <c r="H29" s="188"/>
      <c r="I29" s="158" t="s">
        <v>95</v>
      </c>
      <c r="J29" s="83"/>
      <c r="K29" s="198">
        <f t="shared" ref="K29:K30" si="5">$K$27</f>
        <v>195551</v>
      </c>
      <c r="L29" s="199">
        <f t="shared" ref="L29:L30" si="6">N29/K29</f>
        <v>0</v>
      </c>
      <c r="M29" s="200"/>
      <c r="N29" s="196">
        <f>'Budget Detail'!K40</f>
        <v>0</v>
      </c>
      <c r="O29" s="83"/>
      <c r="P29" s="159">
        <f t="shared" ref="P29:P30" si="7">N29/$C$34</f>
        <v>0</v>
      </c>
      <c r="R29" s="237"/>
      <c r="S29" s="302"/>
      <c r="T29" s="302"/>
      <c r="U29" s="1265"/>
      <c r="V29" s="234"/>
      <c r="W29" s="1261"/>
    </row>
    <row r="30" spans="2:23">
      <c r="B30" s="86" t="s">
        <v>189</v>
      </c>
      <c r="C30" s="872">
        <f>'Unit Detail'!D25</f>
        <v>37</v>
      </c>
      <c r="D30" s="185">
        <f>C30/$C$34</f>
        <v>0.28244274809160308</v>
      </c>
      <c r="E30" s="186">
        <f>'Unit Detail'!E25</f>
        <v>1016.8918918918919</v>
      </c>
      <c r="F30" s="101">
        <f t="shared" si="3"/>
        <v>37625</v>
      </c>
      <c r="G30" s="187">
        <f t="shared" si="4"/>
        <v>0.36424097505251846</v>
      </c>
      <c r="H30" s="188"/>
      <c r="I30" s="158" t="s">
        <v>39</v>
      </c>
      <c r="J30" s="83"/>
      <c r="K30" s="198">
        <f t="shared" si="5"/>
        <v>195551</v>
      </c>
      <c r="L30" s="199">
        <f t="shared" ca="1" si="6"/>
        <v>8.5534496704802176</v>
      </c>
      <c r="M30" s="180">
        <f>'Budget Detail'!E76</f>
        <v>0</v>
      </c>
      <c r="N30" s="196">
        <f ca="1">'Budget Detail'!K76+'Budget Detail'!K77</f>
        <v>1672635.6365120769</v>
      </c>
      <c r="O30" s="83"/>
      <c r="P30" s="159">
        <f t="shared" ca="1" si="7"/>
        <v>12768.210965741046</v>
      </c>
      <c r="R30" s="237"/>
      <c r="S30" s="302"/>
      <c r="T30" s="302"/>
      <c r="U30" s="1265"/>
      <c r="V30" s="234"/>
      <c r="W30" s="1261"/>
    </row>
    <row r="31" spans="2:23">
      <c r="B31" s="86" t="s">
        <v>639</v>
      </c>
      <c r="C31" s="872">
        <f>'Unit Detail'!D26</f>
        <v>2</v>
      </c>
      <c r="D31" s="185">
        <f>C31/$C$34</f>
        <v>1.5267175572519083E-2</v>
      </c>
      <c r="E31" s="186">
        <f>'Unit Detail'!E26</f>
        <v>1485</v>
      </c>
      <c r="F31" s="101">
        <f t="shared" ref="F31" si="8">E31*C31</f>
        <v>2970</v>
      </c>
      <c r="G31" s="187">
        <f t="shared" ref="G31" si="9">F31/$F$34</f>
        <v>2.8752045073913084E-2</v>
      </c>
      <c r="I31" s="158"/>
      <c r="J31" s="83"/>
      <c r="K31" s="198"/>
      <c r="L31" s="199"/>
      <c r="M31" s="202"/>
      <c r="N31" s="203"/>
      <c r="O31" s="83"/>
      <c r="P31" s="159"/>
      <c r="R31" s="237"/>
      <c r="S31" s="302"/>
      <c r="T31" s="302"/>
      <c r="U31" s="1266"/>
      <c r="V31" s="234"/>
      <c r="W31" s="1261"/>
    </row>
    <row r="32" spans="2:23">
      <c r="B32" s="86" t="s">
        <v>685</v>
      </c>
      <c r="C32" s="872">
        <f>'Unit Detail'!D27</f>
        <v>4</v>
      </c>
      <c r="D32" s="185">
        <f t="shared" ref="D32" si="10">C32/$C$34</f>
        <v>3.0534351145038167E-2</v>
      </c>
      <c r="E32" s="186">
        <f>'Unit Detail'!E27</f>
        <v>960</v>
      </c>
      <c r="F32" s="101">
        <f>E32*C32</f>
        <v>3840</v>
      </c>
      <c r="G32" s="187">
        <f>F32/$F$34</f>
        <v>3.7174361307685602E-2</v>
      </c>
      <c r="I32" s="209" t="s">
        <v>40</v>
      </c>
      <c r="J32" s="83"/>
      <c r="K32" s="210">
        <f>$K$27</f>
        <v>195551</v>
      </c>
      <c r="L32" s="211">
        <f t="shared" ca="1" si="2"/>
        <v>42.507001798471826</v>
      </c>
      <c r="M32" s="212"/>
      <c r="N32" s="213">
        <f ca="1">SUM(,'Budget Detail'!K10:K18,'Budget Detail'!K22:K29,'Budget Detail'!K43,'Budget Detail'!K62,'Budget Detail'!K76:K77)-SUM(N28:N31)</f>
        <v>8312286.7086929642</v>
      </c>
      <c r="O32" s="83"/>
      <c r="P32" s="159"/>
      <c r="R32" s="237"/>
      <c r="S32" s="237"/>
      <c r="T32" s="237"/>
      <c r="U32" s="1265"/>
      <c r="V32" s="234"/>
      <c r="W32" s="1261"/>
    </row>
    <row r="33" spans="2:19">
      <c r="C33" s="872"/>
      <c r="D33" s="185"/>
      <c r="E33" s="186"/>
      <c r="F33" s="101"/>
      <c r="G33" s="187"/>
      <c r="I33" s="140" t="s">
        <v>8</v>
      </c>
      <c r="J33" s="141"/>
      <c r="K33" s="142"/>
      <c r="L33" s="215"/>
      <c r="M33" s="142"/>
      <c r="N33" s="192">
        <f ca="1">SUM(N28:N32)</f>
        <v>11343957.395205041</v>
      </c>
      <c r="O33" s="83"/>
      <c r="P33" s="854"/>
      <c r="R33" s="237"/>
      <c r="S33" s="237"/>
    </row>
    <row r="34" spans="2:19" ht="15.75" thickBot="1">
      <c r="B34" s="204" t="s">
        <v>11</v>
      </c>
      <c r="C34" s="620">
        <f>SUM(C27:C33)</f>
        <v>131</v>
      </c>
      <c r="D34" s="205">
        <f>C34/$C$34</f>
        <v>1</v>
      </c>
      <c r="E34" s="206">
        <f>F34/C34</f>
        <v>788.52671755725191</v>
      </c>
      <c r="F34" s="207">
        <f>SUM(F27:F33)</f>
        <v>103297</v>
      </c>
      <c r="G34" s="208">
        <f>SUM(G27:G33)</f>
        <v>0.99999999999999989</v>
      </c>
      <c r="I34" s="216" t="s">
        <v>517</v>
      </c>
      <c r="J34" s="217"/>
      <c r="K34" s="218">
        <f>K27</f>
        <v>195551</v>
      </c>
      <c r="L34" s="219">
        <f ca="1">N34/K34</f>
        <v>281.17603742862497</v>
      </c>
      <c r="M34" s="220"/>
      <c r="N34" s="221">
        <f ca="1">N33+N27+N12</f>
        <v>54984255.295205042</v>
      </c>
      <c r="O34" s="84"/>
      <c r="P34" s="855"/>
    </row>
    <row r="35" spans="2:19" thickTop="1">
      <c r="I35" s="222" t="s">
        <v>66</v>
      </c>
      <c r="J35" s="223">
        <f>SUMIFS(K15:K24,J15:J24,"x")</f>
        <v>103297</v>
      </c>
      <c r="L35" s="224">
        <f ca="1">N34/$J$35</f>
        <v>532.29285744218168</v>
      </c>
      <c r="O35" s="84"/>
      <c r="P35" s="854"/>
      <c r="Q35" s="309"/>
    </row>
    <row r="36" spans="2:19" ht="14.25">
      <c r="B36" s="214" t="s">
        <v>415</v>
      </c>
      <c r="F36" s="1259">
        <f>'Unit Detail'!F36</f>
        <v>3372</v>
      </c>
      <c r="I36" s="222" t="s">
        <v>83</v>
      </c>
      <c r="J36" s="1303">
        <f>SUM(K15:K19)</f>
        <v>135381</v>
      </c>
      <c r="K36" s="83"/>
      <c r="L36" s="225"/>
      <c r="M36" s="83"/>
      <c r="N36" s="226"/>
      <c r="O36" s="84"/>
      <c r="P36" s="854"/>
      <c r="Q36" s="309"/>
    </row>
    <row r="37" spans="2:19" ht="15" customHeight="1" outlineLevel="1">
      <c r="B37" s="214" t="s">
        <v>599</v>
      </c>
      <c r="C37" s="193"/>
      <c r="F37" s="1259"/>
      <c r="J37" s="228">
        <f>+J35/J36</f>
        <v>0.76300958036947575</v>
      </c>
      <c r="P37" s="855"/>
    </row>
    <row r="38" spans="2:19" ht="15" customHeight="1" outlineLevel="1">
      <c r="B38" s="214" t="s">
        <v>324</v>
      </c>
      <c r="F38" s="1259">
        <f>'Unit Detail'!F37+'Unit Detail'!F38+'Unit Detail'!F39</f>
        <v>10578</v>
      </c>
      <c r="G38" s="165"/>
      <c r="J38" s="230"/>
      <c r="K38" s="107"/>
      <c r="L38" s="1315"/>
      <c r="P38" s="854"/>
      <c r="Q38" s="309"/>
    </row>
    <row r="39" spans="2:19" ht="14.25" outlineLevel="1">
      <c r="B39" s="214" t="s">
        <v>440</v>
      </c>
      <c r="F39" s="1038">
        <v>18134</v>
      </c>
      <c r="G39" s="165"/>
      <c r="H39" s="214"/>
      <c r="I39" s="214"/>
      <c r="J39" s="232"/>
      <c r="K39" s="214"/>
      <c r="L39" s="214"/>
      <c r="M39" s="214"/>
      <c r="N39" s="233"/>
      <c r="O39" s="214"/>
    </row>
    <row r="40" spans="2:19" ht="14.25" outlineLevel="1">
      <c r="B40" s="86" t="s">
        <v>304</v>
      </c>
      <c r="F40" s="227">
        <f>SUM(F33:F39)</f>
        <v>135381</v>
      </c>
      <c r="G40" s="1045"/>
      <c r="H40" s="1044"/>
      <c r="I40" s="235"/>
      <c r="J40" s="107"/>
      <c r="K40" s="137"/>
      <c r="L40" s="83"/>
      <c r="M40" s="83"/>
      <c r="N40" s="83"/>
      <c r="O40" s="83"/>
      <c r="P40" s="236"/>
    </row>
    <row r="41" spans="2:19" ht="14.25" outlineLevel="1">
      <c r="B41" s="229" t="s">
        <v>331</v>
      </c>
      <c r="F41" s="959"/>
      <c r="H41" s="83"/>
      <c r="I41" s="228"/>
      <c r="J41" s="137"/>
      <c r="K41" s="83"/>
      <c r="L41" s="238"/>
      <c r="M41" s="83"/>
      <c r="N41" s="83"/>
      <c r="O41" s="83"/>
    </row>
    <row r="42" spans="2:19" ht="14.25" outlineLevel="1">
      <c r="B42" s="83" t="s">
        <v>305</v>
      </c>
      <c r="F42" s="231">
        <f>SUM(F40:F41)</f>
        <v>135381</v>
      </c>
      <c r="I42" s="228"/>
      <c r="J42" s="137"/>
      <c r="K42" s="83"/>
      <c r="L42" s="238"/>
      <c r="M42" s="83"/>
      <c r="N42" s="83"/>
      <c r="O42" s="83"/>
      <c r="P42" s="193"/>
    </row>
    <row r="43" spans="2:19" ht="14.25" outlineLevel="1">
      <c r="B43" s="83" t="s">
        <v>306</v>
      </c>
      <c r="F43" s="234">
        <f>F41+F34</f>
        <v>103297</v>
      </c>
      <c r="H43" s="83"/>
      <c r="I43" s="228"/>
      <c r="K43" s="83"/>
      <c r="L43" s="83"/>
      <c r="M43" s="83"/>
      <c r="N43" s="83"/>
      <c r="O43" s="83"/>
      <c r="P43" s="193"/>
    </row>
    <row r="44" spans="2:19" ht="14.25" outlineLevel="1">
      <c r="F44" s="237"/>
      <c r="G44" s="102"/>
      <c r="H44" s="83"/>
      <c r="J44" s="164"/>
      <c r="K44" s="83"/>
      <c r="L44" s="83"/>
      <c r="M44" s="83"/>
      <c r="N44" s="83"/>
      <c r="O44" s="83"/>
    </row>
    <row r="45" spans="2:19" outlineLevel="1">
      <c r="B45" s="83" t="s">
        <v>307</v>
      </c>
      <c r="F45" s="1039">
        <v>60170</v>
      </c>
      <c r="G45" s="1189"/>
      <c r="H45" s="83"/>
      <c r="J45" s="164"/>
      <c r="K45" s="83"/>
      <c r="L45" s="83"/>
      <c r="M45" s="83"/>
      <c r="N45" s="83"/>
      <c r="O45" s="83"/>
    </row>
    <row r="46" spans="2:19" outlineLevel="1">
      <c r="B46" s="83" t="s">
        <v>308</v>
      </c>
      <c r="F46" s="1039">
        <v>145</v>
      </c>
      <c r="G46" s="102"/>
      <c r="H46" s="83"/>
      <c r="J46" s="164"/>
      <c r="K46" s="83"/>
      <c r="L46" s="83"/>
      <c r="M46" s="83"/>
      <c r="N46" s="83"/>
      <c r="O46" s="83"/>
    </row>
    <row r="47" spans="2:19" ht="14.25" outlineLevel="1">
      <c r="B47" s="83"/>
      <c r="F47" s="239"/>
      <c r="G47" s="102"/>
      <c r="H47" s="83"/>
      <c r="J47" s="164"/>
      <c r="K47" s="83"/>
      <c r="L47" s="83"/>
      <c r="M47" s="83"/>
      <c r="N47" s="83"/>
      <c r="O47" s="83"/>
    </row>
    <row r="48" spans="2:19" ht="14.25" outlineLevel="1">
      <c r="H48" s="83"/>
      <c r="I48" s="1304"/>
      <c r="J48" s="83"/>
      <c r="K48" s="83"/>
      <c r="L48" s="83"/>
      <c r="M48" s="83"/>
      <c r="N48" s="83"/>
      <c r="O48" s="83"/>
    </row>
    <row r="49" spans="1:24" ht="14.25">
      <c r="B49" s="97"/>
      <c r="C49" s="83"/>
      <c r="D49" s="83"/>
      <c r="E49" s="83"/>
      <c r="F49" s="229"/>
      <c r="G49" s="102"/>
      <c r="H49" s="102"/>
      <c r="I49" s="83"/>
      <c r="J49" s="83"/>
      <c r="K49" s="83"/>
    </row>
    <row r="50" spans="1:24" ht="5.0999999999999996" customHeight="1">
      <c r="A50" s="83"/>
      <c r="B50" s="240"/>
      <c r="C50" s="83"/>
      <c r="D50" s="83"/>
      <c r="E50" s="83"/>
      <c r="F50" s="229"/>
      <c r="G50" s="102"/>
      <c r="H50" s="102"/>
      <c r="I50" s="83"/>
      <c r="J50" s="83"/>
      <c r="K50" s="83"/>
    </row>
    <row r="51" spans="1:24" ht="19.5">
      <c r="A51" s="83"/>
      <c r="B51" s="113" t="s">
        <v>239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U51" s="241"/>
      <c r="V51" s="84"/>
      <c r="W51" s="85"/>
      <c r="X51" s="83"/>
    </row>
    <row r="52" spans="1:24" ht="14.25">
      <c r="A52" s="83"/>
      <c r="B52" s="242"/>
      <c r="C52" s="83"/>
      <c r="D52" s="83"/>
      <c r="E52" s="83"/>
      <c r="F52" s="83"/>
      <c r="G52" s="102"/>
      <c r="H52" s="102"/>
      <c r="I52" s="83"/>
      <c r="J52" s="83"/>
      <c r="K52" s="83"/>
      <c r="P52" s="83"/>
      <c r="Q52" s="83"/>
      <c r="R52" s="83"/>
      <c r="S52" s="83"/>
      <c r="T52" s="84"/>
      <c r="U52" s="241"/>
      <c r="V52" s="84"/>
      <c r="W52" s="85"/>
      <c r="X52" s="83"/>
    </row>
    <row r="53" spans="1:24">
      <c r="A53" s="83"/>
      <c r="B53" s="114" t="s">
        <v>240</v>
      </c>
      <c r="C53" s="114"/>
      <c r="D53" s="114"/>
      <c r="E53" s="114"/>
      <c r="F53" s="58"/>
      <c r="G53" s="114" t="s">
        <v>489</v>
      </c>
      <c r="H53" s="114"/>
      <c r="I53" s="114"/>
      <c r="J53" s="114"/>
      <c r="K53" s="83"/>
      <c r="L53" s="114" t="s">
        <v>243</v>
      </c>
      <c r="M53" s="114"/>
      <c r="P53" s="83"/>
      <c r="Q53" s="83"/>
      <c r="R53" s="83"/>
      <c r="S53" s="83"/>
      <c r="T53" s="84"/>
      <c r="W53" s="85"/>
      <c r="X53" s="83"/>
    </row>
    <row r="54" spans="1:24" ht="16.5">
      <c r="A54" s="83"/>
      <c r="B54" s="243"/>
      <c r="C54" s="244" t="str">
        <f>Assumptions!I15</f>
        <v>Multi-Family</v>
      </c>
      <c r="D54" s="244" t="str">
        <f>Assumptions!I16</f>
        <v>Commercial</v>
      </c>
      <c r="E54" s="244" t="s">
        <v>11</v>
      </c>
      <c r="F54" s="58"/>
      <c r="G54" s="243"/>
      <c r="H54" s="244" t="str">
        <f>Assumptions!C54</f>
        <v>Multi-Family</v>
      </c>
      <c r="I54" s="244" t="str">
        <f>Assumptions!D54</f>
        <v>Commercial</v>
      </c>
      <c r="J54" s="244" t="s">
        <v>191</v>
      </c>
      <c r="L54" s="1006" t="s">
        <v>572</v>
      </c>
      <c r="P54" s="83"/>
      <c r="Q54" s="83"/>
      <c r="R54" s="83"/>
      <c r="S54" s="83"/>
      <c r="T54" s="84"/>
      <c r="U54" s="241"/>
      <c r="V54" s="84"/>
      <c r="W54" s="85"/>
      <c r="X54" s="83"/>
    </row>
    <row r="55" spans="1:24" ht="14.25">
      <c r="A55" s="83"/>
      <c r="B55" s="245" t="s">
        <v>12</v>
      </c>
      <c r="C55" s="246">
        <f>F34</f>
        <v>103297</v>
      </c>
      <c r="D55" s="246">
        <f>Assumptions!K16</f>
        <v>0</v>
      </c>
      <c r="E55" s="247">
        <f>+SUM(C55:D55)</f>
        <v>103297</v>
      </c>
      <c r="F55" s="58"/>
      <c r="G55" s="245" t="s">
        <v>13</v>
      </c>
      <c r="H55" s="248">
        <f>'Rent Comps'!D21</f>
        <v>2.7909813450535834</v>
      </c>
      <c r="I55" s="249">
        <v>2.75</v>
      </c>
      <c r="J55" s="250">
        <f>Assumptions!J70/Assumptions!C55/12</f>
        <v>0.18144767030988315</v>
      </c>
      <c r="L55" s="245" t="s">
        <v>26</v>
      </c>
      <c r="M55" s="275">
        <v>5.2499999999999998E-2</v>
      </c>
      <c r="P55" s="83"/>
      <c r="Q55" s="83"/>
      <c r="R55" s="83"/>
      <c r="S55" s="83"/>
      <c r="T55" s="84"/>
      <c r="U55" s="241"/>
      <c r="V55" s="84"/>
      <c r="W55" s="85"/>
      <c r="X55" s="83"/>
    </row>
    <row r="56" spans="1:24" ht="14.25">
      <c r="A56" s="83"/>
      <c r="B56" s="245" t="s">
        <v>22</v>
      </c>
      <c r="C56" s="252">
        <f ca="1">Assumptions!L15</f>
        <v>345.87933821892216</v>
      </c>
      <c r="D56" s="252">
        <f>Assumptions!$L$16</f>
        <v>0</v>
      </c>
      <c r="E56" s="253">
        <f ca="1">+($C$55*C56+$D$55*D56)/$E$55</f>
        <v>345.87933821892216</v>
      </c>
      <c r="F56" s="58"/>
      <c r="G56" s="245" t="s">
        <v>31</v>
      </c>
      <c r="H56" s="254">
        <v>0.04</v>
      </c>
      <c r="I56" s="255">
        <f>+H56</f>
        <v>0.04</v>
      </c>
      <c r="J56" s="256">
        <f>+H56</f>
        <v>0.04</v>
      </c>
      <c r="L56" s="245" t="s">
        <v>3</v>
      </c>
      <c r="M56" s="251">
        <v>1.2500000000000001E-2</v>
      </c>
      <c r="P56" s="83"/>
      <c r="Q56" s="83"/>
      <c r="R56" s="257"/>
      <c r="S56" s="83"/>
      <c r="T56" s="84"/>
      <c r="U56" s="241"/>
      <c r="V56" s="84"/>
      <c r="W56" s="85"/>
      <c r="X56" s="83"/>
    </row>
    <row r="57" spans="1:24" ht="14.25">
      <c r="A57" s="83"/>
      <c r="B57" s="245" t="s">
        <v>94</v>
      </c>
      <c r="C57" s="258">
        <v>0</v>
      </c>
      <c r="D57" s="258">
        <v>0</v>
      </c>
      <c r="E57" s="259">
        <f>+($C$55*C57+$D$55*D57)/$E$55</f>
        <v>0</v>
      </c>
      <c r="F57" s="58"/>
      <c r="G57" s="72" t="s">
        <v>303</v>
      </c>
      <c r="H57" s="760">
        <f>(H55*F34)/C34</f>
        <v>2200.7633587786258</v>
      </c>
      <c r="I57" s="761"/>
      <c r="J57" s="762"/>
      <c r="L57" s="245" t="s">
        <v>4</v>
      </c>
      <c r="M57" s="810">
        <f>ROUND((M58-'Monthly-CF'!L8)/360,0)</f>
        <v>10</v>
      </c>
      <c r="N57" s="809"/>
      <c r="P57" s="83"/>
      <c r="Q57" s="83"/>
      <c r="R57" s="83"/>
      <c r="S57" s="83"/>
      <c r="T57" s="84"/>
      <c r="U57" s="241"/>
      <c r="V57" s="84"/>
      <c r="W57" s="85"/>
      <c r="X57" s="83"/>
    </row>
    <row r="58" spans="1:24" ht="14.25">
      <c r="A58" s="83"/>
      <c r="F58" s="58"/>
      <c r="G58" s="237"/>
      <c r="H58" s="845" t="s">
        <v>41</v>
      </c>
      <c r="I58" s="845" t="s">
        <v>490</v>
      </c>
      <c r="J58" s="846" t="s">
        <v>42</v>
      </c>
      <c r="L58" s="245" t="s">
        <v>497</v>
      </c>
      <c r="M58" s="765">
        <v>48730</v>
      </c>
      <c r="P58" s="83"/>
      <c r="Q58" s="83"/>
      <c r="R58" s="83"/>
      <c r="S58" s="83"/>
      <c r="T58" s="84"/>
      <c r="U58" s="241"/>
      <c r="V58" s="84"/>
      <c r="W58" s="85"/>
      <c r="X58" s="83"/>
    </row>
    <row r="59" spans="1:24">
      <c r="A59" s="83"/>
      <c r="B59" s="114" t="s">
        <v>241</v>
      </c>
      <c r="C59" s="114"/>
      <c r="D59" s="114"/>
      <c r="E59" s="114"/>
      <c r="F59" s="58"/>
      <c r="G59" s="58" t="s">
        <v>486</v>
      </c>
      <c r="H59" s="844">
        <v>0</v>
      </c>
      <c r="I59" s="844">
        <v>0</v>
      </c>
      <c r="J59" s="844">
        <v>0</v>
      </c>
      <c r="L59" s="1006" t="s">
        <v>573</v>
      </c>
      <c r="P59" s="83"/>
      <c r="Q59" s="83"/>
      <c r="R59" s="83"/>
      <c r="S59" s="83"/>
      <c r="T59" s="84"/>
      <c r="U59" s="241"/>
      <c r="V59" s="84"/>
      <c r="W59" s="85"/>
      <c r="X59" s="83"/>
    </row>
    <row r="60" spans="1:24" ht="15.75">
      <c r="A60" s="83"/>
      <c r="B60" s="243" t="s">
        <v>78</v>
      </c>
      <c r="C60" s="260"/>
      <c r="D60" s="243"/>
      <c r="F60" s="58"/>
      <c r="G60" s="237" t="s">
        <v>487</v>
      </c>
      <c r="H60" s="844">
        <v>0</v>
      </c>
      <c r="I60" s="844">
        <v>0</v>
      </c>
      <c r="J60" s="844">
        <v>0</v>
      </c>
      <c r="L60" s="245" t="s">
        <v>26</v>
      </c>
      <c r="M60" s="275">
        <v>0.06</v>
      </c>
      <c r="P60" s="83"/>
      <c r="Q60" s="83"/>
      <c r="R60" s="83"/>
      <c r="S60" s="83"/>
      <c r="T60" s="264"/>
      <c r="U60" s="265"/>
      <c r="V60" s="266"/>
      <c r="W60" s="85"/>
      <c r="X60" s="83"/>
    </row>
    <row r="61" spans="1:24" ht="15.75">
      <c r="A61" s="83"/>
      <c r="B61" s="267" t="s">
        <v>0</v>
      </c>
      <c r="C61" s="268"/>
      <c r="E61" s="254">
        <v>0.6</v>
      </c>
      <c r="F61" s="58"/>
      <c r="G61" s="237" t="s">
        <v>488</v>
      </c>
      <c r="H61" s="844">
        <v>0</v>
      </c>
      <c r="I61" s="844">
        <v>0</v>
      </c>
      <c r="J61" s="844">
        <v>0</v>
      </c>
      <c r="L61" s="245" t="s">
        <v>3</v>
      </c>
      <c r="M61" s="251">
        <v>1.2999999999999999E-2</v>
      </c>
      <c r="P61" s="83"/>
      <c r="Q61" s="83"/>
      <c r="R61" s="83"/>
      <c r="S61" s="83"/>
      <c r="T61" s="264"/>
      <c r="U61" s="265"/>
      <c r="V61" s="266"/>
      <c r="W61" s="85"/>
      <c r="X61" s="83"/>
    </row>
    <row r="62" spans="1:24">
      <c r="A62" s="83"/>
      <c r="B62" s="267" t="s">
        <v>1</v>
      </c>
      <c r="C62" s="260"/>
      <c r="E62" s="275">
        <v>7.4999999999999997E-3</v>
      </c>
      <c r="F62" s="58"/>
      <c r="L62" s="245" t="s">
        <v>4</v>
      </c>
      <c r="M62" s="810">
        <f>ROUND((M63-'Monthly-CF'!L8)/360,0)</f>
        <v>10</v>
      </c>
      <c r="N62" s="570"/>
      <c r="P62" s="83"/>
      <c r="Q62" s="83"/>
      <c r="R62" s="83"/>
      <c r="S62" s="83"/>
      <c r="T62" s="84"/>
      <c r="U62" s="273"/>
      <c r="V62" s="84"/>
      <c r="W62" s="85"/>
      <c r="X62" s="83"/>
    </row>
    <row r="63" spans="1:24">
      <c r="A63" s="83"/>
      <c r="B63" s="267" t="s">
        <v>2</v>
      </c>
      <c r="C63" s="260"/>
      <c r="D63" s="86" t="s">
        <v>1168</v>
      </c>
      <c r="E63" s="275">
        <v>0</v>
      </c>
      <c r="F63" s="58"/>
      <c r="G63" s="114" t="s">
        <v>245</v>
      </c>
      <c r="H63" s="114"/>
      <c r="I63" s="114"/>
      <c r="J63" s="114"/>
      <c r="L63" s="245" t="s">
        <v>497</v>
      </c>
      <c r="M63" s="765">
        <v>48730</v>
      </c>
      <c r="P63" s="83"/>
      <c r="Q63" s="83"/>
      <c r="R63" s="83"/>
      <c r="S63" s="83"/>
      <c r="T63" s="84"/>
      <c r="U63" s="273"/>
      <c r="V63" s="84"/>
      <c r="W63" s="85"/>
      <c r="X63" s="83"/>
    </row>
    <row r="64" spans="1:24" ht="17.25">
      <c r="A64" s="83"/>
      <c r="B64" s="75" t="s">
        <v>441</v>
      </c>
      <c r="C64" s="84"/>
      <c r="E64" s="276"/>
      <c r="F64" s="58"/>
      <c r="G64" s="261"/>
      <c r="H64" s="262" t="s">
        <v>192</v>
      </c>
      <c r="I64" s="262" t="s">
        <v>193</v>
      </c>
      <c r="J64" s="262" t="s">
        <v>11</v>
      </c>
      <c r="P64" s="83"/>
      <c r="Q64" s="83"/>
      <c r="R64" s="83"/>
      <c r="S64" s="83"/>
      <c r="T64" s="264"/>
      <c r="U64" s="265"/>
      <c r="V64" s="266"/>
      <c r="W64" s="85"/>
      <c r="X64" s="83"/>
    </row>
    <row r="65" spans="1:24">
      <c r="A65" s="83"/>
      <c r="B65" s="243" t="s">
        <v>246</v>
      </c>
      <c r="C65" s="243"/>
      <c r="E65" s="260"/>
      <c r="F65" s="58"/>
      <c r="G65" s="269" t="s">
        <v>194</v>
      </c>
      <c r="H65" s="270">
        <f>60*12</f>
        <v>720</v>
      </c>
      <c r="I65" s="271">
        <v>0.35</v>
      </c>
      <c r="J65" s="272">
        <f>I65*H65*Assumptions!$M$77</f>
        <v>33011.999999999993</v>
      </c>
      <c r="K65" s="193"/>
      <c r="L65" s="114" t="s">
        <v>81</v>
      </c>
      <c r="M65" s="114"/>
      <c r="P65" s="83"/>
      <c r="Q65" s="83"/>
      <c r="R65" s="83"/>
      <c r="S65" s="83"/>
      <c r="T65" s="84"/>
      <c r="U65" s="84"/>
      <c r="V65" s="84"/>
      <c r="W65" s="85"/>
      <c r="X65" s="83"/>
    </row>
    <row r="66" spans="1:24">
      <c r="A66" s="83"/>
      <c r="B66" s="267" t="s">
        <v>71</v>
      </c>
      <c r="C66" s="268"/>
      <c r="E66" s="254">
        <v>0.65</v>
      </c>
      <c r="F66" s="58"/>
      <c r="G66" s="269" t="s">
        <v>642</v>
      </c>
      <c r="H66" s="270">
        <f>(100*12)</f>
        <v>1200</v>
      </c>
      <c r="I66" s="271">
        <v>0.9</v>
      </c>
      <c r="J66" s="272">
        <f>(H66*I66)*23</f>
        <v>24840</v>
      </c>
      <c r="K66" s="193"/>
      <c r="L66" s="114"/>
      <c r="M66" s="114"/>
      <c r="P66" s="83"/>
      <c r="Q66" s="83"/>
      <c r="R66" s="83"/>
      <c r="S66" s="83"/>
      <c r="T66" s="84"/>
      <c r="U66" s="84"/>
      <c r="V66" s="84"/>
      <c r="W66" s="85"/>
      <c r="X66" s="83"/>
    </row>
    <row r="67" spans="1:24" ht="14.25">
      <c r="A67" s="83"/>
      <c r="B67" s="267" t="str">
        <f>B62</f>
        <v>Opening fee</v>
      </c>
      <c r="C67" s="268"/>
      <c r="E67" s="251">
        <v>5.0000000000000001E-3</v>
      </c>
      <c r="F67" s="58"/>
      <c r="G67" s="269" t="s">
        <v>223</v>
      </c>
      <c r="H67" s="270">
        <v>600</v>
      </c>
      <c r="I67" s="271">
        <v>0.9</v>
      </c>
      <c r="J67" s="272">
        <f>I67*H67*Assumptions!$M$77</f>
        <v>70740</v>
      </c>
      <c r="K67" s="193"/>
      <c r="L67" s="58" t="s">
        <v>49</v>
      </c>
      <c r="M67" s="263">
        <f ca="1">'Budget Detail'!K22</f>
        <v>247429.14882842259</v>
      </c>
      <c r="P67" s="83"/>
      <c r="Q67" s="83"/>
      <c r="R67" s="83"/>
      <c r="S67" s="83"/>
      <c r="T67" s="84"/>
      <c r="U67" s="84"/>
      <c r="V67" s="84"/>
      <c r="W67" s="85"/>
      <c r="X67" s="83"/>
    </row>
    <row r="68" spans="1:24" ht="14.25">
      <c r="A68" s="83"/>
      <c r="B68" s="267" t="s">
        <v>2</v>
      </c>
      <c r="C68" s="268"/>
      <c r="E68" s="275">
        <v>5.5E-2</v>
      </c>
      <c r="F68" s="58"/>
      <c r="G68" s="269" t="s">
        <v>311</v>
      </c>
      <c r="H68" s="270">
        <v>720</v>
      </c>
      <c r="I68" s="271">
        <v>0.95</v>
      </c>
      <c r="J68" s="272">
        <f>I68*H68*Assumptions!$M$77</f>
        <v>89604</v>
      </c>
      <c r="L68" s="58" t="s">
        <v>50</v>
      </c>
      <c r="M68" s="263">
        <f ca="1">'Budget Detail'!K23</f>
        <v>2474291.488284226</v>
      </c>
      <c r="P68" s="83"/>
      <c r="Q68" s="83"/>
      <c r="R68" s="83"/>
      <c r="S68" s="83"/>
      <c r="T68" s="84"/>
      <c r="U68" s="281"/>
      <c r="V68" s="84"/>
      <c r="W68" s="85"/>
      <c r="X68" s="83"/>
    </row>
    <row r="69" spans="1:24" ht="14.25">
      <c r="A69" s="83"/>
      <c r="B69" s="267" t="s">
        <v>222</v>
      </c>
      <c r="E69" s="293">
        <v>25</v>
      </c>
      <c r="F69" s="58"/>
      <c r="G69" s="126" t="s">
        <v>310</v>
      </c>
      <c r="H69" s="270">
        <f>100*12</f>
        <v>1200</v>
      </c>
      <c r="I69" s="271">
        <v>0.4</v>
      </c>
      <c r="J69" s="272">
        <f>I69*H69*($F$46-$M$77)</f>
        <v>6720</v>
      </c>
      <c r="L69" s="58" t="s">
        <v>79</v>
      </c>
      <c r="M69" s="274">
        <v>0</v>
      </c>
      <c r="P69" s="83"/>
      <c r="Q69" s="282"/>
      <c r="R69" s="83"/>
      <c r="S69" s="83"/>
      <c r="T69" s="84"/>
      <c r="U69" s="84"/>
      <c r="V69" s="84"/>
      <c r="W69" s="85"/>
      <c r="X69" s="83"/>
    </row>
    <row r="70" spans="1:24" ht="14.25">
      <c r="A70" s="83"/>
      <c r="B70" s="75" t="s">
        <v>508</v>
      </c>
      <c r="C70" s="84"/>
      <c r="E70" s="808">
        <v>45869</v>
      </c>
      <c r="F70" s="58"/>
      <c r="G70" s="279" t="s">
        <v>11</v>
      </c>
      <c r="H70" s="279"/>
      <c r="I70" s="279"/>
      <c r="J70" s="280">
        <f>SUM(J65:J69)</f>
        <v>224916</v>
      </c>
      <c r="L70" s="58" t="s">
        <v>90</v>
      </c>
      <c r="M70" s="274">
        <f>-'Monthly-CF'!I75-'Monthly-CF'!I85</f>
        <v>300000</v>
      </c>
      <c r="P70" s="83"/>
      <c r="Q70" s="83"/>
      <c r="R70" s="83"/>
      <c r="S70" s="83"/>
      <c r="T70" s="84"/>
      <c r="U70" s="84"/>
      <c r="V70" s="84"/>
      <c r="W70" s="85"/>
      <c r="X70" s="83"/>
    </row>
    <row r="71" spans="1:24" ht="14.25">
      <c r="A71" s="83"/>
      <c r="B71" s="267" t="s">
        <v>72</v>
      </c>
      <c r="C71" s="260"/>
      <c r="E71" s="972">
        <f>M55</f>
        <v>5.2499999999999998E-2</v>
      </c>
      <c r="F71" s="58"/>
      <c r="G71" s="383" t="s">
        <v>225</v>
      </c>
      <c r="H71" s="758"/>
      <c r="I71" s="383"/>
      <c r="J71" s="759">
        <f>(J68+J69)/$M$77</f>
        <v>735.29770992366412</v>
      </c>
      <c r="L71" s="277" t="s">
        <v>77</v>
      </c>
      <c r="M71" s="278">
        <f ca="1">ROUNDUP(Assumptions!F16/12,0)+1</f>
        <v>2</v>
      </c>
      <c r="P71" s="83"/>
      <c r="Q71" s="83"/>
      <c r="R71" s="83"/>
      <c r="S71" s="83"/>
      <c r="T71" s="84"/>
      <c r="U71" s="84"/>
      <c r="V71" s="84"/>
      <c r="W71" s="85"/>
      <c r="X71" s="83"/>
    </row>
    <row r="72" spans="1:24" ht="14.25">
      <c r="A72" s="83"/>
      <c r="F72" s="283"/>
      <c r="G72" s="383" t="s">
        <v>224</v>
      </c>
      <c r="H72" s="383"/>
      <c r="I72" s="383"/>
      <c r="J72" s="759">
        <f>(J65+J67)/$M$77</f>
        <v>792</v>
      </c>
      <c r="P72" s="83"/>
      <c r="Q72" s="83"/>
      <c r="R72" s="83"/>
      <c r="S72" s="83"/>
      <c r="T72" s="84"/>
      <c r="U72" s="84"/>
      <c r="V72" s="84"/>
      <c r="W72" s="85"/>
      <c r="X72" s="83"/>
    </row>
    <row r="73" spans="1:24" ht="14.25">
      <c r="A73" s="83"/>
      <c r="B73" s="237"/>
      <c r="C73" s="237"/>
      <c r="D73" s="237"/>
      <c r="E73" s="283"/>
      <c r="F73" s="83"/>
      <c r="G73" s="58"/>
      <c r="H73" s="58"/>
      <c r="I73" s="73"/>
      <c r="P73" s="83"/>
      <c r="Q73" s="83"/>
      <c r="R73" s="83"/>
      <c r="S73" s="83"/>
      <c r="T73" s="84"/>
      <c r="U73" s="84"/>
      <c r="V73" s="84"/>
      <c r="W73" s="85"/>
      <c r="X73" s="83"/>
    </row>
    <row r="74" spans="1:24">
      <c r="A74" s="83"/>
      <c r="B74" s="114" t="s">
        <v>244</v>
      </c>
      <c r="C74" s="114"/>
      <c r="D74" s="114"/>
      <c r="E74" s="114"/>
      <c r="F74" s="183"/>
      <c r="G74" s="114" t="s">
        <v>242</v>
      </c>
      <c r="H74" s="114"/>
      <c r="I74" s="114"/>
      <c r="J74" s="114"/>
      <c r="L74" s="114" t="s">
        <v>247</v>
      </c>
      <c r="M74" s="114"/>
      <c r="P74" s="83"/>
      <c r="Q74" s="83"/>
      <c r="R74" s="83"/>
      <c r="S74" s="83"/>
      <c r="T74" s="84"/>
      <c r="U74" s="84"/>
      <c r="V74" s="84"/>
      <c r="W74" s="85"/>
      <c r="X74" s="83"/>
    </row>
    <row r="75" spans="1:24" ht="16.5">
      <c r="A75" s="83"/>
      <c r="B75" s="284" t="s">
        <v>69</v>
      </c>
      <c r="C75" s="58"/>
      <c r="D75" s="285"/>
      <c r="E75" s="286"/>
      <c r="F75" s="83"/>
      <c r="G75" s="58"/>
      <c r="H75" s="58"/>
      <c r="I75" s="244" t="s">
        <v>186</v>
      </c>
      <c r="J75" s="244" t="s">
        <v>262</v>
      </c>
      <c r="K75" s="287"/>
      <c r="L75" s="84" t="s">
        <v>12</v>
      </c>
      <c r="M75" s="288">
        <f>C55</f>
        <v>103297</v>
      </c>
      <c r="P75" s="83"/>
      <c r="Q75" s="83"/>
      <c r="R75" s="83"/>
      <c r="S75" s="83"/>
      <c r="T75" s="84"/>
      <c r="U75" s="84"/>
      <c r="V75" s="84"/>
      <c r="W75" s="85"/>
      <c r="X75" s="83"/>
    </row>
    <row r="76" spans="1:24">
      <c r="A76" s="83"/>
      <c r="B76" s="284" t="s">
        <v>70</v>
      </c>
      <c r="C76" s="58"/>
      <c r="D76" s="285"/>
      <c r="E76" s="286"/>
      <c r="F76" s="183"/>
      <c r="G76" s="284" t="s">
        <v>25</v>
      </c>
      <c r="H76" s="58"/>
      <c r="I76" s="251">
        <v>0</v>
      </c>
      <c r="J76" s="251">
        <v>0.06</v>
      </c>
      <c r="K76" s="289"/>
      <c r="L76" s="84" t="s">
        <v>84</v>
      </c>
      <c r="M76" s="290">
        <f>M75/M77</f>
        <v>788.52671755725191</v>
      </c>
      <c r="P76" s="83"/>
      <c r="Q76" s="83"/>
      <c r="R76" s="83"/>
      <c r="S76" s="83"/>
      <c r="T76" s="84"/>
      <c r="U76" s="84"/>
      <c r="V76" s="84"/>
      <c r="W76" s="85"/>
      <c r="X76" s="83"/>
    </row>
    <row r="77" spans="1:24" ht="14.25">
      <c r="A77" s="83"/>
      <c r="B77" s="284" t="s">
        <v>5</v>
      </c>
      <c r="C77" s="58"/>
      <c r="D77" s="291"/>
      <c r="E77" s="292"/>
      <c r="F77" s="83"/>
      <c r="G77" s="284" t="s">
        <v>67</v>
      </c>
      <c r="H77" s="58"/>
      <c r="I77" s="293">
        <v>1</v>
      </c>
      <c r="J77" s="293">
        <v>2</v>
      </c>
      <c r="K77" s="294"/>
      <c r="L77" s="84" t="s">
        <v>85</v>
      </c>
      <c r="M77" s="295">
        <f>C34</f>
        <v>131</v>
      </c>
      <c r="P77" s="83"/>
      <c r="Q77" s="83"/>
      <c r="R77" s="83"/>
      <c r="S77" s="83"/>
      <c r="T77" s="84"/>
      <c r="U77" s="84"/>
      <c r="V77" s="84"/>
      <c r="W77" s="85"/>
      <c r="X77" s="83"/>
    </row>
    <row r="78" spans="1:24">
      <c r="A78" s="83"/>
      <c r="F78" s="183"/>
      <c r="G78" s="284" t="s">
        <v>76</v>
      </c>
      <c r="H78" s="58"/>
      <c r="I78" s="296">
        <v>0.25</v>
      </c>
      <c r="J78" s="296">
        <v>1.2</v>
      </c>
      <c r="K78" s="297"/>
      <c r="L78" s="84" t="s">
        <v>86</v>
      </c>
      <c r="M78" s="298">
        <f ca="1">'Opex MF'!C27</f>
        <v>8304.7662314805002</v>
      </c>
      <c r="P78" s="83"/>
      <c r="Q78" s="83"/>
      <c r="R78" s="83"/>
      <c r="S78" s="83"/>
      <c r="T78" s="84"/>
      <c r="U78" s="84"/>
      <c r="V78" s="84"/>
      <c r="W78" s="85"/>
      <c r="X78" s="83"/>
    </row>
    <row r="79" spans="1:24">
      <c r="A79" s="83"/>
      <c r="B79" s="237"/>
      <c r="C79" s="237"/>
      <c r="D79" s="299"/>
      <c r="E79" s="299"/>
      <c r="F79" s="83"/>
      <c r="G79" s="284" t="s">
        <v>220</v>
      </c>
      <c r="H79" s="58"/>
      <c r="I79" s="300">
        <f ca="1">I80/Assumptions!H55</f>
        <v>0.31446536487569238</v>
      </c>
      <c r="J79" s="251">
        <v>0.25</v>
      </c>
      <c r="K79" s="301"/>
      <c r="L79" s="214" t="s">
        <v>248</v>
      </c>
      <c r="M79" s="170">
        <f ca="1">M78*M77</f>
        <v>1087924.3763239456</v>
      </c>
      <c r="P79" s="83"/>
      <c r="Q79" s="83"/>
      <c r="R79" s="83"/>
      <c r="S79" s="83"/>
      <c r="T79" s="84"/>
      <c r="U79" s="84"/>
      <c r="V79" s="84"/>
      <c r="W79" s="85"/>
      <c r="X79" s="83"/>
    </row>
    <row r="80" spans="1:24">
      <c r="A80" s="83"/>
      <c r="B80" s="237"/>
      <c r="C80" s="237"/>
      <c r="D80" s="302"/>
      <c r="E80" s="237"/>
      <c r="F80" s="183"/>
      <c r="G80" s="303" t="s">
        <v>312</v>
      </c>
      <c r="H80" s="58"/>
      <c r="I80" s="304">
        <f ca="1">Assumptions!M80/12</f>
        <v>0.87766696703352587</v>
      </c>
      <c r="J80" s="304">
        <f>J79*Assumptions!I55</f>
        <v>0.6875</v>
      </c>
      <c r="K80" s="305"/>
      <c r="L80" s="84" t="s">
        <v>313</v>
      </c>
      <c r="M80" s="306">
        <f ca="1">M79/M75</f>
        <v>10.532003604402311</v>
      </c>
      <c r="P80" s="83"/>
      <c r="Q80" s="83"/>
      <c r="R80" s="83"/>
      <c r="S80" s="83"/>
      <c r="T80" s="84"/>
      <c r="U80" s="84"/>
      <c r="V80" s="84"/>
      <c r="W80" s="85"/>
      <c r="X80" s="83"/>
    </row>
    <row r="81" spans="1:24" ht="14.25">
      <c r="A81" s="83"/>
      <c r="B81" s="237"/>
      <c r="C81" s="237"/>
      <c r="D81" s="237"/>
      <c r="E81" s="237"/>
      <c r="F81" s="83"/>
      <c r="G81" s="284" t="s">
        <v>32</v>
      </c>
      <c r="H81" s="58"/>
      <c r="I81" s="307">
        <v>0.03</v>
      </c>
      <c r="J81" s="308">
        <f>+I81</f>
        <v>0.03</v>
      </c>
      <c r="P81" s="83"/>
      <c r="Q81" s="83"/>
      <c r="R81" s="83"/>
      <c r="S81" s="83"/>
      <c r="T81" s="84"/>
      <c r="U81" s="84"/>
      <c r="V81" s="84"/>
      <c r="W81" s="85"/>
      <c r="X81" s="83"/>
    </row>
    <row r="82" spans="1:24">
      <c r="A82" s="83"/>
      <c r="B82" s="237"/>
      <c r="C82" s="237"/>
      <c r="D82" s="302"/>
      <c r="E82" s="237"/>
      <c r="F82" s="183"/>
      <c r="G82" s="58" t="s">
        <v>1223</v>
      </c>
      <c r="H82" s="58"/>
      <c r="I82" s="1861">
        <v>175</v>
      </c>
      <c r="P82" s="83"/>
      <c r="Q82" s="83"/>
      <c r="R82" s="83"/>
      <c r="S82" s="83"/>
      <c r="T82" s="84"/>
      <c r="U82" s="84"/>
      <c r="V82" s="84"/>
      <c r="W82" s="85"/>
      <c r="X82" s="83"/>
    </row>
    <row r="83" spans="1:24" ht="14.25">
      <c r="A83" s="83"/>
      <c r="B83" s="237"/>
      <c r="C83" s="237"/>
      <c r="D83" s="237"/>
      <c r="E83" s="237"/>
      <c r="F83" s="83"/>
      <c r="G83" s="58"/>
      <c r="H83" s="58"/>
      <c r="I83" s="73"/>
      <c r="L83" s="84"/>
      <c r="P83" s="83"/>
      <c r="Q83" s="83"/>
      <c r="R83" s="83"/>
      <c r="S83" s="83"/>
      <c r="T83" s="84"/>
      <c r="U83" s="84"/>
      <c r="V83" s="84"/>
      <c r="W83" s="85"/>
      <c r="X83" s="83"/>
    </row>
    <row r="84" spans="1:24">
      <c r="A84" s="83"/>
      <c r="B84" s="237"/>
      <c r="C84" s="237"/>
      <c r="D84" s="302"/>
      <c r="E84" s="848"/>
      <c r="F84" s="183"/>
      <c r="G84" s="58"/>
      <c r="H84" s="58"/>
      <c r="I84" s="73"/>
      <c r="L84" s="84"/>
      <c r="M84" s="84"/>
      <c r="P84" s="83"/>
      <c r="Q84" s="83"/>
      <c r="R84" s="83"/>
      <c r="S84" s="83"/>
      <c r="T84" s="84"/>
      <c r="U84" s="84"/>
      <c r="V84" s="84"/>
      <c r="W84" s="85"/>
      <c r="X84" s="83"/>
    </row>
    <row r="85" spans="1:24" ht="15.75" thickBot="1">
      <c r="A85" s="83"/>
      <c r="B85" s="910" t="s">
        <v>525</v>
      </c>
      <c r="C85" s="910"/>
      <c r="D85" s="910"/>
      <c r="E85" s="910"/>
      <c r="F85" s="910"/>
      <c r="G85" s="910"/>
      <c r="H85" s="910"/>
      <c r="I85"/>
      <c r="J85"/>
      <c r="K85" s="911"/>
      <c r="L85"/>
      <c r="M85"/>
      <c r="N85" s="912"/>
      <c r="P85" s="83"/>
      <c r="Q85" s="83"/>
      <c r="R85" s="83"/>
      <c r="S85" s="83"/>
      <c r="T85" s="84"/>
      <c r="U85" s="84"/>
      <c r="V85" s="84"/>
      <c r="W85" s="85"/>
      <c r="X85" s="83"/>
    </row>
    <row r="86" spans="1:24">
      <c r="A86" s="83"/>
      <c r="B86"/>
      <c r="C86"/>
      <c r="D86"/>
      <c r="E86"/>
      <c r="F86"/>
      <c r="G86"/>
      <c r="H86"/>
      <c r="I86"/>
      <c r="J86"/>
      <c r="K86"/>
      <c r="L86"/>
      <c r="M86"/>
      <c r="N86" s="912"/>
      <c r="P86" s="83"/>
      <c r="Q86" s="83"/>
      <c r="R86" s="83"/>
      <c r="S86" s="83"/>
      <c r="T86" s="84"/>
      <c r="U86" s="84"/>
      <c r="V86" s="84"/>
      <c r="W86" s="85"/>
      <c r="X86" s="83"/>
    </row>
    <row r="87" spans="1:24">
      <c r="A87" s="83"/>
      <c r="B87" s="913"/>
      <c r="C87" s="914"/>
      <c r="D87" s="915" t="s">
        <v>26</v>
      </c>
      <c r="E87" s="915"/>
      <c r="F87" s="915"/>
      <c r="G87" s="915"/>
      <c r="H87" s="916"/>
      <c r="I87"/>
      <c r="J87"/>
      <c r="K87"/>
      <c r="L87"/>
      <c r="M87"/>
      <c r="N87" s="912"/>
      <c r="P87" s="83"/>
      <c r="Q87" s="83"/>
      <c r="R87" s="83"/>
      <c r="S87" s="83"/>
      <c r="T87" s="84"/>
      <c r="U87" s="84"/>
      <c r="V87" s="84"/>
      <c r="W87" s="85"/>
      <c r="X87" s="83"/>
    </row>
    <row r="88" spans="1:24">
      <c r="A88" s="83"/>
      <c r="B88" s="2012" t="s">
        <v>526</v>
      </c>
      <c r="C88" s="917" t="e">
        <v>#REF!</v>
      </c>
      <c r="D88" s="918">
        <f>E88-$AA$40</f>
        <v>4.4999999999999998E-2</v>
      </c>
      <c r="E88" s="918">
        <f>F88-$AA$40</f>
        <v>4.4999999999999998E-2</v>
      </c>
      <c r="F88" s="919">
        <v>4.4999999999999998E-2</v>
      </c>
      <c r="G88" s="918">
        <f>F88+$AA$41</f>
        <v>4.4999999999999998E-2</v>
      </c>
      <c r="H88" s="920">
        <f>G88+$AA$41</f>
        <v>4.4999999999999998E-2</v>
      </c>
      <c r="I88"/>
      <c r="J88"/>
      <c r="K88" s="921">
        <v>5.0000000000000001E-3</v>
      </c>
      <c r="L88" t="s">
        <v>527</v>
      </c>
      <c r="M88"/>
      <c r="N88" s="912"/>
      <c r="P88" s="83"/>
      <c r="Q88" s="83"/>
      <c r="R88" s="83"/>
      <c r="S88" s="83"/>
      <c r="T88" s="84"/>
      <c r="U88" s="84"/>
      <c r="V88" s="84"/>
      <c r="W88" s="85"/>
      <c r="X88" s="83"/>
    </row>
    <row r="89" spans="1:24">
      <c r="A89" s="83"/>
      <c r="B89" s="2012"/>
      <c r="C89" s="922">
        <f>C90-$AA$42</f>
        <v>45</v>
      </c>
      <c r="D89" s="923"/>
      <c r="E89" s="924"/>
      <c r="F89" s="924"/>
      <c r="G89" s="924"/>
      <c r="H89" s="925"/>
      <c r="I89"/>
      <c r="J89"/>
      <c r="K89" s="926">
        <v>5</v>
      </c>
      <c r="L89" t="s">
        <v>528</v>
      </c>
      <c r="M89"/>
      <c r="N89" s="912"/>
      <c r="P89" s="83"/>
      <c r="Q89" s="83"/>
      <c r="R89" s="83"/>
      <c r="S89" s="83"/>
      <c r="T89" s="84"/>
      <c r="U89" s="84"/>
      <c r="V89" s="84"/>
      <c r="W89" s="85"/>
      <c r="X89" s="83"/>
    </row>
    <row r="90" spans="1:24">
      <c r="A90" s="83"/>
      <c r="B90" s="2012"/>
      <c r="C90" s="922">
        <f>C91-$AA$42</f>
        <v>45</v>
      </c>
      <c r="D90" s="927"/>
      <c r="E90" s="928"/>
      <c r="F90" s="928"/>
      <c r="G90" s="928"/>
      <c r="H90" s="929"/>
      <c r="I90"/>
      <c r="J90"/>
      <c r="K90" s="930"/>
      <c r="L90"/>
      <c r="M90"/>
      <c r="N90" s="912"/>
      <c r="P90" s="83"/>
      <c r="Q90" s="83"/>
      <c r="R90" s="83"/>
      <c r="S90" s="83"/>
      <c r="T90" s="84"/>
      <c r="U90" s="84"/>
      <c r="V90" s="84"/>
      <c r="W90" s="85"/>
      <c r="X90" s="83"/>
    </row>
    <row r="91" spans="1:24">
      <c r="A91" s="83"/>
      <c r="B91" s="2012"/>
      <c r="C91" s="931">
        <v>45</v>
      </c>
      <c r="D91" s="927"/>
      <c r="E91" s="928"/>
      <c r="F91" s="928"/>
      <c r="G91" s="928"/>
      <c r="H91" s="929"/>
      <c r="I91"/>
      <c r="J91"/>
      <c r="K91" s="28"/>
      <c r="L91" s="37" t="s">
        <v>529</v>
      </c>
      <c r="M91"/>
      <c r="N91" s="912"/>
      <c r="P91" s="83"/>
      <c r="Q91" s="83"/>
      <c r="R91" s="83"/>
      <c r="S91" s="83"/>
      <c r="T91" s="84"/>
      <c r="U91" s="84"/>
      <c r="V91" s="84"/>
      <c r="W91" s="85"/>
      <c r="X91" s="83"/>
    </row>
    <row r="92" spans="1:24">
      <c r="A92" s="83"/>
      <c r="B92" s="2012"/>
      <c r="C92" s="922">
        <f>C91+$AA$42</f>
        <v>45</v>
      </c>
      <c r="D92" s="927"/>
      <c r="E92" s="928"/>
      <c r="F92" s="928"/>
      <c r="G92" s="928"/>
      <c r="H92" s="929"/>
      <c r="I92"/>
      <c r="J92"/>
      <c r="K92"/>
      <c r="L92"/>
      <c r="M92"/>
      <c r="N92" s="912"/>
      <c r="P92" s="83"/>
      <c r="Q92" s="83"/>
      <c r="R92" s="83"/>
      <c r="S92" s="83"/>
      <c r="T92" s="84"/>
      <c r="U92" s="84"/>
      <c r="V92" s="84"/>
      <c r="W92" s="85"/>
      <c r="X92" s="83"/>
    </row>
    <row r="93" spans="1:24">
      <c r="A93" s="83"/>
      <c r="B93" s="2012"/>
      <c r="C93" s="922">
        <f>C92+$AA$42</f>
        <v>45</v>
      </c>
      <c r="D93" s="927"/>
      <c r="E93" s="928"/>
      <c r="F93" s="928"/>
      <c r="G93" s="928"/>
      <c r="H93" s="929"/>
      <c r="I93"/>
      <c r="J93"/>
      <c r="K93"/>
      <c r="L93"/>
      <c r="M93"/>
      <c r="N93" s="912"/>
      <c r="O93" s="83"/>
      <c r="P93" s="83"/>
      <c r="Q93" s="83"/>
      <c r="R93" s="83"/>
      <c r="S93" s="83"/>
      <c r="T93" s="84"/>
      <c r="U93" s="84"/>
      <c r="V93" s="84"/>
      <c r="W93" s="85"/>
      <c r="X93" s="83"/>
    </row>
    <row r="94" spans="1:24">
      <c r="A94" s="83"/>
      <c r="B94" s="2012"/>
      <c r="C94" s="922">
        <f t="shared" ref="C94:C98" si="11">C93+$AA$42</f>
        <v>45</v>
      </c>
      <c r="D94" s="927"/>
      <c r="E94" s="928"/>
      <c r="F94" s="928"/>
      <c r="G94" s="928"/>
      <c r="H94" s="929"/>
      <c r="I94" s="932"/>
      <c r="J94" s="912"/>
      <c r="K94" s="912"/>
      <c r="L94" s="912"/>
      <c r="M94" s="912"/>
      <c r="N94" s="912"/>
      <c r="O94" s="83"/>
      <c r="P94" s="83"/>
      <c r="Q94" s="83"/>
      <c r="R94" s="83"/>
      <c r="S94" s="83"/>
      <c r="T94" s="84"/>
      <c r="U94" s="84"/>
      <c r="V94" s="84"/>
      <c r="W94" s="85"/>
      <c r="X94" s="83"/>
    </row>
    <row r="95" spans="1:24">
      <c r="A95" s="83"/>
      <c r="B95" s="2012"/>
      <c r="C95" s="922">
        <f t="shared" si="11"/>
        <v>45</v>
      </c>
      <c r="D95" s="927"/>
      <c r="E95" s="928"/>
      <c r="F95" s="928"/>
      <c r="G95" s="928"/>
      <c r="H95" s="929"/>
      <c r="I95" s="912"/>
      <c r="J95" s="912"/>
      <c r="K95" s="912"/>
      <c r="L95" s="912"/>
      <c r="M95" s="912"/>
      <c r="N95" s="912"/>
      <c r="O95" s="83"/>
      <c r="P95" s="83"/>
      <c r="Q95" s="83"/>
      <c r="R95" s="83"/>
      <c r="S95" s="83"/>
      <c r="T95" s="84"/>
      <c r="U95" s="84"/>
      <c r="V95" s="84"/>
      <c r="W95" s="85"/>
      <c r="X95" s="83"/>
    </row>
    <row r="96" spans="1:24">
      <c r="A96" s="83"/>
      <c r="B96" s="2012"/>
      <c r="C96" s="922">
        <f t="shared" si="11"/>
        <v>45</v>
      </c>
      <c r="D96" s="927"/>
      <c r="E96" s="928"/>
      <c r="F96" s="928"/>
      <c r="G96" s="928"/>
      <c r="H96" s="929"/>
      <c r="I96" s="912"/>
      <c r="J96" s="912"/>
      <c r="K96" s="912"/>
      <c r="L96" s="912"/>
      <c r="M96" s="912"/>
      <c r="N96" s="912"/>
      <c r="O96" s="83"/>
      <c r="P96" s="83"/>
      <c r="Q96" s="83"/>
      <c r="R96" s="83"/>
      <c r="S96" s="83"/>
      <c r="T96" s="84"/>
      <c r="U96" s="84"/>
      <c r="V96" s="84"/>
      <c r="W96" s="85"/>
      <c r="X96" s="83"/>
    </row>
    <row r="97" spans="1:24">
      <c r="A97" s="83"/>
      <c r="B97" s="2012"/>
      <c r="C97" s="922">
        <f t="shared" si="11"/>
        <v>45</v>
      </c>
      <c r="D97" s="927"/>
      <c r="E97" s="928"/>
      <c r="F97" s="928"/>
      <c r="G97" s="928"/>
      <c r="H97" s="929"/>
      <c r="I97" s="912"/>
      <c r="J97" s="912"/>
      <c r="K97" s="912"/>
      <c r="L97" s="912"/>
      <c r="M97" s="912"/>
      <c r="N97" s="912"/>
      <c r="O97" s="83"/>
      <c r="P97" s="83"/>
      <c r="Q97" s="83"/>
      <c r="R97" s="83"/>
      <c r="S97" s="83"/>
      <c r="T97" s="84"/>
      <c r="U97" s="84"/>
      <c r="V97" s="84"/>
      <c r="W97" s="85"/>
      <c r="X97" s="83"/>
    </row>
    <row r="98" spans="1:24">
      <c r="A98" s="83"/>
      <c r="B98" s="2013"/>
      <c r="C98" s="933">
        <f t="shared" si="11"/>
        <v>45</v>
      </c>
      <c r="D98" s="934"/>
      <c r="E98" s="935"/>
      <c r="F98" s="935"/>
      <c r="G98" s="935"/>
      <c r="H98" s="936"/>
      <c r="I98" s="912"/>
      <c r="J98" s="912"/>
      <c r="K98" s="912"/>
      <c r="L98" s="912"/>
      <c r="M98" s="912"/>
      <c r="N98" s="912"/>
      <c r="O98" s="83"/>
      <c r="P98" s="83"/>
      <c r="Q98" s="83"/>
      <c r="R98" s="83"/>
      <c r="S98" s="83"/>
      <c r="T98" s="84"/>
      <c r="U98" s="84"/>
      <c r="V98" s="84"/>
      <c r="W98" s="85"/>
      <c r="X98" s="83"/>
    </row>
    <row r="99" spans="1:24" ht="14.2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4"/>
      <c r="U99" s="84"/>
      <c r="V99" s="84"/>
      <c r="W99" s="85"/>
      <c r="X99" s="83"/>
    </row>
    <row r="100" spans="1:24" ht="14.2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4"/>
      <c r="U100" s="84"/>
      <c r="V100" s="84"/>
      <c r="W100" s="85"/>
      <c r="X100" s="83"/>
    </row>
    <row r="101" spans="1:24" ht="14.2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4"/>
      <c r="U101" s="84"/>
      <c r="V101" s="84"/>
      <c r="W101" s="85"/>
      <c r="X101" s="83"/>
    </row>
    <row r="102" spans="1:24" ht="14.2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4"/>
      <c r="U102" s="84"/>
      <c r="V102" s="84"/>
      <c r="W102" s="85"/>
      <c r="X102" s="83"/>
    </row>
    <row r="103" spans="1:24" ht="14.2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4"/>
      <c r="U103" s="84"/>
      <c r="V103" s="84"/>
      <c r="W103" s="85"/>
      <c r="X103" s="83"/>
    </row>
    <row r="104" spans="1:24" ht="14.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4"/>
      <c r="U104" s="84"/>
      <c r="V104" s="84"/>
      <c r="W104" s="85"/>
      <c r="X104" s="83"/>
    </row>
    <row r="105" spans="1:24" ht="14.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4"/>
      <c r="U105" s="84"/>
      <c r="V105" s="84"/>
      <c r="W105" s="85"/>
      <c r="X105" s="83"/>
    </row>
    <row r="106" spans="1:24" ht="14.2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4"/>
      <c r="U106" s="84"/>
      <c r="V106" s="84"/>
      <c r="W106" s="85"/>
      <c r="X106" s="83"/>
    </row>
    <row r="107" spans="1:24" ht="14.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4"/>
      <c r="U107" s="84"/>
      <c r="V107" s="84"/>
      <c r="W107" s="85"/>
      <c r="X107" s="83"/>
    </row>
    <row r="108" spans="1:24" ht="14.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4"/>
      <c r="U108" s="84"/>
      <c r="V108" s="84"/>
      <c r="W108" s="85"/>
      <c r="X108" s="83"/>
    </row>
    <row r="109" spans="1:24" ht="14.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X109" s="83"/>
    </row>
    <row r="110" spans="1:24" ht="14.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X110" s="83"/>
    </row>
    <row r="111" spans="1:24" ht="14.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X111" s="83"/>
    </row>
    <row r="112" spans="1:24" ht="14.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X112" s="83"/>
    </row>
    <row r="113" spans="1:24" ht="14.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X113" s="83"/>
    </row>
    <row r="114" spans="1:24" ht="14.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X114" s="83"/>
    </row>
    <row r="115" spans="1:24" ht="14.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X115" s="83"/>
    </row>
    <row r="116" spans="1:24" ht="14.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X116" s="83"/>
    </row>
    <row r="117" spans="1:24" ht="14.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X117" s="83"/>
    </row>
    <row r="118" spans="1:24" ht="14.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X118" s="83"/>
    </row>
    <row r="119" spans="1:24" ht="14.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X119" s="83"/>
    </row>
    <row r="120" spans="1:24" ht="14.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X120" s="83"/>
    </row>
    <row r="121" spans="1:24" ht="14.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X121" s="83"/>
    </row>
    <row r="122" spans="1:24" ht="14.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X122" s="83"/>
    </row>
    <row r="123" spans="1:24" ht="14.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X123" s="83"/>
    </row>
    <row r="124" spans="1:24" ht="14.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X124" s="83"/>
    </row>
    <row r="125" spans="1:24" ht="14.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X125" s="83"/>
    </row>
    <row r="126" spans="1:24" ht="14.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X126" s="83"/>
    </row>
    <row r="127" spans="1:24" ht="14.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X127" s="83"/>
    </row>
    <row r="128" spans="1:24" ht="14.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X128" s="83"/>
    </row>
    <row r="129" spans="1:24" ht="14.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X129" s="83"/>
    </row>
    <row r="130" spans="1:24" ht="14.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X130" s="83"/>
    </row>
    <row r="131" spans="1:24" ht="14.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X131" s="83"/>
    </row>
    <row r="132" spans="1:24" ht="14.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X132" s="83"/>
    </row>
    <row r="133" spans="1:24" ht="14.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X133" s="83"/>
    </row>
    <row r="134" spans="1:24" ht="14.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X134" s="83"/>
    </row>
    <row r="135" spans="1:24" ht="14.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X135" s="83"/>
    </row>
    <row r="136" spans="1:24" ht="14.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X136" s="83"/>
    </row>
    <row r="137" spans="1:24" ht="14.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X137" s="83"/>
    </row>
    <row r="138" spans="1:24" ht="14.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X138" s="83"/>
    </row>
    <row r="139" spans="1:24" ht="14.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X139" s="83"/>
    </row>
    <row r="140" spans="1:24" ht="14.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X140" s="83"/>
    </row>
    <row r="141" spans="1:24" ht="14.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X141" s="83"/>
    </row>
    <row r="142" spans="1:24" ht="14.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X142" s="83"/>
    </row>
    <row r="143" spans="1:24" ht="14.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X143" s="83"/>
    </row>
    <row r="144" spans="1:24" ht="14.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X144" s="83"/>
    </row>
    <row r="145" spans="1:24" ht="14.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X145" s="83"/>
    </row>
    <row r="146" spans="1:24" ht="14.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X146" s="83"/>
    </row>
    <row r="147" spans="1:24" ht="14.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X147" s="83"/>
    </row>
    <row r="148" spans="1:24" ht="14.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X148" s="83"/>
    </row>
    <row r="149" spans="1:24" ht="14.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X149" s="83"/>
    </row>
    <row r="150" spans="1:24" ht="14.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X150" s="83"/>
    </row>
    <row r="151" spans="1:24" ht="14.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X151" s="83"/>
    </row>
    <row r="152" spans="1:24" ht="14.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X152" s="83"/>
    </row>
    <row r="153" spans="1:24" ht="14.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X153" s="83"/>
    </row>
    <row r="154" spans="1:24" ht="14.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X154" s="83"/>
    </row>
    <row r="155" spans="1:24" ht="14.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X155" s="83"/>
    </row>
    <row r="156" spans="1:24" ht="14.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X156" s="83"/>
    </row>
    <row r="157" spans="1:24" ht="14.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X157" s="83"/>
    </row>
    <row r="158" spans="1:24" ht="14.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X158" s="83"/>
    </row>
    <row r="159" spans="1:24" ht="14.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X159" s="83"/>
    </row>
    <row r="160" spans="1:24" ht="14.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X160" s="83"/>
    </row>
    <row r="161" spans="1:24" ht="14.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X161" s="83"/>
    </row>
    <row r="162" spans="1:24" ht="14.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X162" s="83"/>
    </row>
    <row r="163" spans="1:24" ht="14.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X163" s="83"/>
    </row>
    <row r="164" spans="1:24" ht="14.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X164" s="83"/>
    </row>
    <row r="165" spans="1:24" ht="14.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X165" s="83"/>
    </row>
    <row r="166" spans="1:24" ht="14.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X166" s="83"/>
    </row>
    <row r="167" spans="1:24" ht="14.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X167" s="83"/>
    </row>
    <row r="168" spans="1:24" ht="14.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X168" s="83"/>
    </row>
    <row r="169" spans="1:24" ht="14.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X169" s="83"/>
    </row>
    <row r="170" spans="1:24" ht="14.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X170" s="83"/>
    </row>
    <row r="171" spans="1:24" ht="14.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X171" s="83"/>
    </row>
    <row r="172" spans="1:24" ht="14.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X172" s="83"/>
    </row>
    <row r="173" spans="1:24" ht="14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X173" s="83"/>
    </row>
    <row r="174" spans="1:24" ht="14.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X174" s="83"/>
    </row>
    <row r="175" spans="1:24" ht="14.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X175" s="83"/>
    </row>
    <row r="176" spans="1:24" ht="14.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X176" s="83"/>
    </row>
    <row r="177" spans="1:24" ht="14.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X177" s="83"/>
    </row>
    <row r="178" spans="1:24" ht="14.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X178" s="83"/>
    </row>
    <row r="179" spans="1:24" ht="14.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X179" s="83"/>
    </row>
    <row r="180" spans="1:24" ht="14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X180" s="83"/>
    </row>
    <row r="181" spans="1:24" ht="14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X181" s="83"/>
    </row>
    <row r="182" spans="1:24" ht="14.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X182" s="83"/>
    </row>
    <row r="183" spans="1:24" ht="14.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X183" s="83"/>
    </row>
    <row r="184" spans="1:24" ht="14.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X184" s="83"/>
    </row>
    <row r="185" spans="1:24" ht="14.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X185" s="83"/>
    </row>
    <row r="186" spans="1:24" ht="14.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X186" s="83"/>
    </row>
    <row r="187" spans="1:24" ht="14.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X187" s="83"/>
    </row>
    <row r="188" spans="1:24" ht="14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X188" s="83"/>
    </row>
    <row r="189" spans="1:24" ht="14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X189" s="83"/>
    </row>
    <row r="190" spans="1:24" ht="14.2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X190" s="83"/>
    </row>
    <row r="191" spans="1:24" ht="14.2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X191" s="83"/>
    </row>
    <row r="192" spans="1:24" ht="14.2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X192" s="83"/>
    </row>
    <row r="193" spans="1:24" ht="14.2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X193" s="83"/>
    </row>
    <row r="194" spans="1:24" ht="14.2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X194" s="83"/>
    </row>
    <row r="195" spans="1:24" ht="14.2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X195" s="83"/>
    </row>
    <row r="196" spans="1:24" ht="14.2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X196" s="83"/>
    </row>
    <row r="197" spans="1:24" ht="14.2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X197" s="83"/>
    </row>
    <row r="198" spans="1:24" ht="14.2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X198" s="83"/>
    </row>
    <row r="199" spans="1:24" ht="14.2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X199" s="83"/>
    </row>
    <row r="200" spans="1:24" ht="14.2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X200" s="83"/>
    </row>
    <row r="201" spans="1:24" ht="14.2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X201" s="83"/>
    </row>
    <row r="202" spans="1:24" ht="14.2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X202" s="83"/>
    </row>
    <row r="203" spans="1:24" ht="14.2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X203" s="83"/>
    </row>
    <row r="204" spans="1:24" ht="14.2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X204" s="83"/>
    </row>
    <row r="205" spans="1:24" ht="14.2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X205" s="83"/>
    </row>
    <row r="206" spans="1:24" ht="14.2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X206" s="83"/>
    </row>
    <row r="207" spans="1:24" ht="14.2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X207" s="83"/>
    </row>
    <row r="208" spans="1:24" ht="14.2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X208" s="83"/>
    </row>
    <row r="209" spans="1:24" ht="14.2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X209" s="83"/>
    </row>
    <row r="210" spans="1:24" ht="14.2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X210" s="83"/>
    </row>
    <row r="211" spans="1:24" ht="14.2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X211" s="83"/>
    </row>
    <row r="212" spans="1:24" ht="14.2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X212" s="83"/>
    </row>
    <row r="213" spans="1:24" ht="14.2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X213" s="83"/>
    </row>
    <row r="214" spans="1:24" ht="14.2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X214" s="83"/>
    </row>
    <row r="215" spans="1:24" ht="14.2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X215" s="83"/>
    </row>
    <row r="216" spans="1:24" ht="14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X216" s="83"/>
    </row>
    <row r="217" spans="1:24" ht="14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X217" s="83"/>
    </row>
    <row r="218" spans="1:24" ht="14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X218" s="83"/>
    </row>
    <row r="219" spans="1:24" ht="14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X219" s="83"/>
    </row>
    <row r="220" spans="1:24" ht="14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X220" s="83"/>
    </row>
    <row r="221" spans="1:24" ht="14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X221" s="83"/>
    </row>
    <row r="222" spans="1:24" ht="14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X222" s="83"/>
    </row>
    <row r="223" spans="1:24" ht="14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X223" s="83"/>
    </row>
    <row r="224" spans="1:24" ht="14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X224" s="83"/>
    </row>
    <row r="225" spans="1:24" ht="14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X225" s="83"/>
    </row>
    <row r="226" spans="1:24" ht="14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X226" s="83"/>
    </row>
    <row r="227" spans="1:24" ht="14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X227" s="83"/>
    </row>
    <row r="228" spans="1:24" ht="14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X228" s="83"/>
    </row>
    <row r="229" spans="1:24" ht="14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X229" s="83"/>
    </row>
    <row r="230" spans="1:24" ht="14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X230" s="83"/>
    </row>
    <row r="231" spans="1:24" ht="14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X231" s="83"/>
    </row>
    <row r="232" spans="1:24" ht="14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X232" s="83"/>
    </row>
    <row r="233" spans="1:24" ht="14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X233" s="83"/>
    </row>
    <row r="234" spans="1:24" ht="14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X234" s="83"/>
    </row>
    <row r="235" spans="1:24" ht="14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X235" s="83"/>
    </row>
    <row r="236" spans="1:24" ht="14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X236" s="83"/>
    </row>
    <row r="237" spans="1:24" ht="14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X237" s="83"/>
    </row>
    <row r="238" spans="1:24" ht="14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X238" s="83"/>
    </row>
    <row r="239" spans="1:24" ht="14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X239" s="83"/>
    </row>
    <row r="240" spans="1:24" ht="14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X240" s="83"/>
    </row>
    <row r="241" spans="1:24" ht="14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X241" s="83"/>
    </row>
    <row r="242" spans="1:24" ht="14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X242" s="83"/>
    </row>
    <row r="243" spans="1:24" ht="14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X243" s="83"/>
    </row>
    <row r="244" spans="1:24" ht="14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X244" s="83"/>
    </row>
    <row r="245" spans="1:24" ht="14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X245" s="83"/>
    </row>
    <row r="246" spans="1:24" ht="14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X246" s="83"/>
    </row>
    <row r="247" spans="1:24" ht="14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X247" s="83"/>
    </row>
    <row r="248" spans="1:24" ht="14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X248" s="83"/>
    </row>
    <row r="249" spans="1:24" ht="14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X249" s="83"/>
    </row>
    <row r="250" spans="1:24" ht="14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X250" s="83"/>
    </row>
    <row r="251" spans="1:24" ht="14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X251" s="83"/>
    </row>
    <row r="252" spans="1:24" ht="14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X252" s="83"/>
    </row>
    <row r="253" spans="1:24" ht="14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X253" s="83"/>
    </row>
    <row r="254" spans="1:24" ht="14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X254" s="83"/>
    </row>
    <row r="255" spans="1:24" ht="14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X255" s="83"/>
    </row>
    <row r="256" spans="1:24" ht="14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X256" s="83"/>
    </row>
    <row r="257" spans="1:24" ht="14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X257" s="83"/>
    </row>
    <row r="258" spans="1:24" ht="14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X258" s="83"/>
    </row>
    <row r="259" spans="1:24" ht="14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X259" s="83"/>
    </row>
    <row r="260" spans="1:24" ht="14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X260" s="83"/>
    </row>
    <row r="261" spans="1:24" ht="14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X261" s="83"/>
    </row>
    <row r="262" spans="1:24" ht="14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X262" s="83"/>
    </row>
    <row r="263" spans="1:24" ht="14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X263" s="83"/>
    </row>
    <row r="264" spans="1:24" ht="14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X264" s="83"/>
    </row>
    <row r="265" spans="1:24" ht="14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X265" s="83"/>
    </row>
    <row r="266" spans="1:24" ht="14.2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X266" s="83"/>
    </row>
    <row r="267" spans="1:24" ht="14.2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X267" s="83"/>
    </row>
    <row r="268" spans="1:24" ht="14.2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X268" s="83"/>
    </row>
    <row r="269" spans="1:24" ht="14.2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X269" s="83"/>
    </row>
    <row r="270" spans="1:24" ht="14.2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X270" s="83"/>
    </row>
    <row r="271" spans="1:24" ht="14.2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X271" s="83"/>
    </row>
    <row r="272" spans="1:24" ht="14.2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X272" s="83"/>
    </row>
    <row r="273" spans="1:24" ht="14.2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X273" s="83"/>
    </row>
    <row r="274" spans="1:24" ht="14.2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X274" s="83"/>
    </row>
    <row r="275" spans="1:24" ht="14.2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X275" s="83"/>
    </row>
    <row r="276" spans="1:24" ht="14.2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X276" s="83"/>
    </row>
    <row r="277" spans="1:24" ht="14.2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X277" s="83"/>
    </row>
    <row r="278" spans="1:24" ht="14.2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X278" s="83"/>
    </row>
    <row r="279" spans="1:24" ht="14.2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X279" s="83"/>
    </row>
    <row r="280" spans="1:24" ht="14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X280" s="83"/>
    </row>
    <row r="281" spans="1:24" ht="14.2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X281" s="83"/>
    </row>
    <row r="282" spans="1:24" ht="14.2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X282" s="83"/>
    </row>
    <row r="283" spans="1:24" ht="14.2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X283" s="83"/>
    </row>
    <row r="284" spans="1:24" ht="14.2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X284" s="83"/>
    </row>
    <row r="285" spans="1:24" ht="14.2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X285" s="83"/>
    </row>
    <row r="286" spans="1:24" ht="14.2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X286" s="83"/>
    </row>
    <row r="287" spans="1:24" ht="14.2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X287" s="83"/>
    </row>
    <row r="288" spans="1:24" ht="14.2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X288" s="83"/>
    </row>
    <row r="289" spans="1:24" ht="14.2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X289" s="83"/>
    </row>
    <row r="290" spans="1:24" ht="14.2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X290" s="83"/>
    </row>
    <row r="291" spans="1:24" ht="14.2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X291" s="83"/>
    </row>
    <row r="292" spans="1:24" ht="14.2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X292" s="83"/>
    </row>
    <row r="293" spans="1:24" ht="14.2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X293" s="83"/>
    </row>
    <row r="294" spans="1:24" ht="14.2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X294" s="83"/>
    </row>
    <row r="295" spans="1:24" ht="14.2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X295" s="83"/>
    </row>
    <row r="296" spans="1:24" ht="14.2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X296" s="83"/>
    </row>
    <row r="297" spans="1:24" ht="14.2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X297" s="83"/>
    </row>
    <row r="298" spans="1:24" ht="14.2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X298" s="83"/>
    </row>
    <row r="299" spans="1:24" ht="14.2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X299" s="83"/>
    </row>
    <row r="300" spans="1:24" ht="14.2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X300" s="83"/>
    </row>
    <row r="301" spans="1:24" ht="14.2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X301" s="83"/>
    </row>
    <row r="302" spans="1:24" ht="14.2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X302" s="83"/>
    </row>
    <row r="303" spans="1:24" ht="14.2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X303" s="83"/>
    </row>
    <row r="304" spans="1:24" ht="14.2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X304" s="83"/>
    </row>
    <row r="305" spans="1:24" ht="14.2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X305" s="83"/>
    </row>
    <row r="306" spans="1:24" ht="14.2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X306" s="83"/>
    </row>
    <row r="307" spans="1:24" ht="14.2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X307" s="83"/>
    </row>
    <row r="308" spans="1:24" ht="14.2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X308" s="83"/>
    </row>
    <row r="309" spans="1:24" ht="14.2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X309" s="83"/>
    </row>
    <row r="310" spans="1:24" ht="14.2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X310" s="83"/>
    </row>
    <row r="311" spans="1:24" ht="14.2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X311" s="83"/>
    </row>
    <row r="312" spans="1:24" ht="14.2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X312" s="83"/>
    </row>
    <row r="313" spans="1:24" ht="14.2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X313" s="83"/>
    </row>
    <row r="314" spans="1:24" ht="14.2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X314" s="83"/>
    </row>
    <row r="315" spans="1:24" ht="14.2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X315" s="83"/>
    </row>
    <row r="316" spans="1:24" ht="14.2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X316" s="83"/>
    </row>
    <row r="317" spans="1:24" ht="14.2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X317" s="83"/>
    </row>
    <row r="318" spans="1:24" ht="14.2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X318" s="83"/>
    </row>
    <row r="319" spans="1:24" ht="14.2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X319" s="83"/>
    </row>
    <row r="320" spans="1:24" ht="14.2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X320" s="83"/>
    </row>
    <row r="321" spans="1:24" ht="14.2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X321" s="83"/>
    </row>
    <row r="322" spans="1:24" ht="14.2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X322" s="83"/>
    </row>
    <row r="323" spans="1:24" ht="14.2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X323" s="83"/>
    </row>
    <row r="324" spans="1:24" ht="14.2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X324" s="83"/>
    </row>
    <row r="325" spans="1:24" ht="14.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X325" s="83"/>
    </row>
    <row r="326" spans="1:24" ht="14.2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X326" s="83"/>
    </row>
    <row r="327" spans="1:24" ht="14.2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X327" s="83"/>
    </row>
    <row r="328" spans="1:24" ht="14.2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X328" s="83"/>
    </row>
    <row r="329" spans="1:24" ht="14.2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X329" s="83"/>
    </row>
    <row r="330" spans="1:24" ht="14.2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X330" s="83"/>
    </row>
    <row r="331" spans="1:24" ht="14.2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X331" s="83"/>
    </row>
    <row r="332" spans="1:24" ht="14.2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X332" s="83"/>
    </row>
    <row r="333" spans="1:24" ht="14.2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X333" s="83"/>
    </row>
    <row r="334" spans="1:24" ht="14.2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X334" s="83"/>
    </row>
    <row r="335" spans="1:24" ht="14.2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X335" s="83"/>
    </row>
    <row r="336" spans="1:24" ht="14.2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X336" s="83"/>
    </row>
    <row r="337" spans="1:24" ht="14.2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X337" s="83"/>
    </row>
    <row r="338" spans="1:24" ht="14.2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X338" s="83"/>
    </row>
    <row r="339" spans="1:24" ht="14.2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X339" s="83"/>
    </row>
    <row r="340" spans="1:24" ht="14.2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X340" s="83"/>
    </row>
    <row r="341" spans="1:24" ht="14.2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X341" s="83"/>
    </row>
    <row r="342" spans="1:24" ht="14.2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X342" s="83"/>
    </row>
    <row r="343" spans="1:24" ht="14.2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X343" s="83"/>
    </row>
    <row r="344" spans="1:24" ht="14.2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X344" s="83"/>
    </row>
    <row r="345" spans="1:24" ht="14.2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X345" s="83"/>
    </row>
    <row r="346" spans="1:24" ht="14.2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X346" s="83"/>
    </row>
    <row r="347" spans="1:24" ht="14.2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X347" s="83"/>
    </row>
    <row r="348" spans="1:24" ht="14.2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X348" s="83"/>
    </row>
    <row r="349" spans="1:24" ht="14.2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X349" s="83"/>
    </row>
    <row r="350" spans="1:24" ht="14.2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X350" s="83"/>
    </row>
    <row r="351" spans="1:24" ht="14.2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X351" s="83"/>
    </row>
    <row r="352" spans="1:24" ht="14.2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X352" s="83"/>
    </row>
    <row r="353" spans="1:24" ht="14.2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X353" s="83"/>
    </row>
    <row r="354" spans="1:24" ht="14.2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X354" s="83"/>
    </row>
    <row r="355" spans="1:24" ht="14.2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X355" s="83"/>
    </row>
    <row r="356" spans="1:24" ht="14.2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X356" s="83"/>
    </row>
    <row r="357" spans="1:24" ht="14.2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X357" s="83"/>
    </row>
    <row r="358" spans="1:24" ht="14.2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X358" s="83"/>
    </row>
    <row r="359" spans="1:24" ht="14.2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X359" s="83"/>
    </row>
    <row r="360" spans="1:24" ht="14.2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X360" s="83"/>
    </row>
    <row r="361" spans="1:24" ht="14.2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X361" s="83"/>
    </row>
    <row r="362" spans="1:24" ht="14.2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X362" s="83"/>
    </row>
    <row r="363" spans="1:24" ht="14.2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X363" s="83"/>
    </row>
    <row r="364" spans="1:24" ht="14.2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X364" s="83"/>
    </row>
    <row r="365" spans="1:24" ht="14.2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X365" s="83"/>
    </row>
    <row r="366" spans="1:24" ht="14.2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X366" s="83"/>
    </row>
    <row r="367" spans="1:24" ht="14.2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X367" s="83"/>
    </row>
    <row r="368" spans="1:24" ht="14.2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X368" s="83"/>
    </row>
    <row r="369" spans="1:24" ht="14.2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X369" s="83"/>
    </row>
    <row r="370" spans="1:24" ht="14.2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X370" s="83"/>
    </row>
    <row r="371" spans="1:24" ht="14.2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X371" s="83"/>
    </row>
    <row r="372" spans="1:24" ht="14.2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X372" s="83"/>
    </row>
    <row r="373" spans="1:24" ht="14.2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X373" s="83"/>
    </row>
    <row r="374" spans="1:24" ht="14.2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X374" s="83"/>
    </row>
    <row r="375" spans="1:24" ht="14.2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X375" s="83"/>
    </row>
    <row r="376" spans="1:24" ht="14.2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X376" s="83"/>
    </row>
    <row r="377" spans="1:24" ht="14.2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X377" s="83"/>
    </row>
    <row r="378" spans="1:24" ht="14.2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X378" s="83"/>
    </row>
    <row r="379" spans="1:24" ht="14.2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X379" s="83"/>
    </row>
    <row r="380" spans="1:24" ht="14.2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X380" s="83"/>
    </row>
    <row r="381" spans="1:24" ht="14.2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X381" s="83"/>
    </row>
    <row r="382" spans="1:24" ht="14.2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X382" s="83"/>
    </row>
    <row r="383" spans="1:24" ht="14.2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X383" s="83"/>
    </row>
    <row r="384" spans="1:24" ht="14.2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X384" s="83"/>
    </row>
    <row r="385" spans="1:24" ht="14.2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X385" s="83"/>
    </row>
    <row r="386" spans="1:24" ht="14.2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X386" s="83"/>
    </row>
    <row r="387" spans="1:24" ht="14.2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X387" s="83"/>
    </row>
    <row r="388" spans="1:24" ht="14.2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X388" s="83"/>
    </row>
    <row r="389" spans="1:24" ht="14.2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X389" s="83"/>
    </row>
    <row r="390" spans="1:24" ht="14.2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X390" s="83"/>
    </row>
    <row r="391" spans="1:24" ht="14.2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X391" s="83"/>
    </row>
    <row r="392" spans="1:24" ht="14.2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X392" s="83"/>
    </row>
    <row r="393" spans="1:24" ht="14.2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X393" s="83"/>
    </row>
    <row r="394" spans="1:24" ht="14.2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X394" s="83"/>
    </row>
    <row r="395" spans="1:24" ht="14.2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X395" s="83"/>
    </row>
    <row r="396" spans="1:24" ht="14.2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X396" s="83"/>
    </row>
    <row r="397" spans="1:24" ht="14.2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X397" s="83"/>
    </row>
    <row r="398" spans="1:24" ht="14.2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X398" s="83"/>
    </row>
    <row r="399" spans="1:24" ht="14.2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X399" s="83"/>
    </row>
    <row r="400" spans="1:24" ht="14.2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X400" s="83"/>
    </row>
    <row r="401" spans="1:24" ht="14.2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X401" s="83"/>
    </row>
    <row r="402" spans="1:24" ht="14.2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X402" s="83"/>
    </row>
    <row r="403" spans="1:24" ht="14.2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X403" s="83"/>
    </row>
    <row r="404" spans="1:24" ht="14.2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X404" s="83"/>
    </row>
    <row r="405" spans="1:24" ht="14.2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X405" s="83"/>
    </row>
    <row r="406" spans="1:24" ht="14.2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X406" s="83"/>
    </row>
    <row r="407" spans="1:24" ht="14.2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X407" s="83"/>
    </row>
    <row r="408" spans="1:24" ht="14.2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X408" s="83"/>
    </row>
    <row r="409" spans="1:24" ht="14.2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X409" s="83"/>
    </row>
    <row r="410" spans="1:24" ht="14.2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X410" s="83"/>
    </row>
    <row r="411" spans="1:24" ht="14.2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X411" s="83"/>
    </row>
    <row r="412" spans="1:24" ht="14.2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X412" s="83"/>
    </row>
    <row r="413" spans="1:24" ht="14.2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X413" s="83"/>
    </row>
    <row r="414" spans="1:24" ht="14.2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X414" s="83"/>
    </row>
    <row r="415" spans="1:24" ht="14.2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X415" s="83"/>
    </row>
    <row r="416" spans="1:24" ht="14.2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X416" s="83"/>
    </row>
    <row r="417" spans="1:24" ht="14.25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X417" s="83"/>
    </row>
    <row r="418" spans="1:24" ht="14.25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X418" s="83"/>
    </row>
    <row r="419" spans="1:24" ht="14.25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X419" s="83"/>
    </row>
    <row r="420" spans="1:24" ht="14.25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X420" s="83"/>
    </row>
    <row r="421" spans="1:24" ht="14.25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X421" s="83"/>
    </row>
    <row r="422" spans="1:24" ht="14.25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X422" s="83"/>
    </row>
    <row r="423" spans="1:24" ht="14.2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X423" s="83"/>
    </row>
    <row r="424" spans="1:24" ht="14.25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X424" s="83"/>
    </row>
    <row r="425" spans="1:24" ht="14.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X425" s="83"/>
    </row>
    <row r="426" spans="1:24" ht="14.25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X426" s="83"/>
    </row>
    <row r="427" spans="1:24" ht="14.25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X427" s="83"/>
    </row>
    <row r="428" spans="1:24" ht="14.25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X428" s="83"/>
    </row>
    <row r="429" spans="1:24" ht="14.25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X429" s="83"/>
    </row>
    <row r="430" spans="1:24" ht="14.25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X430" s="83"/>
    </row>
    <row r="431" spans="1:24" ht="14.25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X431" s="83"/>
    </row>
    <row r="432" spans="1:24" ht="14.25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X432" s="83"/>
    </row>
    <row r="433" spans="1:24" ht="14.25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X433" s="83"/>
    </row>
    <row r="434" spans="1:24" ht="14.25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X434" s="83"/>
    </row>
    <row r="435" spans="1:24" ht="14.2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X435" s="83"/>
    </row>
    <row r="436" spans="1:24" ht="14.25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X436" s="83"/>
    </row>
    <row r="437" spans="1:24" ht="14.25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X437" s="83"/>
    </row>
    <row r="438" spans="1:24" ht="14.25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X438" s="83"/>
    </row>
    <row r="439" spans="1:24" ht="14.25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X439" s="83"/>
    </row>
    <row r="440" spans="1:24" ht="14.25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X440" s="83"/>
    </row>
    <row r="441" spans="1:24" ht="14.25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X441" s="83"/>
    </row>
    <row r="442" spans="1:24" ht="14.25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X442" s="83"/>
    </row>
    <row r="443" spans="1:24" ht="14.25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X443" s="83"/>
    </row>
    <row r="444" spans="1:24" ht="14.25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X444" s="83"/>
    </row>
    <row r="445" spans="1:24" ht="14.2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X445" s="83"/>
    </row>
    <row r="446" spans="1:24" ht="14.25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X446" s="83"/>
    </row>
    <row r="447" spans="1:24" ht="14.25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X447" s="83"/>
    </row>
    <row r="448" spans="1:24" ht="14.25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X448" s="83"/>
    </row>
    <row r="449" spans="1:24" ht="14.25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X449" s="83"/>
    </row>
    <row r="450" spans="1:24" ht="14.25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X450" s="83"/>
    </row>
    <row r="451" spans="1:24" ht="14.25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X451" s="83"/>
    </row>
    <row r="452" spans="1:24" ht="14.25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X452" s="83"/>
    </row>
    <row r="453" spans="1:24" ht="14.25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X453" s="83"/>
    </row>
    <row r="454" spans="1:24" ht="14.25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X454" s="83"/>
    </row>
    <row r="455" spans="1:24" ht="14.2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X455" s="83"/>
    </row>
    <row r="456" spans="1:24" ht="14.25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X456" s="83"/>
    </row>
    <row r="457" spans="1:24" ht="14.25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X457" s="83"/>
    </row>
    <row r="458" spans="1:24" ht="14.25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X458" s="83"/>
    </row>
    <row r="459" spans="1:24" ht="14.25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X459" s="83"/>
    </row>
    <row r="460" spans="1:24" ht="14.25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X460" s="83"/>
    </row>
    <row r="461" spans="1:24" ht="14.25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X461" s="83"/>
    </row>
    <row r="462" spans="1:24" ht="14.25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X462" s="83"/>
    </row>
    <row r="463" spans="1:24" ht="14.25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X463" s="83"/>
    </row>
    <row r="464" spans="1:24" ht="14.25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X464" s="83"/>
    </row>
    <row r="465" spans="1:24" ht="14.2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X465" s="83"/>
    </row>
    <row r="466" spans="1:24" ht="14.25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X466" s="83"/>
    </row>
    <row r="467" spans="1:24" ht="14.2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X467" s="83"/>
    </row>
    <row r="468" spans="1:24" ht="14.25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X468" s="83"/>
    </row>
    <row r="469" spans="1:24" ht="14.25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X469" s="83"/>
    </row>
    <row r="470" spans="1:24" ht="14.25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X470" s="83"/>
    </row>
    <row r="471" spans="1:24" ht="14.25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X471" s="83"/>
    </row>
    <row r="472" spans="1:24" ht="14.25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X472" s="83"/>
    </row>
    <row r="473" spans="1:24" ht="14.25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X473" s="83"/>
    </row>
    <row r="474" spans="1:24" ht="14.25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X474" s="83"/>
    </row>
    <row r="475" spans="1:24" ht="14.2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X475" s="83"/>
    </row>
    <row r="476" spans="1:24" ht="14.25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X476" s="83"/>
    </row>
    <row r="477" spans="1:24" ht="14.25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X477" s="83"/>
    </row>
    <row r="478" spans="1:24" ht="14.25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X478" s="83"/>
    </row>
    <row r="479" spans="1:24" ht="14.25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X479" s="83"/>
    </row>
    <row r="480" spans="1:24" ht="14.25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X480" s="83"/>
    </row>
    <row r="481" spans="1:24" ht="14.25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X481" s="83"/>
    </row>
    <row r="482" spans="1:24" ht="14.25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X482" s="83"/>
    </row>
    <row r="483" spans="1:24" ht="14.25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X483" s="83"/>
    </row>
    <row r="484" spans="1:24" ht="14.25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X484" s="83"/>
    </row>
    <row r="485" spans="1:24" ht="14.2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X485" s="83"/>
    </row>
    <row r="486" spans="1:24" ht="14.25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X486" s="83"/>
    </row>
    <row r="487" spans="1:24" ht="14.25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X487" s="83"/>
    </row>
    <row r="488" spans="1:24" ht="14.25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X488" s="83"/>
    </row>
    <row r="489" spans="1:24" ht="14.2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X489" s="83"/>
    </row>
    <row r="490" spans="1:24" ht="14.25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X490" s="83"/>
    </row>
    <row r="491" spans="1:24" ht="14.25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X491" s="83"/>
    </row>
    <row r="492" spans="1:24" ht="14.25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X492" s="83"/>
    </row>
    <row r="493" spans="1:24" ht="14.25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X493" s="83"/>
    </row>
    <row r="494" spans="1:24" ht="14.25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X494" s="83"/>
    </row>
    <row r="495" spans="1:24" ht="14.2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X495" s="83"/>
    </row>
    <row r="496" spans="1:24" ht="14.25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X496" s="83"/>
    </row>
    <row r="497" spans="1:24" ht="14.25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X497" s="83"/>
    </row>
    <row r="498" spans="1:24" ht="14.25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X498" s="83"/>
    </row>
    <row r="499" spans="1:24" ht="14.25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X499" s="83"/>
    </row>
    <row r="500" spans="1:24" ht="14.25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X500" s="83"/>
    </row>
    <row r="501" spans="1:24" ht="14.25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X501" s="83"/>
    </row>
    <row r="502" spans="1:24" ht="14.25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X502" s="83"/>
    </row>
    <row r="503" spans="1:24" ht="14.25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X503" s="83"/>
    </row>
    <row r="504" spans="1:24" ht="14.25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X504" s="83"/>
    </row>
    <row r="505" spans="1:24" ht="14.2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X505" s="83"/>
    </row>
    <row r="506" spans="1:24" ht="14.25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X506" s="83"/>
    </row>
    <row r="507" spans="1:24" ht="14.25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X507" s="83"/>
    </row>
    <row r="508" spans="1:24" ht="14.25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X508" s="83"/>
    </row>
    <row r="509" spans="1:24" ht="14.25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X509" s="83"/>
    </row>
    <row r="510" spans="1:24" ht="14.25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X510" s="83"/>
    </row>
    <row r="511" spans="1:24" ht="14.2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X511" s="83"/>
    </row>
    <row r="512" spans="1:24" ht="14.25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X512" s="83"/>
    </row>
    <row r="513" spans="1:24" ht="14.25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X513" s="83"/>
    </row>
    <row r="514" spans="1:24" ht="14.25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X514" s="83"/>
    </row>
    <row r="515" spans="1:24" ht="14.2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X515" s="83"/>
    </row>
    <row r="516" spans="1:24" ht="14.25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X516" s="83"/>
    </row>
    <row r="517" spans="1:24" ht="14.25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X517" s="83"/>
    </row>
    <row r="518" spans="1:24" ht="14.25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X518" s="83"/>
    </row>
    <row r="519" spans="1:24" ht="14.25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X519" s="83"/>
    </row>
    <row r="520" spans="1:24" ht="14.25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X520" s="83"/>
    </row>
    <row r="521" spans="1:24" ht="14.25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X521" s="83"/>
    </row>
    <row r="522" spans="1:24" ht="14.25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X522" s="83"/>
    </row>
    <row r="523" spans="1:24" ht="14.25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X523" s="83"/>
    </row>
    <row r="524" spans="1:24" ht="14.25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X524" s="83"/>
    </row>
    <row r="525" spans="1:24" ht="14.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X525" s="83"/>
    </row>
    <row r="526" spans="1:24" ht="14.25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X526" s="83"/>
    </row>
    <row r="527" spans="1:24" ht="14.25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X527" s="83"/>
    </row>
    <row r="528" spans="1:24" ht="14.25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X528" s="83"/>
    </row>
    <row r="529" spans="1:24" ht="14.25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X529" s="83"/>
    </row>
    <row r="530" spans="1:24" ht="14.25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X530" s="83"/>
    </row>
    <row r="531" spans="1:24" ht="14.25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X531" s="83"/>
    </row>
    <row r="532" spans="1:24" ht="14.25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X532" s="83"/>
    </row>
    <row r="533" spans="1:24" ht="14.2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X533" s="83"/>
    </row>
    <row r="534" spans="1:24" ht="14.25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X534" s="83"/>
    </row>
    <row r="535" spans="1:24" ht="14.2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X535" s="83"/>
    </row>
    <row r="536" spans="1:24" ht="14.25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X536" s="83"/>
    </row>
    <row r="537" spans="1:24" ht="14.25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X537" s="83"/>
    </row>
    <row r="538" spans="1:24" ht="14.25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X538" s="83"/>
    </row>
    <row r="539" spans="1:24" ht="14.25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X539" s="83"/>
    </row>
    <row r="540" spans="1:24" ht="14.25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X540" s="83"/>
    </row>
    <row r="541" spans="1:24" ht="14.25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X541" s="83"/>
    </row>
    <row r="542" spans="1:24" ht="14.2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X542" s="83"/>
    </row>
    <row r="543" spans="1:24" ht="14.25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X543" s="83"/>
    </row>
    <row r="544" spans="1:24" ht="14.25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X544" s="83"/>
    </row>
    <row r="545" spans="1:24" ht="14.2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X545" s="83"/>
    </row>
    <row r="546" spans="1:24" ht="14.25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X546" s="83"/>
    </row>
    <row r="547" spans="1:24" ht="14.2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X547" s="83"/>
    </row>
    <row r="548" spans="1:24" ht="14.25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X548" s="83"/>
    </row>
    <row r="549" spans="1:24" ht="14.25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X549" s="83"/>
    </row>
    <row r="550" spans="1:24" ht="14.25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X550" s="83"/>
    </row>
    <row r="551" spans="1:24" ht="14.25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X551" s="83"/>
    </row>
    <row r="552" spans="1:24" ht="14.2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X552" s="83"/>
    </row>
    <row r="553" spans="1:24" ht="14.25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X553" s="83"/>
    </row>
    <row r="554" spans="1:24" ht="14.25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X554" s="83"/>
    </row>
    <row r="555" spans="1:24" ht="14.2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X555" s="83"/>
    </row>
    <row r="556" spans="1:24" ht="14.25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X556" s="83"/>
    </row>
    <row r="557" spans="1:24" ht="14.2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X557" s="83"/>
    </row>
    <row r="558" spans="1:24" ht="14.25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X558" s="83"/>
    </row>
    <row r="559" spans="1:24" ht="14.25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X559" s="83"/>
    </row>
    <row r="560" spans="1:24" ht="14.25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X560" s="83"/>
    </row>
    <row r="561" spans="1:24" ht="14.25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X561" s="83"/>
    </row>
    <row r="562" spans="1:24" ht="14.25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X562" s="83"/>
    </row>
    <row r="563" spans="1:24" ht="14.25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X563" s="83"/>
    </row>
    <row r="564" spans="1:24" ht="14.25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X564" s="83"/>
    </row>
    <row r="565" spans="1:24" ht="14.2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X565" s="83"/>
    </row>
    <row r="566" spans="1:24" ht="14.25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X566" s="83"/>
    </row>
    <row r="567" spans="1:24" ht="14.25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X567" s="83"/>
    </row>
    <row r="568" spans="1:24" ht="14.25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X568" s="83"/>
    </row>
    <row r="569" spans="1:24" ht="14.25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X569" s="83"/>
    </row>
    <row r="570" spans="1:24" ht="14.25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X570" s="83"/>
    </row>
    <row r="571" spans="1:24" ht="14.25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X571" s="83"/>
    </row>
    <row r="572" spans="1:24" ht="14.25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X572" s="83"/>
    </row>
    <row r="573" spans="1:24" ht="14.25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X573" s="83"/>
    </row>
    <row r="574" spans="1:24" ht="14.25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X574" s="83"/>
    </row>
    <row r="575" spans="1:24" ht="14.2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X575" s="83"/>
    </row>
    <row r="576" spans="1:24" ht="14.25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X576" s="83"/>
    </row>
    <row r="577" spans="1:24" ht="14.25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X577" s="83"/>
    </row>
    <row r="578" spans="1:24" ht="14.25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X578" s="83"/>
    </row>
    <row r="579" spans="1:24" ht="14.25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X579" s="83"/>
    </row>
    <row r="580" spans="1:24" ht="14.25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X580" s="83"/>
    </row>
    <row r="581" spans="1:24" ht="14.25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X581" s="83"/>
    </row>
    <row r="582" spans="1:24" ht="14.25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X582" s="83"/>
    </row>
    <row r="583" spans="1:24" ht="14.25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X583" s="83"/>
    </row>
    <row r="584" spans="1:24" ht="14.25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X584" s="83"/>
    </row>
    <row r="585" spans="1:24" ht="14.2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X585" s="83"/>
    </row>
    <row r="586" spans="1:24" ht="14.25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X586" s="83"/>
    </row>
    <row r="587" spans="1:24" ht="14.25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X587" s="83"/>
    </row>
    <row r="588" spans="1:24" ht="14.25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X588" s="83"/>
    </row>
    <row r="589" spans="1:24" ht="14.25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X589" s="83"/>
    </row>
    <row r="590" spans="1:24" ht="14.25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X590" s="83"/>
    </row>
    <row r="591" spans="1:24" ht="14.25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X591" s="83"/>
    </row>
    <row r="592" spans="1:24" ht="14.25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X592" s="83"/>
    </row>
    <row r="593" spans="1:24" ht="14.25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X593" s="83"/>
    </row>
    <row r="594" spans="1:24" ht="14.25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X594" s="83"/>
    </row>
    <row r="595" spans="1:24" ht="14.2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X595" s="83"/>
    </row>
    <row r="596" spans="1:24" ht="14.25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X596" s="83"/>
    </row>
    <row r="597" spans="1:24" ht="14.25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X597" s="83"/>
    </row>
    <row r="598" spans="1:24" ht="14.25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X598" s="83"/>
    </row>
    <row r="599" spans="1:24" ht="14.25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X599" s="83"/>
    </row>
    <row r="600" spans="1:24" ht="14.25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X600" s="83"/>
    </row>
    <row r="601" spans="1:24" ht="14.25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X601" s="83"/>
    </row>
    <row r="602" spans="1:24" ht="14.25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X602" s="83"/>
    </row>
    <row r="603" spans="1:24" ht="14.25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X603" s="83"/>
    </row>
    <row r="604" spans="1:24" ht="14.25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X604" s="83"/>
    </row>
    <row r="605" spans="1:24" ht="14.2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X605" s="83"/>
    </row>
    <row r="606" spans="1:24" ht="14.25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X606" s="83"/>
    </row>
    <row r="607" spans="1:24" ht="14.25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X607" s="83"/>
    </row>
    <row r="608" spans="1:24" ht="14.25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X608" s="83"/>
    </row>
    <row r="609" spans="1:24" ht="14.25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X609" s="83"/>
    </row>
    <row r="610" spans="1:24" ht="14.25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X610" s="83"/>
    </row>
    <row r="611" spans="1:24" ht="14.25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X611" s="83"/>
    </row>
    <row r="612" spans="1:24" ht="14.25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X612" s="83"/>
    </row>
    <row r="613" spans="1:24" ht="14.25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X613" s="83"/>
    </row>
    <row r="614" spans="1:24" ht="14.25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X614" s="83"/>
    </row>
    <row r="615" spans="1:24" ht="14.2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X615" s="83"/>
    </row>
    <row r="616" spans="1:24" ht="14.25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X616" s="83"/>
    </row>
    <row r="617" spans="1:24" ht="14.25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X617" s="83"/>
    </row>
    <row r="618" spans="1:24" ht="14.25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X618" s="83"/>
    </row>
    <row r="619" spans="1:24" ht="14.25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X619" s="83"/>
    </row>
    <row r="620" spans="1:24" ht="14.25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X620" s="83"/>
    </row>
    <row r="621" spans="1:24" ht="14.25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X621" s="83"/>
    </row>
    <row r="622" spans="1:24" ht="14.25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X622" s="83"/>
    </row>
    <row r="623" spans="1:24" ht="14.25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X623" s="83"/>
    </row>
    <row r="624" spans="1:24" ht="14.25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X624" s="83"/>
    </row>
    <row r="625" spans="1:24" ht="14.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X625" s="83"/>
    </row>
    <row r="626" spans="1:24" ht="14.25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X626" s="83"/>
    </row>
    <row r="627" spans="1:24" ht="14.25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X627" s="83"/>
    </row>
    <row r="628" spans="1:24" ht="14.25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X628" s="83"/>
    </row>
    <row r="629" spans="1:24" ht="14.25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X629" s="83"/>
    </row>
    <row r="630" spans="1:24" ht="14.25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X630" s="83"/>
    </row>
    <row r="631" spans="1:24" ht="14.25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X631" s="83"/>
    </row>
    <row r="632" spans="1:24" ht="14.25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X632" s="83"/>
    </row>
    <row r="633" spans="1:24" ht="14.25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X633" s="83"/>
    </row>
    <row r="634" spans="1:24" ht="14.25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X634" s="83"/>
    </row>
    <row r="635" spans="1:24" ht="14.2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X635" s="83"/>
    </row>
    <row r="636" spans="1:24" ht="14.25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X636" s="83"/>
    </row>
    <row r="637" spans="1:24" ht="14.25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X637" s="83"/>
    </row>
    <row r="638" spans="1:24" ht="14.25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X638" s="83"/>
    </row>
    <row r="639" spans="1:24" ht="14.25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X639" s="83"/>
    </row>
    <row r="640" spans="1:24" ht="14.25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X640" s="83"/>
    </row>
    <row r="641" spans="1:24" ht="14.25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X641" s="83"/>
    </row>
    <row r="642" spans="1:24" ht="14.25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X642" s="83"/>
    </row>
    <row r="643" spans="1:24" ht="14.25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X643" s="83"/>
    </row>
    <row r="644" spans="1:24" ht="14.25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X644" s="83"/>
    </row>
    <row r="645" spans="1:24" ht="14.2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X645" s="83"/>
    </row>
    <row r="646" spans="1:24" ht="14.25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X646" s="83"/>
    </row>
    <row r="647" spans="1:24" ht="14.25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X647" s="83"/>
    </row>
    <row r="648" spans="1:24" ht="14.25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X648" s="83"/>
    </row>
    <row r="649" spans="1:24" ht="14.25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X649" s="83"/>
    </row>
    <row r="650" spans="1:24" ht="14.25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X650" s="83"/>
    </row>
    <row r="651" spans="1:24" ht="14.25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X651" s="83"/>
    </row>
    <row r="652" spans="1:24" ht="14.25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X652" s="83"/>
    </row>
    <row r="653" spans="1:24" ht="14.25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X653" s="83"/>
    </row>
    <row r="654" spans="1:24" ht="14.25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X654" s="83"/>
    </row>
    <row r="655" spans="1:24" ht="14.2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X655" s="83"/>
    </row>
    <row r="656" spans="1:24" ht="14.25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X656" s="83"/>
    </row>
    <row r="657" spans="1:24" ht="14.25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X657" s="83"/>
    </row>
    <row r="658" spans="1:24" ht="14.25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X658" s="83"/>
    </row>
    <row r="659" spans="1:24" ht="14.25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X659" s="83"/>
    </row>
    <row r="660" spans="1:24" ht="14.25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X660" s="83"/>
    </row>
    <row r="661" spans="1:24" ht="14.25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X661" s="83"/>
    </row>
    <row r="662" spans="1:24" ht="14.25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X662" s="83"/>
    </row>
    <row r="663" spans="1:24" ht="14.25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X663" s="83"/>
    </row>
    <row r="664" spans="1:24" ht="14.25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X664" s="83"/>
    </row>
    <row r="665" spans="1:24" ht="14.2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X665" s="83"/>
    </row>
    <row r="666" spans="1:24" ht="14.25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X666" s="83"/>
    </row>
    <row r="667" spans="1:24" ht="14.25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X667" s="83"/>
    </row>
    <row r="668" spans="1:24" ht="14.25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X668" s="83"/>
    </row>
    <row r="669" spans="1:24" ht="14.25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X669" s="83"/>
    </row>
    <row r="670" spans="1:24" ht="14.25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X670" s="83"/>
    </row>
    <row r="671" spans="1:24" ht="14.25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X671" s="83"/>
    </row>
    <row r="672" spans="1:24" ht="14.25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X672" s="83"/>
    </row>
    <row r="673" spans="1:24" ht="14.25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X673" s="83"/>
    </row>
    <row r="674" spans="1:24" ht="14.25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X674" s="83"/>
    </row>
    <row r="675" spans="1:24" ht="14.2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X675" s="83"/>
    </row>
    <row r="676" spans="1:24" ht="14.25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X676" s="83"/>
    </row>
    <row r="677" spans="1:24" ht="14.25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X677" s="83"/>
    </row>
    <row r="678" spans="1:24" ht="14.25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X678" s="83"/>
    </row>
    <row r="679" spans="1:24" ht="14.25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X679" s="83"/>
    </row>
    <row r="680" spans="1:24" ht="14.25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X680" s="83"/>
    </row>
    <row r="681" spans="1:24" ht="14.25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X681" s="83"/>
    </row>
    <row r="682" spans="1:24" ht="14.25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X682" s="83"/>
    </row>
    <row r="683" spans="1:24" ht="14.25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X683" s="83"/>
    </row>
    <row r="684" spans="1:24" ht="14.25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X684" s="83"/>
    </row>
    <row r="685" spans="1:24" ht="14.2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X685" s="83"/>
    </row>
    <row r="686" spans="1:24" ht="14.25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X686" s="83"/>
    </row>
    <row r="687" spans="1:24" ht="14.25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X687" s="83"/>
    </row>
    <row r="688" spans="1:24" ht="14.25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X688" s="83"/>
    </row>
    <row r="689" spans="1:24" ht="14.25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X689" s="83"/>
    </row>
    <row r="690" spans="1:24" ht="14.25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X690" s="83"/>
    </row>
    <row r="691" spans="1:24" ht="14.25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X691" s="83"/>
    </row>
    <row r="692" spans="1:24" ht="14.25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X692" s="83"/>
    </row>
    <row r="693" spans="1:24" ht="14.25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X693" s="83"/>
    </row>
    <row r="694" spans="1:24" ht="14.25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X694" s="83"/>
    </row>
    <row r="695" spans="1:24" ht="14.2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X695" s="83"/>
    </row>
    <row r="696" spans="1:24" ht="14.25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X696" s="83"/>
    </row>
    <row r="697" spans="1:24" ht="14.25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X697" s="83"/>
    </row>
    <row r="698" spans="1:24" ht="14.25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X698" s="83"/>
    </row>
    <row r="699" spans="1:24" ht="14.25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X699" s="83"/>
    </row>
    <row r="700" spans="1:24" ht="14.25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X700" s="83"/>
    </row>
    <row r="701" spans="1:24" ht="14.25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X701" s="83"/>
    </row>
    <row r="702" spans="1:24" ht="14.25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X702" s="83"/>
    </row>
    <row r="703" spans="1:24" ht="14.25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X703" s="83"/>
    </row>
    <row r="704" spans="1:24" ht="14.25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X704" s="83"/>
    </row>
    <row r="705" spans="1:24" ht="14.2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X705" s="83"/>
    </row>
    <row r="706" spans="1:24" ht="14.25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X706" s="83"/>
    </row>
    <row r="707" spans="1:24" ht="14.25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X707" s="83"/>
    </row>
    <row r="708" spans="1:24" ht="14.25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X708" s="83"/>
    </row>
    <row r="709" spans="1:24" ht="14.25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X709" s="83"/>
    </row>
    <row r="710" spans="1:24" ht="14.25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X710" s="83"/>
    </row>
    <row r="711" spans="1:24" ht="14.25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X711" s="83"/>
    </row>
    <row r="712" spans="1:24" ht="14.25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X712" s="83"/>
    </row>
    <row r="713" spans="1:24" ht="14.25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X713" s="83"/>
    </row>
    <row r="714" spans="1:24" ht="14.25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X714" s="83"/>
    </row>
    <row r="715" spans="1:24" ht="14.2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X715" s="83"/>
    </row>
    <row r="716" spans="1:24" ht="14.25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X716" s="83"/>
    </row>
    <row r="717" spans="1:24" ht="14.25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X717" s="83"/>
    </row>
    <row r="718" spans="1:24" ht="14.25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X718" s="83"/>
    </row>
    <row r="719" spans="1:24" ht="14.25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X719" s="83"/>
    </row>
    <row r="720" spans="1:24" ht="14.25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X720" s="83"/>
    </row>
    <row r="721" spans="1:24" ht="14.25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X721" s="83"/>
    </row>
    <row r="722" spans="1:24" ht="14.25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X722" s="83"/>
    </row>
    <row r="723" spans="1:24" ht="14.25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X723" s="83"/>
    </row>
    <row r="724" spans="1:24" ht="14.25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X724" s="83"/>
    </row>
    <row r="725" spans="1:24" ht="14.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X725" s="83"/>
    </row>
    <row r="726" spans="1:24" ht="14.25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X726" s="83"/>
    </row>
    <row r="727" spans="1:24" ht="14.25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X727" s="83"/>
    </row>
    <row r="728" spans="1:24" ht="14.25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X728" s="83"/>
    </row>
    <row r="729" spans="1:24" ht="14.25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X729" s="83"/>
    </row>
    <row r="730" spans="1:24" ht="14.25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X730" s="83"/>
    </row>
    <row r="731" spans="1:24" ht="14.25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X731" s="83"/>
    </row>
    <row r="732" spans="1:24" ht="14.25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X732" s="83"/>
    </row>
    <row r="733" spans="1:24" ht="14.25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X733" s="83"/>
    </row>
    <row r="734" spans="1:24" ht="14.25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X734" s="83"/>
    </row>
    <row r="735" spans="1:24" ht="14.2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X735" s="83"/>
    </row>
    <row r="736" spans="1:24" ht="14.25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X736" s="83"/>
    </row>
    <row r="737" spans="1:24" ht="14.25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X737" s="83"/>
    </row>
    <row r="738" spans="1:24" ht="14.25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X738" s="83"/>
    </row>
    <row r="739" spans="1:24" ht="14.25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X739" s="83"/>
    </row>
    <row r="740" spans="1:24" ht="14.25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X740" s="83"/>
    </row>
    <row r="741" spans="1:24" ht="14.25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X741" s="83"/>
    </row>
    <row r="742" spans="1:24" ht="14.25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X742" s="83"/>
    </row>
    <row r="743" spans="1:24" ht="14.25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X743" s="83"/>
    </row>
    <row r="744" spans="1:24" ht="14.25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X744" s="83"/>
    </row>
    <row r="745" spans="1:24" ht="14.2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X745" s="83"/>
    </row>
    <row r="746" spans="1:24" ht="14.25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X746" s="83"/>
    </row>
    <row r="747" spans="1:24" ht="14.25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X747" s="83"/>
    </row>
    <row r="748" spans="1:24" ht="14.25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X748" s="83"/>
    </row>
    <row r="749" spans="1:24" ht="14.25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X749" s="83"/>
    </row>
    <row r="750" spans="1:24" ht="14.25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X750" s="83"/>
    </row>
    <row r="751" spans="1:24" ht="14.25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X751" s="83"/>
    </row>
    <row r="752" spans="1:24" ht="14.25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X752" s="83"/>
    </row>
    <row r="753" spans="1:24" ht="14.25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X753" s="83"/>
    </row>
    <row r="754" spans="1:24" ht="14.25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X754" s="83"/>
    </row>
    <row r="755" spans="1:24" ht="14.2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X755" s="83"/>
    </row>
    <row r="756" spans="1:24" ht="14.25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X756" s="83"/>
    </row>
    <row r="757" spans="1:24" ht="14.25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X757" s="83"/>
    </row>
    <row r="758" spans="1:24" ht="14.25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X758" s="83"/>
    </row>
    <row r="759" spans="1:24" ht="14.25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X759" s="83"/>
    </row>
    <row r="760" spans="1:24" ht="14.25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X760" s="83"/>
    </row>
    <row r="761" spans="1:24" ht="14.25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X761" s="83"/>
    </row>
    <row r="762" spans="1:24" ht="14.25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X762" s="83"/>
    </row>
    <row r="763" spans="1:24" ht="14.25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X763" s="83"/>
    </row>
    <row r="764" spans="1:24" ht="14.25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X764" s="83"/>
    </row>
    <row r="765" spans="1:24" ht="14.2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X765" s="83"/>
    </row>
    <row r="766" spans="1:24" ht="14.25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X766" s="83"/>
    </row>
    <row r="767" spans="1:24" ht="14.25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X767" s="83"/>
    </row>
    <row r="768" spans="1:24" ht="14.25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X768" s="83"/>
    </row>
    <row r="769" spans="1:24" ht="14.25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X769" s="83"/>
    </row>
    <row r="770" spans="1:24" ht="14.25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X770" s="83"/>
    </row>
    <row r="771" spans="1:24" ht="14.25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X771" s="83"/>
    </row>
    <row r="772" spans="1:24" ht="14.25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X772" s="83"/>
    </row>
    <row r="773" spans="1:24" ht="14.25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X773" s="83"/>
    </row>
    <row r="774" spans="1:24" ht="14.25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X774" s="83"/>
    </row>
    <row r="775" spans="1:24" ht="14.2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X775" s="83"/>
    </row>
    <row r="776" spans="1:24" ht="14.25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X776" s="83"/>
    </row>
    <row r="777" spans="1:24" ht="14.25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X777" s="83"/>
    </row>
    <row r="778" spans="1:24" ht="14.25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X778" s="83"/>
    </row>
    <row r="779" spans="1:24" ht="14.25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X779" s="83"/>
    </row>
    <row r="780" spans="1:24" ht="14.25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X780" s="83"/>
    </row>
    <row r="781" spans="1:24" ht="14.25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X781" s="83"/>
    </row>
    <row r="782" spans="1:24" ht="14.25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X782" s="83"/>
    </row>
    <row r="783" spans="1:24" ht="14.25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X783" s="83"/>
    </row>
    <row r="784" spans="1:24" ht="14.25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X784" s="83"/>
    </row>
    <row r="785" spans="1:24" ht="14.2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X785" s="83"/>
    </row>
    <row r="786" spans="1:24" ht="14.25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X786" s="83"/>
    </row>
    <row r="787" spans="1:24" ht="14.25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X787" s="83"/>
    </row>
    <row r="788" spans="1:24" ht="14.25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X788" s="83"/>
    </row>
    <row r="789" spans="1:24" ht="14.25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X789" s="83"/>
    </row>
    <row r="790" spans="1:24" ht="14.25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X790" s="83"/>
    </row>
    <row r="791" spans="1:24" ht="14.25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X791" s="83"/>
    </row>
    <row r="792" spans="1:24" ht="14.25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X792" s="83"/>
    </row>
    <row r="793" spans="1:24" ht="14.25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X793" s="83"/>
    </row>
    <row r="794" spans="1:24" ht="14.25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X794" s="83"/>
    </row>
    <row r="795" spans="1:24" ht="14.2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X795" s="83"/>
    </row>
    <row r="796" spans="1:24" ht="14.25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X796" s="83"/>
    </row>
    <row r="797" spans="1:24" ht="14.25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X797" s="83"/>
    </row>
    <row r="798" spans="1:24" ht="14.25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X798" s="83"/>
    </row>
    <row r="799" spans="1:24" ht="14.25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X799" s="83"/>
    </row>
    <row r="800" spans="1:24" ht="14.25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X800" s="83"/>
    </row>
    <row r="801" spans="1:24" ht="14.25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X801" s="83"/>
    </row>
    <row r="802" spans="1:24" ht="14.25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X802" s="83"/>
    </row>
    <row r="803" spans="1:24" ht="14.25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X803" s="83"/>
    </row>
    <row r="804" spans="1:24" ht="14.25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X804" s="83"/>
    </row>
    <row r="805" spans="1:24" ht="14.2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X805" s="83"/>
    </row>
    <row r="806" spans="1:24" ht="14.25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X806" s="83"/>
    </row>
    <row r="807" spans="1:24" ht="14.25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X807" s="83"/>
    </row>
    <row r="808" spans="1:24" ht="14.25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X808" s="83"/>
    </row>
    <row r="809" spans="1:24" ht="14.25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X809" s="83"/>
    </row>
    <row r="810" spans="1:24" ht="14.25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X810" s="83"/>
    </row>
    <row r="811" spans="1:24" ht="14.25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X811" s="83"/>
    </row>
    <row r="812" spans="1:24" ht="14.25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X812" s="83"/>
    </row>
    <row r="813" spans="1:24" ht="14.25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X813" s="83"/>
    </row>
    <row r="814" spans="1:24" ht="14.25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X814" s="83"/>
    </row>
    <row r="815" spans="1:24" ht="14.2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X815" s="83"/>
    </row>
    <row r="816" spans="1:24" ht="14.25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X816" s="83"/>
    </row>
    <row r="817" spans="1:24" ht="14.25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X817" s="83"/>
    </row>
    <row r="818" spans="1:24" ht="14.25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X818" s="83"/>
    </row>
    <row r="819" spans="1:24" ht="14.25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X819" s="83"/>
    </row>
    <row r="820" spans="1:24" ht="14.25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X820" s="83"/>
    </row>
    <row r="821" spans="1:24" ht="14.25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X821" s="83"/>
    </row>
    <row r="822" spans="1:24" ht="14.25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X822" s="83"/>
    </row>
    <row r="823" spans="1:24" ht="14.25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X823" s="83"/>
    </row>
    <row r="824" spans="1:24" ht="14.25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X824" s="83"/>
    </row>
    <row r="825" spans="1:24" ht="14.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X825" s="83"/>
    </row>
    <row r="826" spans="1:24" ht="14.25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X826" s="83"/>
    </row>
    <row r="827" spans="1:24" ht="14.25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X827" s="83"/>
    </row>
    <row r="828" spans="1:24" ht="14.25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X828" s="83"/>
    </row>
    <row r="829" spans="1:24" ht="14.25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X829" s="83"/>
    </row>
    <row r="830" spans="1:24" ht="14.25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X830" s="83"/>
    </row>
    <row r="831" spans="1:24" ht="14.25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X831" s="83"/>
    </row>
    <row r="832" spans="1:24" ht="14.25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X832" s="83"/>
    </row>
    <row r="833" spans="1:24" ht="14.25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X833" s="83"/>
    </row>
    <row r="834" spans="1:24" ht="14.25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X834" s="83"/>
    </row>
    <row r="835" spans="1:24" ht="14.2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X835" s="83"/>
    </row>
    <row r="836" spans="1:24" ht="14.25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X836" s="83"/>
    </row>
    <row r="837" spans="1:24" ht="14.25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X837" s="83"/>
    </row>
    <row r="838" spans="1:24" ht="14.25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X838" s="83"/>
    </row>
    <row r="839" spans="1:24" ht="14.25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X839" s="83"/>
    </row>
    <row r="840" spans="1:24" ht="14.25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X840" s="83"/>
    </row>
    <row r="841" spans="1:24" ht="14.25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X841" s="83"/>
    </row>
    <row r="842" spans="1:24" ht="14.25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X842" s="83"/>
    </row>
    <row r="843" spans="1:24" ht="14.25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X843" s="83"/>
    </row>
    <row r="844" spans="1:24" ht="14.25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X844" s="83"/>
    </row>
    <row r="845" spans="1:24" ht="14.2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X845" s="83"/>
    </row>
    <row r="846" spans="1:24" ht="14.25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X846" s="83"/>
    </row>
    <row r="847" spans="1:24" ht="14.25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X847" s="83"/>
    </row>
    <row r="848" spans="1:24" ht="14.25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X848" s="83"/>
    </row>
    <row r="849" spans="1:24" ht="14.25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X849" s="83"/>
    </row>
    <row r="850" spans="1:24" ht="14.25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X850" s="83"/>
    </row>
    <row r="851" spans="1:24" ht="14.25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X851" s="83"/>
    </row>
    <row r="852" spans="1:24" ht="14.25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X852" s="83"/>
    </row>
    <row r="853" spans="1:24" ht="14.25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X853" s="83"/>
    </row>
    <row r="854" spans="1:24" ht="14.25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X854" s="83"/>
    </row>
    <row r="855" spans="1:24" ht="14.2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X855" s="83"/>
    </row>
    <row r="856" spans="1:24" ht="14.25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X856" s="83"/>
    </row>
    <row r="857" spans="1:24" ht="14.25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X857" s="83"/>
    </row>
    <row r="858" spans="1:24" ht="14.25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X858" s="83"/>
    </row>
    <row r="859" spans="1:24" ht="14.25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X859" s="83"/>
    </row>
    <row r="860" spans="1:24" ht="14.25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X860" s="83"/>
    </row>
    <row r="861" spans="1:24" ht="14.25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X861" s="83"/>
    </row>
    <row r="862" spans="1:24" ht="14.25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X862" s="83"/>
    </row>
    <row r="863" spans="1:24" ht="14.25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X863" s="83"/>
    </row>
    <row r="864" spans="1:24" ht="14.25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X864" s="83"/>
    </row>
    <row r="865" spans="1:24" ht="14.2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X865" s="83"/>
    </row>
    <row r="866" spans="1:24" ht="14.25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X866" s="83"/>
    </row>
    <row r="867" spans="1:24" ht="14.25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X867" s="83"/>
    </row>
    <row r="868" spans="1:24" ht="14.25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X868" s="83"/>
    </row>
    <row r="869" spans="1:24" ht="14.25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X869" s="83"/>
    </row>
    <row r="870" spans="1:24" ht="14.25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X870" s="83"/>
    </row>
    <row r="871" spans="1:24" ht="14.25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X871" s="83"/>
    </row>
    <row r="872" spans="1:24" ht="14.25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X872" s="83"/>
    </row>
    <row r="873" spans="1:24" ht="14.25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X873" s="83"/>
    </row>
    <row r="874" spans="1:24" ht="14.25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X874" s="83"/>
    </row>
    <row r="875" spans="1:24" ht="14.2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X875" s="83"/>
    </row>
    <row r="876" spans="1:24" ht="14.25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X876" s="83"/>
    </row>
    <row r="877" spans="1:24" ht="14.25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X877" s="83"/>
    </row>
    <row r="878" spans="1:24" ht="14.25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X878" s="83"/>
    </row>
    <row r="879" spans="1:24" ht="14.25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X879" s="83"/>
    </row>
    <row r="880" spans="1:24" ht="14.25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X880" s="83"/>
    </row>
    <row r="881" spans="1:24" ht="14.25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X881" s="83"/>
    </row>
    <row r="882" spans="1:24" ht="14.25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X882" s="83"/>
    </row>
    <row r="883" spans="1:24" ht="14.25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X883" s="83"/>
    </row>
    <row r="884" spans="1:24" ht="14.25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X884" s="83"/>
    </row>
    <row r="885" spans="1:24" ht="14.2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X885" s="83"/>
    </row>
    <row r="886" spans="1:24" ht="14.25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X886" s="83"/>
    </row>
    <row r="887" spans="1:24" ht="14.25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X887" s="83"/>
    </row>
    <row r="888" spans="1:24" ht="14.25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X888" s="83"/>
    </row>
    <row r="889" spans="1:24" ht="14.25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X889" s="83"/>
    </row>
    <row r="890" spans="1:24" ht="14.25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X890" s="83"/>
    </row>
    <row r="891" spans="1:24" ht="14.25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X891" s="83"/>
    </row>
    <row r="892" spans="1:24" ht="14.25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X892" s="83"/>
    </row>
    <row r="893" spans="1:24" ht="14.25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X893" s="83"/>
    </row>
    <row r="894" spans="1:24" ht="14.25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X894" s="83"/>
    </row>
    <row r="895" spans="1:24" ht="14.2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X895" s="83"/>
    </row>
    <row r="896" spans="1:24" ht="14.25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X896" s="83"/>
    </row>
    <row r="897" spans="1:24" ht="14.25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X897" s="83"/>
    </row>
    <row r="898" spans="1:24" ht="14.25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X898" s="83"/>
    </row>
    <row r="899" spans="1:24" ht="14.25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X899" s="83"/>
    </row>
    <row r="900" spans="1:24" ht="14.25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X900" s="83"/>
    </row>
    <row r="901" spans="1:24" ht="14.25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X901" s="83"/>
    </row>
    <row r="902" spans="1:24" ht="14.25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X902" s="83"/>
    </row>
    <row r="903" spans="1:24" ht="14.25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X903" s="83"/>
    </row>
    <row r="904" spans="1:24" ht="14.25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X904" s="83"/>
    </row>
    <row r="905" spans="1:24" ht="14.2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X905" s="83"/>
    </row>
    <row r="906" spans="1:24" ht="14.25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X906" s="83"/>
    </row>
    <row r="907" spans="1:24" ht="14.25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X907" s="83"/>
    </row>
    <row r="908" spans="1:24" ht="14.25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X908" s="83"/>
    </row>
    <row r="909" spans="1:24" ht="14.25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X909" s="83"/>
    </row>
    <row r="910" spans="1:24" ht="14.25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X910" s="83"/>
    </row>
    <row r="911" spans="1:24" ht="14.25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X911" s="83"/>
    </row>
    <row r="912" spans="1:24" ht="14.25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X912" s="83"/>
    </row>
    <row r="913" spans="1:24" ht="14.25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X913" s="83"/>
    </row>
    <row r="914" spans="1:24" ht="14.25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X914" s="83"/>
    </row>
    <row r="915" spans="1:24" ht="14.2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X915" s="83"/>
    </row>
    <row r="916" spans="1:24" ht="14.25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X916" s="83"/>
    </row>
    <row r="917" spans="1:24" ht="14.25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X917" s="83"/>
    </row>
    <row r="918" spans="1:24" ht="14.25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X918" s="83"/>
    </row>
    <row r="919" spans="1:24" ht="14.25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X919" s="83"/>
    </row>
    <row r="920" spans="1:24" ht="14.25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X920" s="83"/>
    </row>
    <row r="921" spans="1:24" ht="14.25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X921" s="83"/>
    </row>
    <row r="922" spans="1:24" ht="14.25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X922" s="83"/>
    </row>
    <row r="923" spans="1:24" ht="14.25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X923" s="83"/>
    </row>
    <row r="924" spans="1:24" ht="14.25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X924" s="83"/>
    </row>
    <row r="925" spans="1:24" ht="14.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X925" s="83"/>
    </row>
    <row r="926" spans="1:24" ht="14.25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X926" s="83"/>
    </row>
    <row r="927" spans="1:24" ht="14.25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X927" s="83"/>
    </row>
    <row r="928" spans="1:24" ht="14.25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X928" s="83"/>
    </row>
    <row r="929" spans="1:24" ht="14.25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X929" s="83"/>
    </row>
    <row r="930" spans="1:24" ht="14.25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X930" s="83"/>
    </row>
    <row r="931" spans="1:24" ht="14.25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X931" s="83"/>
    </row>
    <row r="932" spans="1:24" ht="14.25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X932" s="83"/>
    </row>
    <row r="933" spans="1:24" ht="14.25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X933" s="83"/>
    </row>
    <row r="934" spans="1:24" ht="14.25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X934" s="83"/>
    </row>
    <row r="935" spans="1:24" ht="14.2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X935" s="83"/>
    </row>
    <row r="936" spans="1:24" ht="14.25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X936" s="83"/>
    </row>
    <row r="937" spans="1:24" ht="14.25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X937" s="83"/>
    </row>
    <row r="938" spans="1:24" ht="14.25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X938" s="83"/>
    </row>
    <row r="939" spans="1:24" ht="14.25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X939" s="83"/>
    </row>
    <row r="940" spans="1:24" ht="14.25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X940" s="83"/>
    </row>
    <row r="941" spans="1:24" ht="14.25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X941" s="83"/>
    </row>
    <row r="942" spans="1:24" ht="14.25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X942" s="83"/>
    </row>
    <row r="943" spans="1:24" ht="14.25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X943" s="83"/>
    </row>
    <row r="944" spans="1:24" ht="14.25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X944" s="83"/>
    </row>
    <row r="945" spans="1:24" ht="14.2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X945" s="83"/>
    </row>
    <row r="946" spans="1:24" ht="14.25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X946" s="83"/>
    </row>
    <row r="947" spans="1:24" ht="14.25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X947" s="83"/>
    </row>
    <row r="948" spans="1:24" ht="14.25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X948" s="83"/>
    </row>
    <row r="949" spans="1:24" ht="14.25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X949" s="83"/>
    </row>
    <row r="950" spans="1:24" ht="14.25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X950" s="83"/>
    </row>
    <row r="951" spans="1:24" ht="14.25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X951" s="83"/>
    </row>
    <row r="952" spans="1:24" ht="14.25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X952" s="83"/>
    </row>
    <row r="953" spans="1:24" ht="14.25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X953" s="83"/>
    </row>
    <row r="954" spans="1:24" ht="14.25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X954" s="83"/>
    </row>
    <row r="955" spans="1:24" ht="14.2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X955" s="83"/>
    </row>
    <row r="956" spans="1:24" ht="14.25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X956" s="83"/>
    </row>
    <row r="957" spans="1:24" ht="14.25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X957" s="83"/>
    </row>
    <row r="958" spans="1:24" ht="14.25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X958" s="83"/>
    </row>
    <row r="959" spans="1:24" ht="14.25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X959" s="83"/>
    </row>
    <row r="960" spans="1:24" ht="14.25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X960" s="83"/>
    </row>
    <row r="961" spans="1:24" ht="14.25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X961" s="83"/>
    </row>
    <row r="962" spans="1:24" ht="14.25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X962" s="83"/>
    </row>
    <row r="963" spans="1:24" ht="14.25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X963" s="83"/>
    </row>
    <row r="964" spans="1:24" ht="14.25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X964" s="83"/>
    </row>
    <row r="965" spans="1:24" ht="14.2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X965" s="83"/>
    </row>
    <row r="966" spans="1:24" ht="14.25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X966" s="83"/>
    </row>
    <row r="967" spans="1:24" ht="14.25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X967" s="83"/>
    </row>
    <row r="968" spans="1:24" ht="14.25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X968" s="83"/>
    </row>
    <row r="969" spans="1:24" ht="14.25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X969" s="83"/>
    </row>
    <row r="970" spans="1:24" ht="14.25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X970" s="83"/>
    </row>
    <row r="971" spans="1:24" ht="14.25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X971" s="83"/>
    </row>
    <row r="972" spans="1:24" ht="14.25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X972" s="83"/>
    </row>
    <row r="973" spans="1:24" ht="14.25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X973" s="83"/>
    </row>
    <row r="974" spans="1:24" ht="14.25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X974" s="83"/>
    </row>
    <row r="975" spans="1:24" ht="14.2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X975" s="83"/>
    </row>
    <row r="976" spans="1:24" ht="14.25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X976" s="83"/>
    </row>
    <row r="977" spans="1:24" ht="14.25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X977" s="83"/>
    </row>
    <row r="978" spans="1:24" ht="14.25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X978" s="83"/>
    </row>
    <row r="979" spans="1:24" ht="14.25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X979" s="83"/>
    </row>
    <row r="980" spans="1:24" ht="14.25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X980" s="83"/>
    </row>
    <row r="981" spans="1:24" ht="14.25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X981" s="83"/>
    </row>
    <row r="982" spans="1:24" ht="14.25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X982" s="83"/>
    </row>
    <row r="983" spans="1:24" ht="14.25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X983" s="83"/>
    </row>
    <row r="984" spans="1:24" ht="14.25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X984" s="83"/>
    </row>
    <row r="985" spans="1:24" ht="14.2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X985" s="83"/>
    </row>
    <row r="986" spans="1:24" ht="14.25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X986" s="83"/>
    </row>
    <row r="987" spans="1:24" ht="14.25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X987" s="83"/>
    </row>
    <row r="988" spans="1:24" ht="14.25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X988" s="83"/>
    </row>
    <row r="989" spans="1:24" ht="14.25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X989" s="83"/>
    </row>
    <row r="990" spans="1:24" ht="14.25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X990" s="83"/>
    </row>
    <row r="991" spans="1:24" ht="14.25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X991" s="83"/>
    </row>
    <row r="992" spans="1:24" ht="14.25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X992" s="83"/>
    </row>
    <row r="993" spans="1:24" ht="14.25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X993" s="83"/>
    </row>
    <row r="994" spans="1:24" ht="14.25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X994" s="83"/>
    </row>
    <row r="995" spans="1:24" ht="14.2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X995" s="83"/>
    </row>
    <row r="996" spans="1:24" ht="14.25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X996" s="83"/>
    </row>
    <row r="997" spans="1:24" ht="14.25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X997" s="83"/>
    </row>
    <row r="998" spans="1:24" ht="14.25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X998" s="83"/>
    </row>
    <row r="999" spans="1:24" ht="14.25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X999" s="83"/>
    </row>
    <row r="1000" spans="1:24" ht="14.25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X1000" s="83"/>
    </row>
    <row r="1001" spans="1:24" ht="14.25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X1001" s="83"/>
    </row>
    <row r="1002" spans="1:24" ht="14.25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X1002" s="83"/>
    </row>
    <row r="1003" spans="1:24" ht="15" customHeight="1">
      <c r="I1003" s="83"/>
      <c r="J1003" s="83"/>
      <c r="K1003" s="83"/>
      <c r="L1003" s="83"/>
      <c r="M1003" s="83"/>
      <c r="N1003" s="83"/>
    </row>
    <row r="1004" spans="1:24" ht="15" customHeight="1">
      <c r="I1004" s="83"/>
      <c r="J1004" s="83"/>
      <c r="K1004" s="83"/>
      <c r="L1004" s="83"/>
      <c r="M1004" s="83"/>
      <c r="N1004" s="83"/>
    </row>
    <row r="1005" spans="1:24" ht="15" customHeight="1">
      <c r="I1005" s="83"/>
      <c r="J1005" s="83"/>
      <c r="K1005" s="83"/>
      <c r="L1005" s="83"/>
      <c r="M1005" s="83"/>
      <c r="N1005" s="83"/>
    </row>
    <row r="1006" spans="1:24" ht="15" customHeight="1">
      <c r="I1006" s="83"/>
      <c r="J1006" s="83"/>
      <c r="K1006" s="83"/>
      <c r="L1006" s="83"/>
      <c r="M1006" s="83"/>
      <c r="N1006" s="83"/>
    </row>
    <row r="1007" spans="1:24" ht="15" customHeight="1">
      <c r="I1007" s="83"/>
      <c r="J1007" s="83"/>
      <c r="K1007" s="83"/>
      <c r="L1007" s="83"/>
      <c r="M1007" s="83"/>
      <c r="N1007" s="83"/>
    </row>
  </sheetData>
  <mergeCells count="1">
    <mergeCell ref="B88:B98"/>
  </mergeCells>
  <dataValidations disablePrompts="1" count="1">
    <dataValidation type="list" allowBlank="1" showInputMessage="1" showErrorMessage="1" sqref="E6" xr:uid="{00000000-0002-0000-0200-000000000000}">
      <formula1>$B$36:$B$36</formula1>
    </dataValidation>
  </dataValidations>
  <pageMargins left="0.7" right="0.7" top="0.75" bottom="0.75" header="0.3" footer="0.3"/>
  <pageSetup scale="41" orientation="landscape" r:id="rId1"/>
  <customProperties>
    <customPr name="Gu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7" r:id="rId5" name="Check Box 79">
              <controlPr defaultSize="0" autoFill="0" autoLine="0" autoPict="0">
                <anchor moveWithCells="1">
                  <from>
                    <xdr:col>16</xdr:col>
                    <xdr:colOff>333375</xdr:colOff>
                    <xdr:row>2</xdr:row>
                    <xdr:rowOff>142875</xdr:rowOff>
                  </from>
                  <to>
                    <xdr:col>17</xdr:col>
                    <xdr:colOff>371475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41A4-12B3-4430-B341-C3E8AF8568DF}">
  <sheetPr>
    <tabColor rgb="FF1C476E"/>
    <pageSetUpPr fitToPage="1"/>
  </sheetPr>
  <dimension ref="A2:AA77"/>
  <sheetViews>
    <sheetView showGridLines="0" zoomScale="90" zoomScaleNormal="90" zoomScaleSheetLayoutView="100" workbookViewId="0">
      <selection activeCell="K70" sqref="K70"/>
    </sheetView>
  </sheetViews>
  <sheetFormatPr defaultColWidth="12.42578125" defaultRowHeight="12.75" outlineLevelCol="1"/>
  <cols>
    <col min="1" max="1" width="2.7109375" style="1487" customWidth="1"/>
    <col min="2" max="2" width="30.42578125" style="1485" customWidth="1"/>
    <col min="3" max="7" width="12.42578125" style="1485" customWidth="1"/>
    <col min="8" max="8" width="2.42578125" style="1485" customWidth="1"/>
    <col min="9" max="12" width="12.42578125" style="1485" customWidth="1"/>
    <col min="13" max="13" width="2.42578125" style="1485" customWidth="1"/>
    <col min="14" max="14" width="31.140625" style="1485" bestFit="1" customWidth="1"/>
    <col min="15" max="15" width="12.42578125" style="1485" customWidth="1"/>
    <col min="16" max="16" width="12.42578125" style="1485" hidden="1" customWidth="1" outlineLevel="1"/>
    <col min="17" max="17" width="12.42578125" style="1485" customWidth="1" collapsed="1"/>
    <col min="18" max="18" width="2.42578125" style="1485" customWidth="1"/>
    <col min="19" max="19" width="20.42578125" style="1485" customWidth="1"/>
    <col min="20" max="20" width="16.42578125" style="1485" customWidth="1"/>
    <col min="21" max="21" width="2.42578125" style="1485" customWidth="1"/>
    <col min="22" max="22" width="20.42578125" style="1485" customWidth="1"/>
    <col min="23" max="23" width="16.42578125" style="1485" customWidth="1"/>
    <col min="24" max="24" width="2.42578125" style="1485" customWidth="1"/>
    <col min="25" max="25" width="20.42578125" style="1485" customWidth="1"/>
    <col min="26" max="26" width="16.42578125" style="1485" customWidth="1"/>
    <col min="27" max="27" width="2.42578125" style="1485" customWidth="1"/>
    <col min="28" max="16384" width="12.42578125" style="1485"/>
  </cols>
  <sheetData>
    <row r="2" spans="2:27" ht="16.5" thickBot="1">
      <c r="B2" s="1482" t="s">
        <v>1143</v>
      </c>
      <c r="C2" s="1482"/>
      <c r="D2" s="1482"/>
      <c r="E2" s="1482"/>
      <c r="F2" s="1482"/>
      <c r="G2" s="1482"/>
      <c r="H2" s="1482"/>
      <c r="I2" s="1482"/>
      <c r="J2" s="1482"/>
      <c r="K2" s="1482"/>
      <c r="L2" s="1482"/>
      <c r="M2" s="1482"/>
      <c r="N2" s="1482"/>
      <c r="O2" s="1482"/>
      <c r="P2" s="1482"/>
      <c r="Q2" s="1482"/>
      <c r="R2" s="1482"/>
      <c r="S2" s="1482"/>
      <c r="T2" s="1482"/>
      <c r="U2" s="1482"/>
      <c r="V2" s="1482"/>
      <c r="W2" s="1482"/>
      <c r="X2" s="1482"/>
      <c r="Y2" s="1482"/>
      <c r="Z2" s="1482"/>
      <c r="AA2" s="1482"/>
    </row>
    <row r="3" spans="2:27" ht="15" thickTop="1">
      <c r="B3" s="1486" t="s">
        <v>1144</v>
      </c>
      <c r="C3" s="1486"/>
      <c r="D3" s="1486"/>
      <c r="E3" s="1486"/>
      <c r="F3" s="1486"/>
      <c r="G3" s="1486"/>
      <c r="H3" s="1486"/>
      <c r="I3" s="1486"/>
      <c r="J3" s="1486"/>
      <c r="K3" s="1486"/>
      <c r="L3" s="1486"/>
      <c r="M3" s="1486"/>
      <c r="N3" s="1486"/>
      <c r="O3" s="1486"/>
      <c r="P3" s="1486"/>
      <c r="Q3" s="1486"/>
      <c r="R3" s="1486"/>
      <c r="S3" s="1486"/>
      <c r="T3" s="1486"/>
      <c r="U3" s="1486"/>
      <c r="V3" s="1486"/>
      <c r="W3" s="1486"/>
      <c r="X3" s="1486"/>
      <c r="Y3" s="1486"/>
      <c r="Z3" s="1486"/>
      <c r="AA3" s="1486"/>
    </row>
    <row r="4" spans="2:27">
      <c r="B4" s="1506"/>
    </row>
    <row r="5" spans="2:27">
      <c r="B5" s="1533" t="s">
        <v>930</v>
      </c>
      <c r="C5" s="1534"/>
      <c r="D5" s="1534"/>
      <c r="E5" s="1534"/>
      <c r="F5" s="1534"/>
      <c r="G5" s="1535"/>
      <c r="I5" s="1533" t="s">
        <v>931</v>
      </c>
      <c r="J5" s="1534"/>
      <c r="K5" s="1534"/>
      <c r="L5" s="1535"/>
      <c r="N5" s="1533" t="s">
        <v>932</v>
      </c>
      <c r="O5" s="1534"/>
      <c r="P5" s="1534"/>
      <c r="Q5" s="1535"/>
      <c r="S5" s="1533" t="s">
        <v>933</v>
      </c>
      <c r="T5" s="1535"/>
      <c r="V5" s="1536" t="str">
        <f>+W6&amp;" Structure"</f>
        <v>Prioritized Hurdle Structure</v>
      </c>
      <c r="W5" s="1537"/>
      <c r="Y5" s="1533" t="s">
        <v>934</v>
      </c>
      <c r="Z5" s="1535"/>
    </row>
    <row r="6" spans="2:27">
      <c r="B6" s="1538" t="s">
        <v>935</v>
      </c>
      <c r="G6" s="1539" t="s">
        <v>606</v>
      </c>
      <c r="I6" s="1540" t="s">
        <v>936</v>
      </c>
      <c r="J6" s="1541"/>
      <c r="K6" s="1542" t="s">
        <v>937</v>
      </c>
      <c r="L6" s="1543" t="s">
        <v>938</v>
      </c>
      <c r="N6" s="1544" t="s">
        <v>939</v>
      </c>
      <c r="O6" s="1545" t="s">
        <v>940</v>
      </c>
      <c r="P6" s="1545" t="s">
        <v>941</v>
      </c>
      <c r="Q6" s="1546" t="s">
        <v>942</v>
      </c>
      <c r="S6" s="1538" t="s">
        <v>943</v>
      </c>
      <c r="T6" s="1846">
        <v>0.03</v>
      </c>
      <c r="V6" s="1547" t="s">
        <v>23</v>
      </c>
      <c r="W6" s="1548" t="s">
        <v>944</v>
      </c>
      <c r="Y6" s="1538" t="s">
        <v>945</v>
      </c>
      <c r="Z6" s="1549">
        <f>+T7</f>
        <v>0.03</v>
      </c>
    </row>
    <row r="7" spans="2:27">
      <c r="B7" s="1538" t="s">
        <v>161</v>
      </c>
      <c r="G7" s="1539" t="s">
        <v>598</v>
      </c>
      <c r="I7" s="1550" t="s">
        <v>946</v>
      </c>
      <c r="K7" s="1551">
        <v>0</v>
      </c>
      <c r="L7" s="1655">
        <v>0</v>
      </c>
      <c r="N7" s="1552" t="s">
        <v>947</v>
      </c>
      <c r="O7" s="1553">
        <f>G29</f>
        <v>131</v>
      </c>
      <c r="P7" s="1553">
        <f>G30</f>
        <v>0</v>
      </c>
      <c r="Q7" s="1554">
        <f>G31</f>
        <v>131</v>
      </c>
      <c r="S7" s="1538" t="s">
        <v>948</v>
      </c>
      <c r="T7" s="1846">
        <v>0.03</v>
      </c>
      <c r="V7" s="1555" t="s">
        <v>949</v>
      </c>
      <c r="W7" s="1556" t="s">
        <v>950</v>
      </c>
      <c r="Y7" s="1538" t="s">
        <v>951</v>
      </c>
      <c r="Z7" s="1557">
        <v>0.68500000000000005</v>
      </c>
    </row>
    <row r="8" spans="2:27">
      <c r="B8" s="1538" t="s">
        <v>850</v>
      </c>
      <c r="G8" s="1539" t="s">
        <v>150</v>
      </c>
      <c r="I8" s="1550" t="s">
        <v>952</v>
      </c>
      <c r="K8" s="1551">
        <v>0.25</v>
      </c>
      <c r="L8" s="1655">
        <v>217.44329940627651</v>
      </c>
      <c r="N8" s="1558" t="s">
        <v>938</v>
      </c>
      <c r="O8" s="1559">
        <f>'Assumptions MH'!L15</f>
        <v>271</v>
      </c>
      <c r="P8" s="1559">
        <f>+'Assumptions MH'!L9</f>
        <v>0</v>
      </c>
      <c r="Q8" s="1560">
        <f t="shared" ref="Q8:Q31" si="0">SUMPRODUCT(O8:P8,$O$7:$P$7)/$Q$7</f>
        <v>271</v>
      </c>
      <c r="S8" s="1538" t="s">
        <v>953</v>
      </c>
      <c r="T8" s="1846">
        <v>0.03</v>
      </c>
      <c r="V8" s="1561">
        <v>1</v>
      </c>
      <c r="W8" s="1562">
        <v>0</v>
      </c>
      <c r="Y8" s="1563" t="s">
        <v>954</v>
      </c>
      <c r="Z8" s="1564">
        <v>0.7</v>
      </c>
    </row>
    <row r="9" spans="2:27">
      <c r="B9" s="1538" t="s">
        <v>380</v>
      </c>
      <c r="G9" s="1539" t="s">
        <v>150</v>
      </c>
      <c r="I9" s="1550" t="s">
        <v>955</v>
      </c>
      <c r="K9" s="1551">
        <v>0</v>
      </c>
      <c r="L9" s="1655">
        <v>0</v>
      </c>
      <c r="N9" s="1558" t="s">
        <v>91</v>
      </c>
      <c r="O9" s="1565">
        <f>+'Assumptions MH'!L27</f>
        <v>0.7</v>
      </c>
      <c r="P9" s="1566">
        <v>0.75</v>
      </c>
      <c r="Q9" s="1567">
        <f t="shared" si="0"/>
        <v>0.7</v>
      </c>
      <c r="S9" s="1538" t="s">
        <v>956</v>
      </c>
      <c r="T9" s="1846">
        <v>0.03</v>
      </c>
      <c r="V9" s="1561">
        <v>2</v>
      </c>
      <c r="W9" s="1562">
        <v>0</v>
      </c>
    </row>
    <row r="10" spans="2:27">
      <c r="B10" s="1538" t="s">
        <v>957</v>
      </c>
      <c r="G10" s="1539" t="s">
        <v>958</v>
      </c>
      <c r="I10" s="1550" t="s">
        <v>959</v>
      </c>
      <c r="K10" s="1551">
        <v>0.55000000000000004</v>
      </c>
      <c r="L10" s="1655">
        <v>278.16258611346188</v>
      </c>
      <c r="N10" s="1568" t="s">
        <v>960</v>
      </c>
      <c r="O10" s="1569">
        <f>PRODUCT(O8:O9)</f>
        <v>189.7</v>
      </c>
      <c r="P10" s="1569">
        <f>PRODUCT(P8:P9)</f>
        <v>0</v>
      </c>
      <c r="Q10" s="1570">
        <f t="shared" si="0"/>
        <v>189.7</v>
      </c>
      <c r="S10" s="1563" t="s">
        <v>961</v>
      </c>
      <c r="T10" s="1847"/>
      <c r="V10" s="1561">
        <v>3</v>
      </c>
      <c r="W10" s="1562">
        <v>0</v>
      </c>
      <c r="Y10" s="1536" t="s">
        <v>962</v>
      </c>
      <c r="Z10" s="1537"/>
    </row>
    <row r="11" spans="2:27">
      <c r="B11" s="1538" t="s">
        <v>963</v>
      </c>
      <c r="G11" s="1539">
        <v>37210</v>
      </c>
      <c r="I11" s="1550" t="s">
        <v>964</v>
      </c>
      <c r="K11" s="1551">
        <v>0.2</v>
      </c>
      <c r="L11" s="1655">
        <v>319.60760660173156</v>
      </c>
      <c r="N11" s="1558" t="s">
        <v>965</v>
      </c>
      <c r="O11" s="1571">
        <v>65</v>
      </c>
      <c r="P11" s="1571">
        <v>60</v>
      </c>
      <c r="Q11" s="1560">
        <f t="shared" si="0"/>
        <v>65</v>
      </c>
      <c r="V11" s="1561">
        <v>4</v>
      </c>
      <c r="W11" s="1562">
        <v>0</v>
      </c>
      <c r="Y11" s="1555" t="s">
        <v>949</v>
      </c>
      <c r="Z11" s="1556" t="s">
        <v>950</v>
      </c>
    </row>
    <row r="12" spans="2:27">
      <c r="B12" s="1538" t="s">
        <v>852</v>
      </c>
      <c r="G12" s="1539" t="s">
        <v>966</v>
      </c>
      <c r="I12" s="1550" t="s">
        <v>967</v>
      </c>
      <c r="K12" s="1551">
        <v>0</v>
      </c>
      <c r="L12" s="1655">
        <v>232.23069012274468</v>
      </c>
      <c r="N12" s="1572" t="s">
        <v>968</v>
      </c>
      <c r="O12" s="1571">
        <v>10</v>
      </c>
      <c r="P12" s="1571">
        <v>10</v>
      </c>
      <c r="Q12" s="1560">
        <f t="shared" si="0"/>
        <v>10</v>
      </c>
      <c r="S12" s="1536" t="s">
        <v>969</v>
      </c>
      <c r="T12" s="1537"/>
      <c r="V12" s="1561">
        <v>5</v>
      </c>
      <c r="W12" s="1562">
        <v>0</v>
      </c>
      <c r="Y12" s="1561">
        <v>1</v>
      </c>
      <c r="Z12" s="1562">
        <v>0.6</v>
      </c>
    </row>
    <row r="13" spans="2:27">
      <c r="B13" s="1538" t="s">
        <v>970</v>
      </c>
      <c r="G13" s="1807">
        <f>Assumptions!C34</f>
        <v>131</v>
      </c>
      <c r="I13" s="1550" t="s">
        <v>971</v>
      </c>
      <c r="K13" s="1551">
        <v>0</v>
      </c>
      <c r="L13" s="1655">
        <v>221.2397656451603</v>
      </c>
      <c r="N13" s="1572" t="s">
        <v>972</v>
      </c>
      <c r="O13" s="1571">
        <v>20</v>
      </c>
      <c r="P13" s="1571">
        <v>20</v>
      </c>
      <c r="Q13" s="1560">
        <f t="shared" si="0"/>
        <v>20</v>
      </c>
      <c r="S13" s="1555" t="s">
        <v>709</v>
      </c>
      <c r="T13" s="1556" t="s">
        <v>973</v>
      </c>
      <c r="V13" s="1561">
        <v>6</v>
      </c>
      <c r="W13" s="1562">
        <v>0</v>
      </c>
      <c r="Y13" s="1561">
        <v>2</v>
      </c>
      <c r="Z13" s="1562">
        <v>0.5</v>
      </c>
    </row>
    <row r="14" spans="2:27">
      <c r="B14" s="1538" t="s">
        <v>142</v>
      </c>
      <c r="G14" s="1573">
        <v>2025</v>
      </c>
      <c r="I14" s="1550" t="s">
        <v>974</v>
      </c>
      <c r="K14" s="1551">
        <v>0</v>
      </c>
      <c r="L14" s="1655">
        <v>0</v>
      </c>
      <c r="N14" s="1558" t="s">
        <v>857</v>
      </c>
      <c r="O14" s="1559">
        <f ca="1">+'Staffing Model MH'!H20</f>
        <v>298.94634839694658</v>
      </c>
      <c r="P14" s="1559">
        <f ca="1">+'Staffing Model MH'!H20</f>
        <v>298.94634839694658</v>
      </c>
      <c r="Q14" s="1560">
        <f t="shared" ca="1" si="0"/>
        <v>298.94634839694658</v>
      </c>
      <c r="S14" s="1561">
        <v>1</v>
      </c>
      <c r="T14" s="1562">
        <v>0.03</v>
      </c>
      <c r="V14" s="1561">
        <v>7</v>
      </c>
      <c r="W14" s="1562">
        <v>0</v>
      </c>
      <c r="Y14" s="1561">
        <v>3</v>
      </c>
      <c r="Z14" s="1562">
        <v>0.4</v>
      </c>
    </row>
    <row r="15" spans="2:27">
      <c r="B15" s="1538" t="s">
        <v>975</v>
      </c>
      <c r="G15" s="1573" t="s">
        <v>976</v>
      </c>
      <c r="I15" s="1574" t="s">
        <v>942</v>
      </c>
      <c r="J15" s="1575"/>
      <c r="K15" s="1576">
        <f>SUM(K7:K14)</f>
        <v>1</v>
      </c>
      <c r="L15" s="1577">
        <f>ROUND(SUMPRODUCT(K7:K14,L7:L14),0)</f>
        <v>271</v>
      </c>
      <c r="N15" s="1558" t="s">
        <v>977</v>
      </c>
      <c r="O15" s="1559">
        <f ca="1">+'Staffing Model MH'!H28</f>
        <v>283.80251689651453</v>
      </c>
      <c r="P15" s="1559">
        <f ca="1">+'Staffing Model MH'!H28</f>
        <v>283.80251689651453</v>
      </c>
      <c r="Q15" s="1560">
        <f t="shared" ca="1" si="0"/>
        <v>283.80251689651453</v>
      </c>
      <c r="S15" s="1561">
        <v>2</v>
      </c>
      <c r="T15" s="1562">
        <v>0.03</v>
      </c>
      <c r="V15" s="1561">
        <v>8</v>
      </c>
      <c r="W15" s="1562">
        <v>0</v>
      </c>
      <c r="Y15" s="1561">
        <v>4</v>
      </c>
      <c r="Z15" s="1562">
        <v>0.4</v>
      </c>
    </row>
    <row r="16" spans="2:27">
      <c r="B16" s="1563" t="s">
        <v>978</v>
      </c>
      <c r="C16" s="1578"/>
      <c r="D16" s="1578"/>
      <c r="E16" s="1578"/>
      <c r="F16" s="1578"/>
      <c r="G16" s="1579" t="s">
        <v>553</v>
      </c>
      <c r="N16" s="1558" t="s">
        <v>979</v>
      </c>
      <c r="O16" s="1571">
        <v>5</v>
      </c>
      <c r="P16" s="1571">
        <v>20</v>
      </c>
      <c r="Q16" s="1560">
        <v>5</v>
      </c>
      <c r="S16" s="1561">
        <v>3</v>
      </c>
      <c r="T16" s="1562">
        <v>0.03</v>
      </c>
      <c r="V16" s="1561">
        <v>9</v>
      </c>
      <c r="W16" s="1562">
        <v>0</v>
      </c>
      <c r="Y16" s="1561">
        <v>5</v>
      </c>
      <c r="Z16" s="1562">
        <v>0.4</v>
      </c>
    </row>
    <row r="17" spans="2:26">
      <c r="B17" s="1506"/>
      <c r="I17" s="1533" t="s">
        <v>980</v>
      </c>
      <c r="J17" s="1534"/>
      <c r="K17" s="1534"/>
      <c r="L17" s="1535"/>
      <c r="N17" s="1558" t="s">
        <v>981</v>
      </c>
      <c r="O17" s="1580">
        <v>0.03</v>
      </c>
      <c r="P17" s="1580">
        <v>0.03</v>
      </c>
      <c r="Q17" s="1581">
        <f t="shared" si="0"/>
        <v>0.03</v>
      </c>
      <c r="S17" s="1561">
        <v>4</v>
      </c>
      <c r="T17" s="1562">
        <v>0.03</v>
      </c>
      <c r="V17" s="1582">
        <v>10</v>
      </c>
      <c r="W17" s="1583">
        <v>0</v>
      </c>
      <c r="Y17" s="1561">
        <v>6</v>
      </c>
      <c r="Z17" s="1562">
        <v>0.4</v>
      </c>
    </row>
    <row r="18" spans="2:26">
      <c r="B18" s="1533" t="s">
        <v>982</v>
      </c>
      <c r="C18" s="1534"/>
      <c r="D18" s="1534"/>
      <c r="E18" s="1534"/>
      <c r="F18" s="1534"/>
      <c r="G18" s="1535"/>
      <c r="I18" s="1540" t="s">
        <v>936</v>
      </c>
      <c r="J18" s="1541"/>
      <c r="K18" s="1542" t="s">
        <v>937</v>
      </c>
      <c r="L18" s="1543" t="s">
        <v>91</v>
      </c>
      <c r="N18" s="1558" t="s">
        <v>296</v>
      </c>
      <c r="O18" s="1571">
        <v>100</v>
      </c>
      <c r="P18" s="1571">
        <v>100</v>
      </c>
      <c r="Q18" s="1560">
        <f t="shared" si="0"/>
        <v>100</v>
      </c>
      <c r="S18" s="1561">
        <v>5</v>
      </c>
      <c r="T18" s="1562">
        <v>0.03</v>
      </c>
      <c r="Y18" s="1561">
        <v>7</v>
      </c>
      <c r="Z18" s="1562">
        <v>0.4</v>
      </c>
    </row>
    <row r="19" spans="2:26">
      <c r="B19" s="1538" t="s">
        <v>983</v>
      </c>
      <c r="G19" s="1539" t="s">
        <v>940</v>
      </c>
      <c r="I19" s="1550" t="s">
        <v>946</v>
      </c>
      <c r="K19" s="1551">
        <v>0</v>
      </c>
      <c r="L19" s="1810">
        <v>0</v>
      </c>
      <c r="N19" s="1558" t="s">
        <v>984</v>
      </c>
      <c r="O19" s="1571">
        <v>30</v>
      </c>
      <c r="P19" s="1571">
        <v>35</v>
      </c>
      <c r="Q19" s="1560">
        <f t="shared" si="0"/>
        <v>30</v>
      </c>
      <c r="S19" s="1561">
        <v>6</v>
      </c>
      <c r="T19" s="1562">
        <v>0.03</v>
      </c>
      <c r="V19" s="1536" t="s">
        <v>985</v>
      </c>
      <c r="W19" s="1537"/>
      <c r="Y19" s="1561">
        <v>8</v>
      </c>
      <c r="Z19" s="1562">
        <v>0.4</v>
      </c>
    </row>
    <row r="20" spans="2:26">
      <c r="B20" s="1538" t="s">
        <v>986</v>
      </c>
      <c r="F20" s="1808" t="s">
        <v>1135</v>
      </c>
      <c r="G20" s="1584">
        <v>45658</v>
      </c>
      <c r="I20" s="1550" t="s">
        <v>952</v>
      </c>
      <c r="K20" s="1551">
        <v>0</v>
      </c>
      <c r="L20" s="1810">
        <v>0.75300254452926207</v>
      </c>
      <c r="N20" s="1558" t="s">
        <v>987</v>
      </c>
      <c r="O20" s="1571">
        <v>150</v>
      </c>
      <c r="P20" s="1571">
        <v>150</v>
      </c>
      <c r="Q20" s="1560">
        <f t="shared" si="0"/>
        <v>150</v>
      </c>
      <c r="S20" s="1561">
        <v>7</v>
      </c>
      <c r="T20" s="1562">
        <v>0.03</v>
      </c>
      <c r="V20" s="1555" t="s">
        <v>949</v>
      </c>
      <c r="W20" s="1556" t="s">
        <v>988</v>
      </c>
      <c r="Y20" s="1561">
        <v>9</v>
      </c>
      <c r="Z20" s="1562">
        <v>0.4</v>
      </c>
    </row>
    <row r="21" spans="2:26">
      <c r="B21" s="1538" t="s">
        <v>989</v>
      </c>
      <c r="G21" s="1585">
        <v>1</v>
      </c>
      <c r="I21" s="1550" t="s">
        <v>959</v>
      </c>
      <c r="K21" s="1551">
        <v>0</v>
      </c>
      <c r="L21" s="1810">
        <v>0.74090956804702612</v>
      </c>
      <c r="N21" s="1558" t="s">
        <v>874</v>
      </c>
      <c r="O21" s="1559">
        <f ca="1">'Staffing Model MH'!$H$32</f>
        <v>97.455391221374043</v>
      </c>
      <c r="P21" s="1559">
        <f ca="1">'Staffing Model MH'!$H$32</f>
        <v>97.455391221374043</v>
      </c>
      <c r="Q21" s="1560">
        <f t="shared" ca="1" si="0"/>
        <v>97.455391221374043</v>
      </c>
      <c r="S21" s="1561">
        <v>8</v>
      </c>
      <c r="T21" s="1562">
        <v>0.03</v>
      </c>
      <c r="V21" s="1561">
        <v>1</v>
      </c>
      <c r="W21" s="1562">
        <v>0.15</v>
      </c>
      <c r="Y21" s="1582">
        <v>10</v>
      </c>
      <c r="Z21" s="1583">
        <v>0.4</v>
      </c>
    </row>
    <row r="22" spans="2:26">
      <c r="B22" s="1538" t="s">
        <v>990</v>
      </c>
      <c r="G22" s="1586">
        <v>1</v>
      </c>
      <c r="I22" s="1550" t="s">
        <v>967</v>
      </c>
      <c r="K22" s="1551">
        <v>0</v>
      </c>
      <c r="L22" s="1810">
        <v>0.64218421783693425</v>
      </c>
      <c r="N22" s="1558" t="s">
        <v>991</v>
      </c>
      <c r="O22" s="1580">
        <v>5.0000000000000001E-3</v>
      </c>
      <c r="P22" s="1580">
        <v>0.01</v>
      </c>
      <c r="Q22" s="1581">
        <f t="shared" si="0"/>
        <v>5.0000000000000001E-3</v>
      </c>
      <c r="S22" s="1561">
        <v>9</v>
      </c>
      <c r="T22" s="1562">
        <v>0.03</v>
      </c>
      <c r="V22" s="1561">
        <v>2</v>
      </c>
      <c r="W22" s="1562">
        <v>0.15</v>
      </c>
    </row>
    <row r="23" spans="2:26">
      <c r="B23" s="1538" t="s">
        <v>992</v>
      </c>
      <c r="G23" s="1573">
        <v>2022</v>
      </c>
      <c r="I23" s="1550" t="s">
        <v>971</v>
      </c>
      <c r="K23" s="1551">
        <v>0</v>
      </c>
      <c r="L23" s="1810">
        <v>0.70739797508481672</v>
      </c>
      <c r="N23" s="1558" t="s">
        <v>993</v>
      </c>
      <c r="O23" s="1580">
        <v>7.0000000000000007E-2</v>
      </c>
      <c r="P23" s="1580">
        <v>4.4999999999999998E-2</v>
      </c>
      <c r="Q23" s="1581">
        <f t="shared" si="0"/>
        <v>7.0000000000000007E-2</v>
      </c>
      <c r="S23" s="1582">
        <v>10</v>
      </c>
      <c r="T23" s="1583">
        <v>0.03</v>
      </c>
      <c r="V23" s="1561">
        <v>3</v>
      </c>
      <c r="W23" s="1562">
        <v>0.15</v>
      </c>
      <c r="Y23" s="1536" t="s">
        <v>994</v>
      </c>
      <c r="Z23" s="1537"/>
    </row>
    <row r="24" spans="2:26" ht="12.95" customHeight="1">
      <c r="B24" s="1538" t="s">
        <v>995</v>
      </c>
      <c r="G24" s="1587">
        <f>IF(YEAR(G20)-$G$23&lt;0,0,ROUNDDOWN(YEAR(G20)-G23,0))*G22</f>
        <v>3</v>
      </c>
      <c r="I24" s="1588" t="s">
        <v>974</v>
      </c>
      <c r="J24" s="1578"/>
      <c r="K24" s="1589">
        <v>1</v>
      </c>
      <c r="L24" s="1590">
        <v>0.7</v>
      </c>
      <c r="N24" s="1558" t="s">
        <v>996</v>
      </c>
      <c r="O24" s="1571">
        <v>75</v>
      </c>
      <c r="P24" s="1571">
        <v>75</v>
      </c>
      <c r="Q24" s="1560">
        <f t="shared" si="0"/>
        <v>75</v>
      </c>
      <c r="V24" s="1561">
        <v>4</v>
      </c>
      <c r="W24" s="1562">
        <v>0.15</v>
      </c>
      <c r="Y24" s="1555" t="s">
        <v>949</v>
      </c>
      <c r="Z24" s="1556" t="s">
        <v>997</v>
      </c>
    </row>
    <row r="25" spans="2:26">
      <c r="B25" s="1563" t="s">
        <v>998</v>
      </c>
      <c r="C25" s="1578"/>
      <c r="D25" s="1578"/>
      <c r="E25" s="1578"/>
      <c r="F25" s="1578"/>
      <c r="G25" s="1579" t="s">
        <v>999</v>
      </c>
      <c r="H25" s="1591"/>
      <c r="M25" s="1591"/>
      <c r="N25" s="1558" t="s">
        <v>1000</v>
      </c>
      <c r="O25" s="1580">
        <v>0.14749999999999999</v>
      </c>
      <c r="P25" s="1580">
        <v>0</v>
      </c>
      <c r="Q25" s="1581">
        <f t="shared" si="0"/>
        <v>0.14749999999999999</v>
      </c>
      <c r="S25" s="1536" t="s">
        <v>1001</v>
      </c>
      <c r="T25" s="1537"/>
      <c r="V25" s="1561">
        <v>5</v>
      </c>
      <c r="W25" s="1562">
        <v>0.15</v>
      </c>
      <c r="Y25" s="1561">
        <v>1</v>
      </c>
      <c r="Z25" s="1562">
        <v>0.9</v>
      </c>
    </row>
    <row r="26" spans="2:26">
      <c r="B26" s="1506"/>
      <c r="H26" s="1591"/>
      <c r="M26" s="1591"/>
      <c r="N26" s="1558" t="s">
        <v>1002</v>
      </c>
      <c r="O26" s="1580">
        <v>1</v>
      </c>
      <c r="P26" s="1580">
        <v>1</v>
      </c>
      <c r="Q26" s="1581">
        <f t="shared" si="0"/>
        <v>1</v>
      </c>
      <c r="S26" s="1555" t="s">
        <v>709</v>
      </c>
      <c r="T26" s="1556" t="s">
        <v>1003</v>
      </c>
      <c r="V26" s="1561">
        <v>6</v>
      </c>
      <c r="W26" s="1562">
        <v>0.15</v>
      </c>
      <c r="Y26" s="1561">
        <v>2</v>
      </c>
      <c r="Z26" s="1562">
        <v>0.9</v>
      </c>
    </row>
    <row r="27" spans="2:26">
      <c r="B27" s="1533" t="s">
        <v>1004</v>
      </c>
      <c r="C27" s="1592"/>
      <c r="D27" s="1592"/>
      <c r="E27" s="1592"/>
      <c r="F27" s="1592"/>
      <c r="G27" s="1593"/>
      <c r="I27" s="1574" t="s">
        <v>942</v>
      </c>
      <c r="J27" s="1575"/>
      <c r="K27" s="1576">
        <f>SUM(K19:K24)</f>
        <v>1</v>
      </c>
      <c r="L27" s="1594">
        <f>ROUND(SUMPRODUCT(K19:K24,L19:L24),2)</f>
        <v>0.7</v>
      </c>
      <c r="N27" s="1558" t="s">
        <v>1005</v>
      </c>
      <c r="O27" s="1580">
        <v>0.02</v>
      </c>
      <c r="P27" s="1580">
        <v>0.02</v>
      </c>
      <c r="Q27" s="1581">
        <f t="shared" si="0"/>
        <v>0.02</v>
      </c>
      <c r="S27" s="1561">
        <v>1</v>
      </c>
      <c r="T27" s="1595">
        <v>6</v>
      </c>
      <c r="V27" s="1561">
        <v>7</v>
      </c>
      <c r="W27" s="1562">
        <v>0.15</v>
      </c>
      <c r="Y27" s="1561">
        <v>3</v>
      </c>
      <c r="Z27" s="1562">
        <v>0.9</v>
      </c>
    </row>
    <row r="28" spans="2:26">
      <c r="B28" s="1596"/>
      <c r="C28" s="1597" t="s">
        <v>165</v>
      </c>
      <c r="D28" s="1597" t="s">
        <v>1006</v>
      </c>
      <c r="E28" s="1597" t="s">
        <v>189</v>
      </c>
      <c r="F28" s="1597" t="s">
        <v>190</v>
      </c>
      <c r="G28" s="1598" t="s">
        <v>1007</v>
      </c>
      <c r="N28" s="1558" t="s">
        <v>434</v>
      </c>
      <c r="O28" s="1580">
        <v>0.05</v>
      </c>
      <c r="P28" s="1580">
        <v>0.05</v>
      </c>
      <c r="Q28" s="1581">
        <f t="shared" si="0"/>
        <v>0.05</v>
      </c>
      <c r="S28" s="1561">
        <v>2</v>
      </c>
      <c r="T28" s="1595">
        <v>6</v>
      </c>
      <c r="V28" s="1561">
        <v>8</v>
      </c>
      <c r="W28" s="1562">
        <v>0.15</v>
      </c>
      <c r="Y28" s="1561">
        <v>4</v>
      </c>
      <c r="Z28" s="1562">
        <v>0.9</v>
      </c>
    </row>
    <row r="29" spans="2:26">
      <c r="B29" s="1599" t="str">
        <f>IF($G$19&lt;&gt;"Long Term","Short Term Units (STR)","")</f>
        <v>Short Term Units (STR)</v>
      </c>
      <c r="C29" s="1806">
        <f>Assumptions!C28</f>
        <v>12</v>
      </c>
      <c r="D29" s="1806">
        <f>Assumptions!C29+Assumptions!C32</f>
        <v>80</v>
      </c>
      <c r="E29" s="1806">
        <f>Assumptions!C30+Assumptions!C31</f>
        <v>39</v>
      </c>
      <c r="F29" s="1600">
        <v>0</v>
      </c>
      <c r="G29" s="1601">
        <f>SUM(C29:F29)</f>
        <v>131</v>
      </c>
      <c r="I29" s="1533" t="s">
        <v>1008</v>
      </c>
      <c r="J29" s="1533"/>
      <c r="K29" s="1592"/>
      <c r="L29" s="1535"/>
      <c r="N29" s="1572" t="s">
        <v>1009</v>
      </c>
      <c r="O29" s="1571">
        <v>40</v>
      </c>
      <c r="P29" s="1571">
        <v>40</v>
      </c>
      <c r="Q29" s="1560">
        <f t="shared" si="0"/>
        <v>40</v>
      </c>
      <c r="S29" s="1561">
        <v>3</v>
      </c>
      <c r="T29" s="1595">
        <v>6</v>
      </c>
      <c r="V29" s="1561">
        <v>9</v>
      </c>
      <c r="W29" s="1562">
        <v>0.15</v>
      </c>
      <c r="Y29" s="1561">
        <v>5</v>
      </c>
      <c r="Z29" s="1562">
        <v>0.9</v>
      </c>
    </row>
    <row r="30" spans="2:26">
      <c r="B30" s="1599" t="str">
        <f>IF($G$19&lt;&gt;"Short Term","Long Term Units (LTL)","")</f>
        <v/>
      </c>
      <c r="C30" s="1600"/>
      <c r="D30" s="1600"/>
      <c r="E30" s="1600"/>
      <c r="F30" s="1600"/>
      <c r="G30" s="1602">
        <f>SUM(C30:F30)</f>
        <v>0</v>
      </c>
      <c r="I30" s="1538" t="s">
        <v>1010</v>
      </c>
      <c r="L30" s="1603">
        <f>+'Assumptions MH'!G20</f>
        <v>45658</v>
      </c>
      <c r="N30" s="1604" t="s">
        <v>1011</v>
      </c>
      <c r="O30" s="1605">
        <v>0</v>
      </c>
      <c r="P30" s="1605">
        <v>60</v>
      </c>
      <c r="Q30" s="1606">
        <f t="shared" si="0"/>
        <v>0</v>
      </c>
      <c r="S30" s="1561">
        <v>4</v>
      </c>
      <c r="T30" s="1595">
        <v>6</v>
      </c>
      <c r="V30" s="1582">
        <v>10</v>
      </c>
      <c r="W30" s="1583">
        <v>0.15</v>
      </c>
      <c r="Y30" s="1561">
        <v>6</v>
      </c>
      <c r="Z30" s="1562">
        <v>0.9</v>
      </c>
    </row>
    <row r="31" spans="2:26">
      <c r="B31" s="1607" t="s">
        <v>1012</v>
      </c>
      <c r="C31" s="1608">
        <f>SUM(C29:C30)</f>
        <v>12</v>
      </c>
      <c r="D31" s="1608">
        <f>SUM(D29:D30)</f>
        <v>80</v>
      </c>
      <c r="E31" s="1608">
        <f>SUM(E29:E30)</f>
        <v>39</v>
      </c>
      <c r="F31" s="1608">
        <f>SUM(F29:F30)</f>
        <v>0</v>
      </c>
      <c r="G31" s="1609">
        <f>SUM(C31:F31)</f>
        <v>131</v>
      </c>
      <c r="I31" s="1538" t="s">
        <v>1013</v>
      </c>
      <c r="L31" s="1610">
        <v>0.35</v>
      </c>
      <c r="N31" s="1568" t="s">
        <v>1014</v>
      </c>
      <c r="O31" s="1611">
        <v>90</v>
      </c>
      <c r="P31" s="1611">
        <v>40</v>
      </c>
      <c r="Q31" s="1570">
        <f t="shared" si="0"/>
        <v>90</v>
      </c>
      <c r="S31" s="1561">
        <v>5</v>
      </c>
      <c r="T31" s="1595">
        <v>6</v>
      </c>
      <c r="Y31" s="1561">
        <v>7</v>
      </c>
      <c r="Z31" s="1562">
        <v>0.9</v>
      </c>
    </row>
    <row r="32" spans="2:26">
      <c r="B32" s="1612"/>
      <c r="C32" s="1613"/>
      <c r="D32" s="1613"/>
      <c r="E32" s="1613"/>
      <c r="F32" s="1613"/>
      <c r="G32" s="1614"/>
      <c r="I32" s="1538" t="s">
        <v>1015</v>
      </c>
      <c r="L32" s="1615">
        <v>18</v>
      </c>
      <c r="S32" s="1561">
        <v>6</v>
      </c>
      <c r="T32" s="1595">
        <v>6</v>
      </c>
      <c r="V32" s="1533" t="s">
        <v>1016</v>
      </c>
      <c r="W32" s="1535"/>
      <c r="Y32" s="1561">
        <v>8</v>
      </c>
      <c r="Z32" s="1562">
        <v>0.9</v>
      </c>
    </row>
    <row r="33" spans="2:26">
      <c r="B33" s="1599" t="s">
        <v>1017</v>
      </c>
      <c r="C33" s="1809">
        <f>Assumptions!E28</f>
        <v>458</v>
      </c>
      <c r="D33" s="1809">
        <f>((Assumptions!C29*Assumptions!E29)+(Assumptions!C32*Assumptions!E32))/(Assumptions!C29+Assumptions!C32)</f>
        <v>715.07500000000005</v>
      </c>
      <c r="E33" s="1809">
        <f>((Assumptions!C30*Assumptions!E30)+(Assumptions!C31*Assumptions!E31))/(Assumptions!C30+Assumptions!C31)</f>
        <v>1040.8974358974358</v>
      </c>
      <c r="F33" s="1616">
        <v>0</v>
      </c>
      <c r="G33" s="1617">
        <f>SUMPRODUCT(C33:F33,$C$31:$F$31)/$G$31</f>
        <v>788.52671755725191</v>
      </c>
      <c r="H33" s="1591"/>
      <c r="I33" s="1618" t="s">
        <v>1018</v>
      </c>
      <c r="J33" s="1619" t="s">
        <v>1019</v>
      </c>
      <c r="K33" s="1619" t="s">
        <v>1020</v>
      </c>
      <c r="L33" s="1620" t="s">
        <v>1021</v>
      </c>
      <c r="M33" s="1591"/>
      <c r="N33" s="1536" t="s">
        <v>1022</v>
      </c>
      <c r="O33" s="1592"/>
      <c r="P33" s="1592"/>
      <c r="Q33" s="1537"/>
      <c r="S33" s="1561">
        <v>7</v>
      </c>
      <c r="T33" s="1595">
        <v>6</v>
      </c>
      <c r="V33" s="1538" t="s">
        <v>1023</v>
      </c>
      <c r="W33" s="1621">
        <v>0.58099999999999996</v>
      </c>
      <c r="Y33" s="1561">
        <v>9</v>
      </c>
      <c r="Z33" s="1562">
        <v>0.9</v>
      </c>
    </row>
    <row r="34" spans="2:26">
      <c r="B34" s="1599"/>
      <c r="C34" s="1613"/>
      <c r="D34" s="1613"/>
      <c r="E34" s="1613"/>
      <c r="F34" s="1613"/>
      <c r="G34" s="1614"/>
      <c r="I34" s="1622">
        <v>1</v>
      </c>
      <c r="J34" s="1623">
        <v>8</v>
      </c>
      <c r="K34" s="1624">
        <v>6.25E-2</v>
      </c>
      <c r="L34" s="1625">
        <f>+IF(J34&gt;L32,"ERROR",MIN(L31+K34*(J34-I34),1))</f>
        <v>0.78749999999999998</v>
      </c>
      <c r="N34" s="1626" t="s">
        <v>1024</v>
      </c>
      <c r="O34" s="1627"/>
      <c r="P34" s="1627"/>
      <c r="Q34" s="1628"/>
      <c r="S34" s="1561">
        <v>8</v>
      </c>
      <c r="T34" s="1595">
        <v>6</v>
      </c>
      <c r="U34" s="1514"/>
      <c r="V34" s="1538" t="s">
        <v>1025</v>
      </c>
      <c r="W34" s="1586">
        <v>0</v>
      </c>
      <c r="Y34" s="1582">
        <v>10</v>
      </c>
      <c r="Z34" s="1583">
        <v>0.9</v>
      </c>
    </row>
    <row r="35" spans="2:26">
      <c r="B35" s="1599" t="str">
        <f>IF($G$19&lt;&gt;"Long Term","Multifamily Rent PSF - STR","")</f>
        <v>Multifamily Rent PSF - STR</v>
      </c>
      <c r="C35" s="1629">
        <v>3.4934497816593888</v>
      </c>
      <c r="D35" s="1630">
        <v>2.9914529914529915</v>
      </c>
      <c r="E35" s="1630">
        <v>3.0365033621517772</v>
      </c>
      <c r="F35" s="1631">
        <v>0</v>
      </c>
      <c r="G35" s="1632">
        <f>IFERROR(SUMPRODUCT(C35:F35,$C$29:$F$29)/$G$29,0)</f>
        <v>3.0508493726723001</v>
      </c>
      <c r="I35" s="1633">
        <f>+IF(J34&gt;=$L$32,"",J34+1)</f>
        <v>9</v>
      </c>
      <c r="J35" s="1634">
        <f>+IF(J34&gt;=$L$32,"",L32)</f>
        <v>18</v>
      </c>
      <c r="K35" s="1635">
        <f>IFERROR(IF((1-L34)/(J35-I35+1)&gt;0,(1-L34)/(J35-I35+1),0),"")</f>
        <v>2.1250000000000002E-2</v>
      </c>
      <c r="L35" s="1636">
        <f>IFERROR(MIN(L34+K35*(J35-I35+1),1),"")</f>
        <v>1</v>
      </c>
      <c r="N35" s="1626" t="s">
        <v>1026</v>
      </c>
      <c r="O35" s="1627"/>
      <c r="P35" s="1627"/>
      <c r="Q35" s="1637"/>
      <c r="S35" s="1561">
        <v>9</v>
      </c>
      <c r="T35" s="1595">
        <v>6</v>
      </c>
      <c r="U35" s="1514"/>
      <c r="V35" s="1538" t="s">
        <v>1027</v>
      </c>
      <c r="W35" s="1638">
        <v>11</v>
      </c>
    </row>
    <row r="36" spans="2:26" ht="12.95" customHeight="1">
      <c r="B36" s="1599" t="str">
        <f>IF($G$19&lt;&gt;"Short Term","Multifamily Rent PSF - LTL","")</f>
        <v/>
      </c>
      <c r="C36" s="1639"/>
      <c r="D36" s="1639"/>
      <c r="E36" s="1639"/>
      <c r="F36" s="1639"/>
      <c r="G36" s="1632">
        <f>IFERROR(SUMPRODUCT(C36:F36,$C$30:$F$30)/$G$30,0)</f>
        <v>0</v>
      </c>
      <c r="I36" s="1538" t="s">
        <v>1028</v>
      </c>
      <c r="L36" s="1610">
        <v>1</v>
      </c>
      <c r="N36" s="1640" t="s">
        <v>1029</v>
      </c>
      <c r="O36" s="1641"/>
      <c r="P36" s="1641"/>
      <c r="Q36" s="1642"/>
      <c r="S36" s="1582">
        <v>10</v>
      </c>
      <c r="T36" s="1643">
        <v>6</v>
      </c>
      <c r="U36" s="1514"/>
      <c r="V36" s="1538" t="s">
        <v>1030</v>
      </c>
      <c r="W36" s="1644">
        <f>ROUNDUP(G31/W35,0)</f>
        <v>12</v>
      </c>
      <c r="Y36" s="1645" t="s">
        <v>1031</v>
      </c>
      <c r="Z36" s="1646"/>
    </row>
    <row r="37" spans="2:26">
      <c r="B37" s="1607" t="s">
        <v>1032</v>
      </c>
      <c r="C37" s="1647">
        <f>IFERROR(SUMPRODUCT(C35:C36,C$29:C$30)/C$31,0)</f>
        <v>3.4934497816593884</v>
      </c>
      <c r="D37" s="1647">
        <f>IFERROR(SUMPRODUCT(D35:D36,D$29:D$30)/D$31,0)</f>
        <v>2.9914529914529915</v>
      </c>
      <c r="E37" s="1647">
        <f>IFERROR(SUMPRODUCT(E35:E36,E$29:E$30)/E$31,0)</f>
        <v>3.0365033621517772</v>
      </c>
      <c r="F37" s="1647">
        <f>IFERROR(SUMPRODUCT(F35:F36,F$29:F$30)/F$31,0)</f>
        <v>0</v>
      </c>
      <c r="G37" s="1648">
        <f>SUMPRODUCT(C37:F37,C31:F31)/G31</f>
        <v>3.0508493726723001</v>
      </c>
      <c r="I37" s="1538" t="s">
        <v>1033</v>
      </c>
      <c r="L37" s="1610">
        <v>1</v>
      </c>
      <c r="V37" s="1538" t="s">
        <v>1034</v>
      </c>
      <c r="W37" s="1625">
        <f>IF(W34=1,SUM(W39:W50)/($G$31*12),1)</f>
        <v>1</v>
      </c>
      <c r="Y37" s="1645" t="s">
        <v>1035</v>
      </c>
      <c r="Z37" s="1646"/>
    </row>
    <row r="38" spans="2:26">
      <c r="B38" s="1612"/>
      <c r="C38" s="1649"/>
      <c r="D38" s="1649"/>
      <c r="E38" s="1649"/>
      <c r="F38" s="1649"/>
      <c r="G38" s="1650"/>
      <c r="I38" s="1563" t="s">
        <v>1036</v>
      </c>
      <c r="J38" s="1578"/>
      <c r="K38" s="1578"/>
      <c r="L38" s="1651">
        <v>1</v>
      </c>
      <c r="N38" s="1536" t="s">
        <v>1037</v>
      </c>
      <c r="O38" s="1652"/>
      <c r="P38" s="1652"/>
      <c r="Q38" s="1537"/>
      <c r="S38" s="1536" t="s">
        <v>1038</v>
      </c>
      <c r="T38" s="1537"/>
      <c r="V38" s="1653" t="s">
        <v>1039</v>
      </c>
      <c r="W38" s="1654" t="s">
        <v>1040</v>
      </c>
      <c r="Y38" s="1645" t="s">
        <v>1041</v>
      </c>
    </row>
    <row r="39" spans="2:26">
      <c r="B39" s="1599" t="str">
        <f>IF($G$19&lt;&gt;"Long Term","Multifamily Rent per Unit - STR","")</f>
        <v>Multifamily Rent per Unit - STR</v>
      </c>
      <c r="C39" s="1649">
        <f>C35*C33</f>
        <v>1600</v>
      </c>
      <c r="D39" s="1649">
        <f>D35*D33</f>
        <v>2139.113247863248</v>
      </c>
      <c r="E39" s="1649">
        <f>E35*E33</f>
        <v>3160.6885637577279</v>
      </c>
      <c r="F39" s="1649">
        <f>F35*F33</f>
        <v>0</v>
      </c>
      <c r="G39" s="1655">
        <f>IFERROR(SUMPRODUCT(C39:F39,$C$29:$F$29)/$G$29,0)</f>
        <v>2393.8619375237499</v>
      </c>
      <c r="N39" s="1656" t="s">
        <v>1037</v>
      </c>
      <c r="O39" s="1641"/>
      <c r="P39" s="1641"/>
      <c r="Q39" s="1657">
        <v>0</v>
      </c>
      <c r="S39" s="1555" t="s">
        <v>709</v>
      </c>
      <c r="T39" s="1556" t="s">
        <v>1042</v>
      </c>
      <c r="V39" s="1658">
        <v>1</v>
      </c>
      <c r="W39" s="1659">
        <f>+W35</f>
        <v>11</v>
      </c>
    </row>
    <row r="40" spans="2:26">
      <c r="B40" s="1599" t="str">
        <f>IF($G$19&lt;&gt;"Short Term","Multifamily Rent per Unit - LTL","")</f>
        <v/>
      </c>
      <c r="C40" s="1649">
        <f>C36*C33</f>
        <v>0</v>
      </c>
      <c r="D40" s="1649">
        <f>D36*D33</f>
        <v>0</v>
      </c>
      <c r="E40" s="1649">
        <f>E36*E33</f>
        <v>0</v>
      </c>
      <c r="F40" s="1649">
        <f>F36*F33</f>
        <v>0</v>
      </c>
      <c r="G40" s="1655">
        <f>IFERROR(SUMPRODUCT(C40:F40,$C$30:$F$30)/$G$30,0)</f>
        <v>0</v>
      </c>
      <c r="I40" s="1533" t="s">
        <v>1043</v>
      </c>
      <c r="J40" s="1592"/>
      <c r="K40" s="1592"/>
      <c r="L40" s="1535"/>
      <c r="S40" s="1561">
        <v>1</v>
      </c>
      <c r="T40" s="1660">
        <v>0</v>
      </c>
      <c r="V40" s="1658">
        <v>2</v>
      </c>
      <c r="W40" s="1659">
        <f>IF(COUNTA(V$39:V40)&lt;$W$36,W39+$W$35,$G$31)</f>
        <v>22</v>
      </c>
    </row>
    <row r="41" spans="2:26">
      <c r="B41" s="1661" t="s">
        <v>1044</v>
      </c>
      <c r="C41" s="1662">
        <f>IFERROR(SUMPRODUCT(C39:C40,C$29:C$30)/C$31,0)</f>
        <v>1600</v>
      </c>
      <c r="D41" s="1662">
        <f>IFERROR(SUMPRODUCT(D39:D40,D$29:D$30)/D$31,0)</f>
        <v>2139.113247863248</v>
      </c>
      <c r="E41" s="1662">
        <f>IFERROR(SUMPRODUCT(E39:E40,E$29:E$30)/E$31,0)</f>
        <v>3160.6885637577279</v>
      </c>
      <c r="F41" s="1662">
        <f>IFERROR(SUMPRODUCT(F39:F40,F$29:F$30)/F$31,0)</f>
        <v>0</v>
      </c>
      <c r="G41" s="1663">
        <f>SUMPRODUCT(C41:F41,C31:F31)/G31</f>
        <v>2393.8619375237499</v>
      </c>
      <c r="I41" s="1538" t="s">
        <v>1045</v>
      </c>
      <c r="L41" s="1843">
        <f>Assumptions!$F$46</f>
        <v>145</v>
      </c>
      <c r="N41" s="1645"/>
      <c r="S41" s="1561">
        <v>2</v>
      </c>
      <c r="T41" s="1660">
        <v>0.01</v>
      </c>
      <c r="V41" s="1658">
        <v>3</v>
      </c>
      <c r="W41" s="1659">
        <f>IF(COUNTA(V$39:V41)&lt;$W$36,W40+$W$35,$G$31)</f>
        <v>33</v>
      </c>
    </row>
    <row r="42" spans="2:26">
      <c r="B42" s="1612"/>
      <c r="C42" s="1664"/>
      <c r="D42" s="1664"/>
      <c r="E42" s="1664"/>
      <c r="F42" s="1664"/>
      <c r="G42" s="1655"/>
      <c r="I42" s="1538" t="s">
        <v>1046</v>
      </c>
      <c r="L42" s="1665">
        <v>30</v>
      </c>
      <c r="N42" s="1844"/>
      <c r="S42" s="1561">
        <v>3</v>
      </c>
      <c r="T42" s="1660">
        <v>0.02</v>
      </c>
      <c r="V42" s="1658">
        <v>4</v>
      </c>
      <c r="W42" s="1659">
        <f>IF(COUNTA(V$39:V42)&lt;$W$36,W41+$W$35,$G$31)</f>
        <v>44</v>
      </c>
    </row>
    <row r="43" spans="2:26">
      <c r="B43" s="1599" t="str">
        <f>IF($G$19&lt;&gt;"Long Term","Multifamily Rent per Month - STR","")</f>
        <v>Multifamily Rent per Month - STR</v>
      </c>
      <c r="C43" s="1666">
        <f t="shared" ref="C43:F44" si="1">C39*C29</f>
        <v>19200</v>
      </c>
      <c r="D43" s="1666">
        <f t="shared" si="1"/>
        <v>171129.05982905984</v>
      </c>
      <c r="E43" s="1666">
        <f t="shared" si="1"/>
        <v>123266.85398655139</v>
      </c>
      <c r="F43" s="1666">
        <f t="shared" si="1"/>
        <v>0</v>
      </c>
      <c r="G43" s="1655">
        <f>SUM(C43:F43)</f>
        <v>313595.91381561122</v>
      </c>
      <c r="I43" s="1538" t="s">
        <v>1047</v>
      </c>
      <c r="L43" s="1667">
        <v>1</v>
      </c>
      <c r="N43" s="1844"/>
      <c r="S43" s="1561">
        <v>4</v>
      </c>
      <c r="T43" s="1660">
        <v>0.03</v>
      </c>
      <c r="V43" s="1658">
        <v>5</v>
      </c>
      <c r="W43" s="1659">
        <f>IF(COUNTA(V$39:V43)&lt;$W$36,W42+$W$35,$G$31)</f>
        <v>55</v>
      </c>
    </row>
    <row r="44" spans="2:26">
      <c r="B44" s="1599" t="str">
        <f>IF($G$19&lt;&gt;"Short Term","Multifamily Rent per Month - LTL","")</f>
        <v/>
      </c>
      <c r="C44" s="1666">
        <f t="shared" si="1"/>
        <v>0</v>
      </c>
      <c r="D44" s="1666">
        <f t="shared" si="1"/>
        <v>0</v>
      </c>
      <c r="E44" s="1666">
        <f t="shared" si="1"/>
        <v>0</v>
      </c>
      <c r="F44" s="1666">
        <f t="shared" si="1"/>
        <v>0</v>
      </c>
      <c r="G44" s="1655">
        <f>SUM(C44:F44)</f>
        <v>0</v>
      </c>
      <c r="I44" s="1538" t="s">
        <v>1048</v>
      </c>
      <c r="L44" s="1667">
        <v>0.85</v>
      </c>
      <c r="N44" s="1793"/>
      <c r="S44" s="1561">
        <v>5</v>
      </c>
      <c r="T44" s="1660">
        <v>0.04</v>
      </c>
      <c r="V44" s="1658">
        <v>6</v>
      </c>
      <c r="W44" s="1659">
        <f>IF(COUNTA(V$39:V44)&lt;$W$36,W43+$W$35,$G$31)</f>
        <v>66</v>
      </c>
    </row>
    <row r="45" spans="2:26">
      <c r="B45" s="1607" t="s">
        <v>1049</v>
      </c>
      <c r="C45" s="1662">
        <f>SUM(C43:C44)</f>
        <v>19200</v>
      </c>
      <c r="D45" s="1662">
        <f>SUM(D43:D44)</f>
        <v>171129.05982905984</v>
      </c>
      <c r="E45" s="1662">
        <f>SUM(E43:E44)</f>
        <v>123266.85398655139</v>
      </c>
      <c r="F45" s="1662">
        <f>SUM(F43:F44)</f>
        <v>0</v>
      </c>
      <c r="G45" s="1663">
        <f>SUM(C45:F45)</f>
        <v>313595.91381561122</v>
      </c>
      <c r="I45" s="1563" t="s">
        <v>1050</v>
      </c>
      <c r="J45" s="1578"/>
      <c r="K45" s="1578"/>
      <c r="L45" s="1668">
        <v>0.4</v>
      </c>
      <c r="S45" s="1561">
        <v>6</v>
      </c>
      <c r="T45" s="1660">
        <v>0.05</v>
      </c>
      <c r="V45" s="1658">
        <v>7</v>
      </c>
      <c r="W45" s="1659">
        <f>IF(COUNTA(V$39:V45)&lt;$W$36,W44+$W$35,$G$31)</f>
        <v>77</v>
      </c>
    </row>
    <row r="46" spans="2:26">
      <c r="B46" s="1612"/>
      <c r="C46" s="1664"/>
      <c r="D46" s="1664"/>
      <c r="E46" s="1664"/>
      <c r="F46" s="1664"/>
      <c r="G46" s="1655"/>
      <c r="P46" s="1514"/>
      <c r="Q46" s="1514"/>
      <c r="S46" s="1561">
        <v>7</v>
      </c>
      <c r="T46" s="1660">
        <v>0.05</v>
      </c>
      <c r="V46" s="1658">
        <v>8</v>
      </c>
      <c r="W46" s="1659">
        <f>IF(COUNTA(V$39:V46)&lt;$W$36,W45+$W$35,$G$31)</f>
        <v>88</v>
      </c>
    </row>
    <row r="47" spans="2:26">
      <c r="B47" s="1599" t="str">
        <f>IF($G$19&lt;&gt;"Long Term","Multifamily Annual Rent - STR","")</f>
        <v>Multifamily Annual Rent - STR</v>
      </c>
      <c r="C47" s="1666">
        <f t="shared" ref="C47:F48" si="2">C43*12</f>
        <v>230400</v>
      </c>
      <c r="D47" s="1666">
        <f t="shared" si="2"/>
        <v>2053548.717948718</v>
      </c>
      <c r="E47" s="1666">
        <f t="shared" si="2"/>
        <v>1479202.2478386166</v>
      </c>
      <c r="F47" s="1666">
        <f t="shared" si="2"/>
        <v>0</v>
      </c>
      <c r="G47" s="1655">
        <f>SUM(C47:F47)</f>
        <v>3763150.9657873344</v>
      </c>
      <c r="I47" s="1533" t="s">
        <v>1051</v>
      </c>
      <c r="J47" s="1534"/>
      <c r="K47" s="1534"/>
      <c r="L47" s="1669"/>
      <c r="P47" s="1514"/>
      <c r="Q47" s="1514"/>
      <c r="S47" s="1561">
        <v>8</v>
      </c>
      <c r="T47" s="1660">
        <v>0.05</v>
      </c>
      <c r="V47" s="1658">
        <v>9</v>
      </c>
      <c r="W47" s="1659">
        <f>IF(COUNTA(V$39:V47)&lt;$W$36,W46+$W$35,$G$31)</f>
        <v>99</v>
      </c>
    </row>
    <row r="48" spans="2:26" ht="12.95" customHeight="1">
      <c r="B48" s="1599" t="str">
        <f>IF($G$19&lt;&gt;"Short Term","Multifamily Annual Rent - LTL","")</f>
        <v/>
      </c>
      <c r="C48" s="1666">
        <f t="shared" si="2"/>
        <v>0</v>
      </c>
      <c r="D48" s="1666">
        <f t="shared" si="2"/>
        <v>0</v>
      </c>
      <c r="E48" s="1666">
        <f t="shared" si="2"/>
        <v>0</v>
      </c>
      <c r="F48" s="1666">
        <f t="shared" si="2"/>
        <v>0</v>
      </c>
      <c r="G48" s="1655">
        <f>SUM(C48:F48)</f>
        <v>0</v>
      </c>
      <c r="I48" s="1670" t="s">
        <v>1052</v>
      </c>
      <c r="J48" s="1541"/>
      <c r="K48" s="1541"/>
      <c r="L48" s="1671" t="s">
        <v>1053</v>
      </c>
      <c r="P48" s="1514"/>
      <c r="Q48" s="1514"/>
      <c r="S48" s="1561">
        <v>9</v>
      </c>
      <c r="T48" s="1660">
        <v>0.05</v>
      </c>
      <c r="V48" s="1658">
        <v>10</v>
      </c>
      <c r="W48" s="1659">
        <f>IF(COUNTA(V$39:V48)&lt;$W$36,W47+$W$35,$G$31)</f>
        <v>110</v>
      </c>
    </row>
    <row r="49" spans="2:23">
      <c r="B49" s="1672" t="s">
        <v>1054</v>
      </c>
      <c r="C49" s="1673">
        <f>SUM(C47:C48)</f>
        <v>230400</v>
      </c>
      <c r="D49" s="1673">
        <f>SUM(D47:D48)</f>
        <v>2053548.717948718</v>
      </c>
      <c r="E49" s="1673">
        <f>SUM(E47:E48)</f>
        <v>1479202.2478386166</v>
      </c>
      <c r="F49" s="1673">
        <f>SUM(F47:F48)</f>
        <v>0</v>
      </c>
      <c r="G49" s="1674">
        <f>SUM(G47:G48)</f>
        <v>3763150.9657873344</v>
      </c>
      <c r="I49" s="1538" t="s">
        <v>1055</v>
      </c>
      <c r="L49" s="1665">
        <v>30</v>
      </c>
      <c r="S49" s="1582">
        <v>10</v>
      </c>
      <c r="T49" s="1675">
        <v>0.05</v>
      </c>
      <c r="V49" s="1658">
        <v>11</v>
      </c>
      <c r="W49" s="1659">
        <f>IF(COUNTA(V$39:V49)&lt;$W$36,W48+$W$35,$G$31)</f>
        <v>121</v>
      </c>
    </row>
    <row r="50" spans="2:23">
      <c r="I50" s="1538" t="s">
        <v>1056</v>
      </c>
      <c r="L50" s="1665">
        <v>30</v>
      </c>
      <c r="V50" s="1676">
        <v>12</v>
      </c>
      <c r="W50" s="1677">
        <f>IF(COUNTA(V$39:V50)&lt;$W$36,W49+$W$35,$G$31)</f>
        <v>131</v>
      </c>
    </row>
    <row r="51" spans="2:23">
      <c r="B51" s="1678" t="str">
        <f>+IF(G25="Upfront","FF&amp;E",G25)</f>
        <v>FF&amp;E</v>
      </c>
      <c r="C51" s="1679"/>
      <c r="D51" s="1680"/>
      <c r="E51" s="1680"/>
      <c r="F51" s="1680"/>
      <c r="G51" s="1681"/>
      <c r="I51" s="1538" t="s">
        <v>1057</v>
      </c>
      <c r="L51" s="1665">
        <v>30</v>
      </c>
    </row>
    <row r="52" spans="2:23">
      <c r="B52" s="1682" t="s">
        <v>316</v>
      </c>
      <c r="C52" s="1597" t="s">
        <v>165</v>
      </c>
      <c r="D52" s="1597" t="s">
        <v>1006</v>
      </c>
      <c r="E52" s="1597" t="s">
        <v>189</v>
      </c>
      <c r="F52" s="1597" t="s">
        <v>190</v>
      </c>
      <c r="G52" s="1598" t="s">
        <v>1058</v>
      </c>
      <c r="I52" s="1538" t="s">
        <v>1059</v>
      </c>
      <c r="L52" s="1665">
        <v>35</v>
      </c>
    </row>
    <row r="53" spans="2:23">
      <c r="B53" s="1683">
        <v>1</v>
      </c>
      <c r="C53" s="1684"/>
      <c r="D53" s="1684"/>
      <c r="E53" s="1684"/>
      <c r="F53" s="1684"/>
      <c r="G53" s="1685">
        <f>IFERROR(SUMPRODUCT(C53:F53,$C$31:$F$31)/$G$31,"")</f>
        <v>0</v>
      </c>
      <c r="I53" s="1538" t="s">
        <v>1060</v>
      </c>
      <c r="L53" s="1665">
        <v>28</v>
      </c>
    </row>
    <row r="54" spans="2:23">
      <c r="B54" s="1683">
        <v>2</v>
      </c>
      <c r="C54" s="1684"/>
      <c r="D54" s="1684"/>
      <c r="E54" s="1684"/>
      <c r="F54" s="1684"/>
      <c r="G54" s="1685">
        <f t="shared" ref="G54:G55" si="3">IFERROR(SUMPRODUCT(C54:F54,$C$31:$F$31)/$G$31,"")</f>
        <v>0</v>
      </c>
      <c r="I54" s="1686" t="s">
        <v>1061</v>
      </c>
      <c r="J54" s="1687"/>
      <c r="K54" s="1687"/>
      <c r="L54" s="1688">
        <f>AVERAGE(L49:L53)</f>
        <v>30.6</v>
      </c>
    </row>
    <row r="55" spans="2:23">
      <c r="B55" s="1689">
        <v>3</v>
      </c>
      <c r="C55" s="1690"/>
      <c r="D55" s="1690"/>
      <c r="E55" s="1690"/>
      <c r="F55" s="1690"/>
      <c r="G55" s="1691">
        <f t="shared" si="3"/>
        <v>0</v>
      </c>
    </row>
    <row r="56" spans="2:23">
      <c r="I56" s="1645" t="s">
        <v>1062</v>
      </c>
    </row>
    <row r="57" spans="2:23">
      <c r="B57" s="1536" t="s">
        <v>1063</v>
      </c>
      <c r="C57" s="1652"/>
      <c r="D57" s="1692"/>
      <c r="E57" s="1692"/>
      <c r="F57" s="1692"/>
      <c r="G57" s="1693"/>
    </row>
    <row r="58" spans="2:23">
      <c r="B58" s="1682" t="s">
        <v>316</v>
      </c>
      <c r="C58" s="1597" t="s">
        <v>165</v>
      </c>
      <c r="D58" s="1597" t="s">
        <v>1006</v>
      </c>
      <c r="E58" s="1597" t="s">
        <v>189</v>
      </c>
      <c r="F58" s="1597" t="s">
        <v>190</v>
      </c>
      <c r="G58" s="1598" t="s">
        <v>1058</v>
      </c>
    </row>
    <row r="59" spans="2:23">
      <c r="B59" s="1694" t="s">
        <v>1064</v>
      </c>
      <c r="C59" s="1695"/>
      <c r="D59" s="1695"/>
      <c r="E59" s="1695"/>
      <c r="F59" s="1695"/>
      <c r="G59" s="1696"/>
    </row>
    <row r="60" spans="2:23" ht="12.95" customHeight="1">
      <c r="B60" s="1683">
        <v>1</v>
      </c>
      <c r="C60" s="1684"/>
      <c r="D60" s="1684"/>
      <c r="E60" s="1684"/>
      <c r="F60" s="1684"/>
      <c r="G60" s="1685">
        <f>IFERROR(SUMPRODUCT(C60:F60,$C$31:$F$31)/SUM($C$29:$F$29),"")</f>
        <v>0</v>
      </c>
    </row>
    <row r="61" spans="2:23">
      <c r="B61" s="1697" t="s">
        <v>1065</v>
      </c>
      <c r="C61" s="1698">
        <v>17500</v>
      </c>
      <c r="D61" s="1698">
        <v>18600</v>
      </c>
      <c r="E61" s="1698">
        <v>25000</v>
      </c>
      <c r="F61" s="1698">
        <v>29440</v>
      </c>
      <c r="G61" s="1691">
        <f>SUMPRODUCT(C61:F61,C31:F31)</f>
        <v>2673000</v>
      </c>
      <c r="I61" s="1793">
        <f>G61/131</f>
        <v>20404.580152671755</v>
      </c>
      <c r="O61" s="1699"/>
    </row>
    <row r="62" spans="2:23" hidden="1">
      <c r="B62" s="1538" t="s">
        <v>1066</v>
      </c>
      <c r="G62" s="1586">
        <v>0</v>
      </c>
      <c r="O62" s="1699"/>
    </row>
    <row r="63" spans="2:23" hidden="1">
      <c r="B63" s="1538" t="s">
        <v>1067</v>
      </c>
      <c r="C63" s="1485" t="s">
        <v>257</v>
      </c>
      <c r="D63" s="1485" t="s">
        <v>257</v>
      </c>
      <c r="E63" s="1485" t="s">
        <v>257</v>
      </c>
      <c r="F63" s="1485" t="s">
        <v>257</v>
      </c>
      <c r="G63" s="1700">
        <f>G61/G31</f>
        <v>20404.580152671755</v>
      </c>
    </row>
    <row r="64" spans="2:23" hidden="1">
      <c r="B64" s="1538" t="s">
        <v>1068</v>
      </c>
      <c r="C64" s="1485" t="s">
        <v>257</v>
      </c>
      <c r="D64" s="1485" t="s">
        <v>257</v>
      </c>
      <c r="E64" s="1485" t="s">
        <v>257</v>
      </c>
      <c r="F64" s="1485" t="s">
        <v>257</v>
      </c>
      <c r="G64" s="1701">
        <v>1</v>
      </c>
    </row>
    <row r="65" spans="2:9" hidden="1">
      <c r="B65" s="1538" t="s">
        <v>1069</v>
      </c>
      <c r="C65" s="1485" t="s">
        <v>257</v>
      </c>
      <c r="D65" s="1485" t="s">
        <v>257</v>
      </c>
      <c r="E65" s="1485" t="s">
        <v>257</v>
      </c>
      <c r="F65" s="1485" t="s">
        <v>257</v>
      </c>
      <c r="G65" s="1700">
        <f>G61*G64</f>
        <v>2673000</v>
      </c>
    </row>
    <row r="66" spans="2:9" hidden="1">
      <c r="B66" s="1538" t="s">
        <v>1070</v>
      </c>
      <c r="G66" s="1700">
        <f>(1-G64)*G61</f>
        <v>0</v>
      </c>
    </row>
    <row r="67" spans="2:9" hidden="1">
      <c r="B67" s="1538" t="s">
        <v>1071</v>
      </c>
      <c r="C67" s="1702"/>
      <c r="D67" s="1702"/>
      <c r="E67" s="1702"/>
      <c r="F67" s="1702"/>
      <c r="G67" s="1703">
        <v>5</v>
      </c>
    </row>
    <row r="68" spans="2:9" hidden="1">
      <c r="B68" s="1563" t="s">
        <v>1072</v>
      </c>
      <c r="C68" s="1704"/>
      <c r="D68" s="1704"/>
      <c r="E68" s="1704"/>
      <c r="F68" s="1704"/>
      <c r="G68" s="1705">
        <f>G62*G65/G67</f>
        <v>0</v>
      </c>
    </row>
    <row r="70" spans="2:9" ht="15">
      <c r="B70" s="1812" t="s">
        <v>316</v>
      </c>
      <c r="C70" s="1813" t="s">
        <v>1148</v>
      </c>
      <c r="D70" s="1813" t="s">
        <v>91</v>
      </c>
      <c r="E70" s="1813" t="s">
        <v>1149</v>
      </c>
      <c r="F70" s="1814" t="s">
        <v>1150</v>
      </c>
      <c r="G70" s="1814" t="s">
        <v>1151</v>
      </c>
      <c r="H70" s="1813"/>
      <c r="I70" s="1813" t="s">
        <v>1152</v>
      </c>
    </row>
    <row r="71" spans="2:9">
      <c r="B71" s="1550" t="s">
        <v>165</v>
      </c>
      <c r="C71" s="1815">
        <f>C29</f>
        <v>12</v>
      </c>
      <c r="D71" s="1816">
        <f>$L$27</f>
        <v>0.7</v>
      </c>
      <c r="E71" s="1817">
        <f>$L$15</f>
        <v>271</v>
      </c>
      <c r="F71" s="1684">
        <f>+E71*(1+$T$6)^($G$24)</f>
        <v>296.12901699999998</v>
      </c>
      <c r="G71" s="1822">
        <v>0</v>
      </c>
      <c r="H71" s="1649"/>
      <c r="I71" s="1649">
        <f>+F71*(1+G71)</f>
        <v>296.12901699999998</v>
      </c>
    </row>
    <row r="72" spans="2:9">
      <c r="B72" s="1550" t="s">
        <v>1153</v>
      </c>
      <c r="C72" s="1815">
        <f>D29</f>
        <v>80</v>
      </c>
      <c r="D72" s="1816">
        <f t="shared" ref="D72:D73" si="4">$L$27</f>
        <v>0.7</v>
      </c>
      <c r="E72" s="1817">
        <f t="shared" ref="E72:E73" si="5">$L$15</f>
        <v>271</v>
      </c>
      <c r="F72" s="1684">
        <f t="shared" ref="F72:F73" si="6">+E72*(1+$T$6)^($G$24)</f>
        <v>296.12901699999998</v>
      </c>
      <c r="G72" s="1822">
        <v>0</v>
      </c>
      <c r="H72" s="1649"/>
      <c r="I72" s="1649">
        <f>+F72*(1+G72)</f>
        <v>296.12901699999998</v>
      </c>
    </row>
    <row r="73" spans="2:9">
      <c r="B73" s="1550" t="s">
        <v>1154</v>
      </c>
      <c r="C73" s="1815">
        <f>E29</f>
        <v>39</v>
      </c>
      <c r="D73" s="1816">
        <f t="shared" si="4"/>
        <v>0.7</v>
      </c>
      <c r="E73" s="1817">
        <f t="shared" si="5"/>
        <v>271</v>
      </c>
      <c r="F73" s="1684">
        <f t="shared" si="6"/>
        <v>296.12901699999998</v>
      </c>
      <c r="G73" s="1822">
        <v>0</v>
      </c>
      <c r="H73" s="1649"/>
      <c r="I73" s="1649">
        <f>+F73*(1+G73)</f>
        <v>296.12901699999998</v>
      </c>
    </row>
    <row r="74" spans="2:9">
      <c r="B74" s="1550" t="s">
        <v>1155</v>
      </c>
      <c r="C74" s="1815"/>
      <c r="D74" s="1816"/>
      <c r="E74" s="1817"/>
      <c r="F74" s="1684"/>
      <c r="G74" s="1818"/>
      <c r="H74" s="1649"/>
      <c r="I74" s="1649"/>
    </row>
    <row r="75" spans="2:9">
      <c r="B75" s="1574" t="s">
        <v>848</v>
      </c>
      <c r="C75" s="1819">
        <f>SUM(C71:C74)</f>
        <v>131</v>
      </c>
      <c r="D75" s="1820">
        <f>SUMPRODUCT(D71:D74,$C$71:$C$74)/$C$75</f>
        <v>0.70000000000000007</v>
      </c>
      <c r="E75" s="1673">
        <f>SUMPRODUCT(E71:E74,$C$71:$C$74)/$C$75</f>
        <v>271</v>
      </c>
      <c r="F75" s="1673">
        <f>SUMPRODUCT(F71:F74,$C$71:$C$74)/$C$75</f>
        <v>296.12901699999998</v>
      </c>
      <c r="G75" s="1821"/>
      <c r="H75" s="1673"/>
      <c r="I75" s="1673">
        <f>SUMPRODUCT(I71:I74,$C$71:$C$74)/$C$75</f>
        <v>296.12901699999998</v>
      </c>
    </row>
    <row r="77" spans="2:9">
      <c r="I77" s="1664">
        <f>I75-$L$15</f>
        <v>25.129016999999976</v>
      </c>
    </row>
  </sheetData>
  <dataValidations disablePrompts="1" count="2">
    <dataValidation type="list" allowBlank="1" showInputMessage="1" showErrorMessage="1" sqref="G19" xr:uid="{01C30A1A-F10C-4748-BBCF-A69A3989D20A}">
      <formula1>$O$6:$Q$6</formula1>
    </dataValidation>
    <dataValidation type="list" allowBlank="1" showInputMessage="1" showErrorMessage="1" sqref="W6" xr:uid="{2C6615E0-8AA6-4769-BD94-59669FA2E470}">
      <formula1>"Minimum Payment,Prioritized Hurdle"</formula1>
    </dataValidation>
  </dataValidations>
  <pageMargins left="0.7" right="0.7" top="0.75" bottom="0.75" header="0.3" footer="0.3"/>
  <pageSetup scale="27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9B9056C-2704-4BAA-B1F9-334ACE1509E2}">
          <x14:formula1>
            <xm:f>'Seasonality MH'!$B$21:$B$70</xm:f>
          </x14:formula1>
          <xm:sqref>G8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76E"/>
    <pageSetUpPr fitToPage="1"/>
  </sheetPr>
  <dimension ref="A2:U92"/>
  <sheetViews>
    <sheetView showGridLines="0" topLeftCell="A8" zoomScale="70" zoomScaleNormal="70" zoomScaleSheetLayoutView="85" workbookViewId="0">
      <selection activeCell="X22" sqref="X22"/>
    </sheetView>
  </sheetViews>
  <sheetFormatPr defaultColWidth="12.42578125" defaultRowHeight="14.25" outlineLevelRow="1" outlineLevelCol="1"/>
  <cols>
    <col min="1" max="1" width="4" style="84" customWidth="1"/>
    <col min="2" max="2" width="21" style="84" customWidth="1"/>
    <col min="3" max="3" width="42.85546875" style="84" bestFit="1" customWidth="1"/>
    <col min="4" max="4" width="42.85546875" style="85" hidden="1" customWidth="1" outlineLevel="1"/>
    <col min="5" max="5" width="8.28515625" style="328" bestFit="1" customWidth="1" collapsed="1"/>
    <col min="6" max="6" width="8.28515625" style="328" customWidth="1"/>
    <col min="7" max="8" width="25.42578125" style="328" hidden="1" customWidth="1" outlineLevel="1"/>
    <col min="9" max="10" width="29.85546875" style="328" hidden="1" customWidth="1" outlineLevel="1"/>
    <col min="11" max="11" width="29.85546875" style="76" customWidth="1" collapsed="1"/>
    <col min="12" max="12" width="178.85546875" style="76" bestFit="1" customWidth="1"/>
    <col min="13" max="13" width="4" style="84" customWidth="1"/>
    <col min="14" max="14" width="16.42578125" style="84" customWidth="1"/>
    <col min="15" max="15" width="45.42578125" style="84" hidden="1" customWidth="1" outlineLevel="1"/>
    <col min="16" max="16" width="19.28515625" style="84" hidden="1" customWidth="1" outlineLevel="1"/>
    <col min="17" max="19" width="14.85546875" style="84" hidden="1" customWidth="1" outlineLevel="1"/>
    <col min="20" max="20" width="0.85546875" style="84" customWidth="1" collapsed="1"/>
    <col min="21" max="16384" width="12.42578125" style="84"/>
  </cols>
  <sheetData>
    <row r="2" spans="1:20">
      <c r="K2" s="1305"/>
    </row>
    <row r="3" spans="1:20">
      <c r="P3" s="329"/>
      <c r="Q3" s="329"/>
      <c r="R3" s="329"/>
      <c r="S3" s="329"/>
      <c r="T3" s="329"/>
    </row>
    <row r="4" spans="1:20">
      <c r="P4" s="329"/>
      <c r="Q4" s="329"/>
      <c r="R4" s="329"/>
      <c r="S4" s="329"/>
      <c r="T4" s="329"/>
    </row>
    <row r="5" spans="1:20" ht="21" thickBot="1">
      <c r="B5" s="330" t="s">
        <v>317</v>
      </c>
      <c r="C5" s="331"/>
      <c r="D5" s="857"/>
      <c r="E5" s="332"/>
      <c r="F5" s="332"/>
      <c r="G5" s="332"/>
      <c r="H5" s="332"/>
      <c r="I5" s="332"/>
      <c r="J5" s="332"/>
      <c r="K5" s="333"/>
      <c r="L5" s="333"/>
      <c r="P5" s="329"/>
      <c r="R5" s="329"/>
      <c r="S5" s="329"/>
      <c r="T5" s="329"/>
    </row>
    <row r="6" spans="1:20" ht="15" thickTop="1">
      <c r="P6" s="329"/>
      <c r="Q6" s="329"/>
      <c r="R6" s="329"/>
      <c r="S6" s="329"/>
      <c r="T6" s="329"/>
    </row>
    <row r="7" spans="1:20" ht="26.25">
      <c r="A7" s="103"/>
      <c r="B7" s="334" t="s">
        <v>263</v>
      </c>
      <c r="C7" s="334" t="s">
        <v>264</v>
      </c>
      <c r="D7" s="727" t="s">
        <v>516</v>
      </c>
      <c r="E7" s="335" t="s">
        <v>405</v>
      </c>
      <c r="F7" s="335"/>
      <c r="G7" s="335" t="s">
        <v>789</v>
      </c>
      <c r="H7" s="335" t="s">
        <v>790</v>
      </c>
      <c r="I7" s="726" t="s">
        <v>477</v>
      </c>
      <c r="J7" s="726" t="s">
        <v>478</v>
      </c>
      <c r="K7" s="727" t="s">
        <v>11</v>
      </c>
      <c r="L7" s="336" t="s">
        <v>336</v>
      </c>
      <c r="P7" s="337"/>
      <c r="Q7" s="338"/>
    </row>
    <row r="8" spans="1:20" ht="18.95" customHeight="1">
      <c r="B8" s="339" t="s">
        <v>265</v>
      </c>
      <c r="C8" s="340" t="s">
        <v>266</v>
      </c>
      <c r="D8" s="858"/>
      <c r="E8" s="341"/>
      <c r="F8" s="341"/>
      <c r="G8" s="341"/>
      <c r="H8" s="341"/>
      <c r="I8" s="728"/>
      <c r="J8" s="728"/>
      <c r="K8" s="729"/>
      <c r="L8" s="342"/>
    </row>
    <row r="9" spans="1:20" ht="18.95" customHeight="1">
      <c r="B9" s="343" t="s">
        <v>267</v>
      </c>
      <c r="C9" s="344" t="s">
        <v>268</v>
      </c>
      <c r="D9" s="859" t="s">
        <v>43</v>
      </c>
      <c r="E9" s="345"/>
      <c r="F9" s="345"/>
      <c r="G9" s="1440">
        <v>5200000</v>
      </c>
      <c r="H9" s="1433">
        <f>K9-G9</f>
        <v>0</v>
      </c>
      <c r="I9" s="899">
        <f>K9</f>
        <v>5200000</v>
      </c>
      <c r="J9" s="899"/>
      <c r="K9" s="730">
        <f>Assumptions!N12</f>
        <v>5200000</v>
      </c>
      <c r="L9" s="346"/>
    </row>
    <row r="10" spans="1:20" ht="18.95" customHeight="1">
      <c r="B10" s="343">
        <v>115</v>
      </c>
      <c r="C10" s="344" t="s">
        <v>332</v>
      </c>
      <c r="D10" s="859" t="s">
        <v>511</v>
      </c>
      <c r="E10" s="348">
        <v>0</v>
      </c>
      <c r="F10" s="345"/>
      <c r="G10" s="1440">
        <v>0</v>
      </c>
      <c r="H10" s="1433">
        <f t="shared" ref="H10:H18" si="0">K10-G10</f>
        <v>0</v>
      </c>
      <c r="I10" s="720">
        <f t="shared" ref="I10:I18" si="1">K10</f>
        <v>0</v>
      </c>
      <c r="J10" s="720"/>
      <c r="K10" s="731">
        <f>E10*K9</f>
        <v>0</v>
      </c>
      <c r="L10" s="346"/>
    </row>
    <row r="11" spans="1:20" ht="18.95" customHeight="1">
      <c r="B11" s="343">
        <v>120</v>
      </c>
      <c r="C11" s="344" t="s">
        <v>333</v>
      </c>
      <c r="D11" s="859" t="s">
        <v>511</v>
      </c>
      <c r="E11" s="348">
        <v>0</v>
      </c>
      <c r="F11" s="345"/>
      <c r="G11" s="1440">
        <v>0</v>
      </c>
      <c r="H11" s="1433">
        <f t="shared" si="0"/>
        <v>0</v>
      </c>
      <c r="I11" s="720">
        <f t="shared" si="1"/>
        <v>0</v>
      </c>
      <c r="J11" s="720"/>
      <c r="K11" s="731">
        <f>K9*E11</f>
        <v>0</v>
      </c>
      <c r="L11" s="346"/>
      <c r="N11" s="350"/>
    </row>
    <row r="12" spans="1:20" ht="18.95" customHeight="1">
      <c r="B12" s="343">
        <v>130</v>
      </c>
      <c r="C12" s="344" t="s">
        <v>791</v>
      </c>
      <c r="D12" s="859" t="s">
        <v>511</v>
      </c>
      <c r="E12" s="348"/>
      <c r="F12" s="345"/>
      <c r="G12" s="1440">
        <v>12017</v>
      </c>
      <c r="H12" s="1433">
        <f t="shared" si="0"/>
        <v>7983</v>
      </c>
      <c r="I12" s="720">
        <f>K12</f>
        <v>20000</v>
      </c>
      <c r="J12" s="720"/>
      <c r="K12" s="732">
        <v>20000</v>
      </c>
      <c r="L12" s="346"/>
      <c r="N12" s="350"/>
    </row>
    <row r="13" spans="1:20" ht="18.95" customHeight="1">
      <c r="B13" s="343">
        <v>135</v>
      </c>
      <c r="C13" s="344" t="s">
        <v>334</v>
      </c>
      <c r="D13" s="859" t="s">
        <v>511</v>
      </c>
      <c r="E13" s="345"/>
      <c r="F13" s="345"/>
      <c r="G13" s="1440">
        <v>19241</v>
      </c>
      <c r="H13" s="1433">
        <f t="shared" ca="1" si="0"/>
        <v>37936.836153691467</v>
      </c>
      <c r="I13" s="720">
        <f ca="1">K13</f>
        <v>57177.836153691467</v>
      </c>
      <c r="J13" s="1195"/>
      <c r="K13" s="968">
        <f ca="1">19241+0.115*((Dashboard!$D$42-2000)/100)</f>
        <v>57177.836153691467</v>
      </c>
      <c r="L13" s="352" t="s">
        <v>335</v>
      </c>
    </row>
    <row r="14" spans="1:20" ht="15">
      <c r="B14" s="343">
        <v>140</v>
      </c>
      <c r="C14" s="344" t="s">
        <v>269</v>
      </c>
      <c r="D14" s="859" t="s">
        <v>511</v>
      </c>
      <c r="E14" s="345"/>
      <c r="F14" s="345"/>
      <c r="G14" s="1440">
        <v>4542.57</v>
      </c>
      <c r="H14" s="1433">
        <f t="shared" si="0"/>
        <v>0</v>
      </c>
      <c r="I14" s="720">
        <f t="shared" si="1"/>
        <v>4542.57</v>
      </c>
      <c r="J14" s="720"/>
      <c r="K14" s="960">
        <v>4542.57</v>
      </c>
      <c r="L14" s="961" t="s">
        <v>701</v>
      </c>
    </row>
    <row r="15" spans="1:20" ht="18.95" customHeight="1">
      <c r="B15" s="343">
        <v>150</v>
      </c>
      <c r="C15" s="344" t="s">
        <v>270</v>
      </c>
      <c r="D15" s="859" t="s">
        <v>511</v>
      </c>
      <c r="E15" s="345"/>
      <c r="F15" s="345"/>
      <c r="G15" s="1440">
        <v>0</v>
      </c>
      <c r="H15" s="1433">
        <f t="shared" si="0"/>
        <v>2850</v>
      </c>
      <c r="I15" s="720">
        <f t="shared" si="1"/>
        <v>2850</v>
      </c>
      <c r="J15" s="720"/>
      <c r="K15" s="960">
        <v>2850</v>
      </c>
      <c r="L15" s="961"/>
    </row>
    <row r="16" spans="1:20" ht="18.95" customHeight="1">
      <c r="B16" s="343">
        <v>160</v>
      </c>
      <c r="C16" s="344" t="s">
        <v>271</v>
      </c>
      <c r="D16" s="859" t="s">
        <v>511</v>
      </c>
      <c r="E16" s="345"/>
      <c r="F16" s="345"/>
      <c r="G16" s="1440">
        <v>25506.11</v>
      </c>
      <c r="H16" s="1433">
        <f t="shared" si="0"/>
        <v>4950</v>
      </c>
      <c r="I16" s="720">
        <f t="shared" si="1"/>
        <v>30456.11</v>
      </c>
      <c r="J16" s="720"/>
      <c r="K16" s="960">
        <f>12500+13006.11+4950</f>
        <v>30456.11</v>
      </c>
      <c r="L16" s="961" t="s">
        <v>700</v>
      </c>
    </row>
    <row r="17" spans="2:21" ht="18.95" customHeight="1">
      <c r="B17" s="343">
        <v>170</v>
      </c>
      <c r="C17" s="344" t="s">
        <v>272</v>
      </c>
      <c r="D17" s="859" t="s">
        <v>511</v>
      </c>
      <c r="E17" s="345"/>
      <c r="F17" s="345"/>
      <c r="G17" s="1440">
        <v>16350</v>
      </c>
      <c r="H17" s="1433">
        <f t="shared" si="0"/>
        <v>0</v>
      </c>
      <c r="I17" s="720">
        <f t="shared" si="1"/>
        <v>16350</v>
      </c>
      <c r="J17" s="720"/>
      <c r="K17" s="960">
        <v>16350</v>
      </c>
      <c r="L17" s="961" t="s">
        <v>1197</v>
      </c>
    </row>
    <row r="18" spans="2:21" ht="21.75" customHeight="1">
      <c r="B18" s="343">
        <v>180</v>
      </c>
      <c r="C18" s="344" t="s">
        <v>273</v>
      </c>
      <c r="D18" s="859" t="s">
        <v>511</v>
      </c>
      <c r="E18" s="345"/>
      <c r="F18" s="345"/>
      <c r="G18" s="1440">
        <v>16424.28</v>
      </c>
      <c r="H18" s="1433">
        <f t="shared" si="0"/>
        <v>3575.7200000000012</v>
      </c>
      <c r="I18" s="720">
        <f t="shared" si="1"/>
        <v>20000</v>
      </c>
      <c r="J18" s="720"/>
      <c r="K18" s="960">
        <v>20000</v>
      </c>
      <c r="L18" s="961"/>
      <c r="O18" s="890" t="s">
        <v>234</v>
      </c>
      <c r="P18" s="890"/>
      <c r="Q18" s="890"/>
      <c r="R18" s="890"/>
      <c r="S18" s="890"/>
      <c r="U18" s="347"/>
    </row>
    <row r="19" spans="2:21" ht="18.95" customHeight="1" thickBot="1">
      <c r="B19" s="359"/>
      <c r="C19" s="360" t="s">
        <v>274</v>
      </c>
      <c r="D19" s="860"/>
      <c r="E19" s="361"/>
      <c r="F19" s="361"/>
      <c r="G19" s="1431">
        <f>SUM(G9:G18)</f>
        <v>5294080.9600000009</v>
      </c>
      <c r="H19" s="1431">
        <f ca="1">SUM(H9:H18)</f>
        <v>57295.556153691468</v>
      </c>
      <c r="I19" s="721">
        <f ca="1">SUM(I9:I18)</f>
        <v>5351376.5161536923</v>
      </c>
      <c r="J19" s="721">
        <f>SUM(J9:J18)</f>
        <v>0</v>
      </c>
      <c r="K19" s="733">
        <f ca="1">SUM(K9:K18)</f>
        <v>5351376.5161536923</v>
      </c>
      <c r="L19" s="362"/>
      <c r="P19" s="349">
        <v>44926</v>
      </c>
      <c r="Q19" s="349">
        <f>EOMONTH(P19,12)</f>
        <v>45291</v>
      </c>
      <c r="R19" s="349">
        <f>EOMONTH(Q19,12)</f>
        <v>45657</v>
      </c>
      <c r="S19" s="349">
        <f>EOMONTH(R19,12)</f>
        <v>46022</v>
      </c>
      <c r="U19" s="347"/>
    </row>
    <row r="20" spans="2:21" ht="18.95" customHeight="1">
      <c r="B20" s="201"/>
      <c r="C20" s="214"/>
      <c r="D20" s="861"/>
      <c r="E20" s="364"/>
      <c r="F20" s="364"/>
      <c r="G20" s="1434"/>
      <c r="H20" s="1434"/>
      <c r="I20" s="722"/>
      <c r="J20" s="722"/>
      <c r="K20" s="734"/>
      <c r="O20" s="84" t="s">
        <v>230</v>
      </c>
      <c r="P20" s="351">
        <f>'Tax Projection'!B15</f>
        <v>5200000</v>
      </c>
      <c r="Q20" s="351">
        <f ca="1">'Tax Projection'!B20</f>
        <v>32108208.529999997</v>
      </c>
      <c r="R20" s="351">
        <f ca="1">'Tax Projection'!B26</f>
        <v>43640297.899999999</v>
      </c>
      <c r="S20" s="351">
        <f ca="1">'Tax Projection'!B32</f>
        <v>44160297.899999999</v>
      </c>
      <c r="U20" s="347"/>
    </row>
    <row r="21" spans="2:21" ht="18.95" customHeight="1">
      <c r="B21" s="343">
        <v>200</v>
      </c>
      <c r="C21" s="344" t="s">
        <v>275</v>
      </c>
      <c r="D21" s="862"/>
      <c r="E21" s="345"/>
      <c r="F21" s="345"/>
      <c r="G21" s="1433"/>
      <c r="H21" s="1433"/>
      <c r="I21" s="720">
        <f t="shared" ref="I21:I32" si="2">K21</f>
        <v>0</v>
      </c>
      <c r="J21" s="720"/>
      <c r="K21" s="731"/>
      <c r="L21" s="346"/>
      <c r="O21" s="84" t="s">
        <v>231</v>
      </c>
      <c r="P21" s="351">
        <f>P20/Assumptions!$M$77</f>
        <v>39694.656488549619</v>
      </c>
      <c r="Q21" s="351">
        <f ca="1">Q20/Assumptions!$M$77</f>
        <v>245100.82847328242</v>
      </c>
      <c r="R21" s="351">
        <f ca="1">R20/Assumptions!$M$77</f>
        <v>333132.04503816791</v>
      </c>
      <c r="S21" s="351">
        <f ca="1">S20/Assumptions!$M$77</f>
        <v>337101.51068702288</v>
      </c>
      <c r="U21" s="347"/>
    </row>
    <row r="22" spans="2:21" ht="18.95" customHeight="1">
      <c r="B22" s="343">
        <v>210</v>
      </c>
      <c r="C22" s="344" t="s">
        <v>326</v>
      </c>
      <c r="D22" s="859" t="s">
        <v>485</v>
      </c>
      <c r="E22" s="367">
        <f>Assumptions!E62</f>
        <v>7.4999999999999997E-3</v>
      </c>
      <c r="F22" s="367"/>
      <c r="G22" s="1441">
        <v>0</v>
      </c>
      <c r="H22" s="1435">
        <f t="shared" ref="H22:H32" ca="1" si="3">K22-G22</f>
        <v>247429.14882842259</v>
      </c>
      <c r="I22" s="899">
        <f t="shared" ca="1" si="2"/>
        <v>247429.14882842259</v>
      </c>
      <c r="J22" s="899"/>
      <c r="K22" s="735">
        <f ca="1">-'Monthly-CF'!I73</f>
        <v>247429.14882842259</v>
      </c>
      <c r="L22" s="346"/>
      <c r="P22" s="353"/>
      <c r="Q22" s="353"/>
      <c r="R22" s="353"/>
      <c r="S22" s="353"/>
      <c r="U22" s="347"/>
    </row>
    <row r="23" spans="2:21" ht="18.95" customHeight="1">
      <c r="B23" s="343">
        <v>220</v>
      </c>
      <c r="C23" s="344" t="s">
        <v>276</v>
      </c>
      <c r="D23" s="859" t="s">
        <v>80</v>
      </c>
      <c r="E23" s="345"/>
      <c r="F23" s="345"/>
      <c r="G23" s="1440">
        <v>0</v>
      </c>
      <c r="H23" s="1433">
        <f t="shared" ca="1" si="3"/>
        <v>2474291.488284226</v>
      </c>
      <c r="I23" s="899">
        <f t="shared" ca="1" si="2"/>
        <v>2474291.488284226</v>
      </c>
      <c r="J23" s="899"/>
      <c r="K23" s="1354">
        <f ca="1">'Monthly-CF'!I109*7.5%</f>
        <v>2474291.488284226</v>
      </c>
      <c r="L23" s="346" t="s">
        <v>1222</v>
      </c>
      <c r="N23" s="58"/>
      <c r="O23" s="84" t="s">
        <v>692</v>
      </c>
      <c r="P23" s="576">
        <v>0.4</v>
      </c>
      <c r="Q23" s="354">
        <f t="shared" ref="Q23:S23" si="4">P23</f>
        <v>0.4</v>
      </c>
      <c r="R23" s="354">
        <f t="shared" si="4"/>
        <v>0.4</v>
      </c>
      <c r="S23" s="354">
        <f t="shared" si="4"/>
        <v>0.4</v>
      </c>
      <c r="U23" s="347"/>
    </row>
    <row r="24" spans="2:21" ht="18.95" customHeight="1">
      <c r="B24" s="343">
        <v>230</v>
      </c>
      <c r="C24" s="344" t="s">
        <v>93</v>
      </c>
      <c r="D24" s="859" t="s">
        <v>511</v>
      </c>
      <c r="E24" s="345"/>
      <c r="F24" s="345"/>
      <c r="G24" s="1440">
        <v>29810.560000000001</v>
      </c>
      <c r="H24" s="1433">
        <f t="shared" ca="1" si="3"/>
        <v>432120.96365539345</v>
      </c>
      <c r="I24" s="720">
        <f t="shared" ca="1" si="2"/>
        <v>461931.52365539345</v>
      </c>
      <c r="J24" s="720"/>
      <c r="K24" s="1354">
        <f ca="1">SUM('RE Tax'!G43:H43)</f>
        <v>461931.52365539345</v>
      </c>
      <c r="L24" s="346" t="s">
        <v>732</v>
      </c>
      <c r="N24" s="58"/>
      <c r="O24" s="84" t="s">
        <v>232</v>
      </c>
      <c r="P24" s="355">
        <f>'Tax Projection'!B17</f>
        <v>3.3537600000000001E-2</v>
      </c>
      <c r="Q24" s="355">
        <f>'Tax Projection'!B22</f>
        <v>3.4208352000000004E-2</v>
      </c>
      <c r="R24" s="355">
        <f>'Tax Projection'!B28</f>
        <v>3.4892519040000007E-2</v>
      </c>
      <c r="S24" s="355">
        <f>'Tax Projection'!B34</f>
        <v>3.559036942080001E-2</v>
      </c>
      <c r="U24" s="347"/>
    </row>
    <row r="25" spans="2:21" ht="18.95" customHeight="1">
      <c r="B25" s="343">
        <v>240</v>
      </c>
      <c r="C25" s="344" t="s">
        <v>277</v>
      </c>
      <c r="D25" s="859" t="s">
        <v>511</v>
      </c>
      <c r="E25" s="345"/>
      <c r="F25" s="345"/>
      <c r="G25" s="1440">
        <v>3338.3</v>
      </c>
      <c r="H25" s="1433">
        <f t="shared" si="3"/>
        <v>21661.7</v>
      </c>
      <c r="I25" s="720">
        <f t="shared" si="2"/>
        <v>25000</v>
      </c>
      <c r="J25" s="720"/>
      <c r="K25" s="962">
        <v>25000</v>
      </c>
      <c r="L25" s="961" t="s">
        <v>690</v>
      </c>
      <c r="N25" s="58"/>
      <c r="O25" s="84" t="s">
        <v>237</v>
      </c>
      <c r="P25" s="356"/>
      <c r="Q25" s="356"/>
      <c r="R25" s="356"/>
      <c r="S25" s="356"/>
      <c r="U25" s="347"/>
    </row>
    <row r="26" spans="2:21" ht="18.95" customHeight="1">
      <c r="B26" s="343">
        <v>250</v>
      </c>
      <c r="C26" s="344" t="s">
        <v>278</v>
      </c>
      <c r="D26" s="859" t="s">
        <v>511</v>
      </c>
      <c r="E26" s="345"/>
      <c r="F26" s="345"/>
      <c r="G26" s="1440">
        <v>2493.4699999999998</v>
      </c>
      <c r="H26" s="1433">
        <f t="shared" si="3"/>
        <v>-2493.4699999999998</v>
      </c>
      <c r="I26" s="720">
        <f t="shared" si="2"/>
        <v>0</v>
      </c>
      <c r="J26" s="720"/>
      <c r="K26" s="732">
        <v>0</v>
      </c>
      <c r="L26" s="346"/>
      <c r="N26" s="58"/>
      <c r="O26" s="357" t="s">
        <v>233</v>
      </c>
      <c r="P26" s="358">
        <f>P20*P23</f>
        <v>2080000</v>
      </c>
      <c r="Q26" s="358">
        <f ca="1">Q20*Q23</f>
        <v>12843283.412</v>
      </c>
      <c r="R26" s="358">
        <f ca="1">R20*R23</f>
        <v>17456119.16</v>
      </c>
      <c r="S26" s="358">
        <f ca="1">S20*S23</f>
        <v>17664119.16</v>
      </c>
      <c r="U26" s="347"/>
    </row>
    <row r="27" spans="2:21" ht="18.95" customHeight="1">
      <c r="B27" s="343">
        <v>260</v>
      </c>
      <c r="C27" s="344" t="s">
        <v>196</v>
      </c>
      <c r="D27" s="859" t="s">
        <v>511</v>
      </c>
      <c r="E27" s="345"/>
      <c r="F27" s="345"/>
      <c r="G27" s="1440">
        <v>0</v>
      </c>
      <c r="H27" s="1433">
        <f t="shared" si="3"/>
        <v>0</v>
      </c>
      <c r="I27" s="720">
        <f t="shared" si="2"/>
        <v>0</v>
      </c>
      <c r="J27" s="720"/>
      <c r="K27" s="730">
        <f>Assumptions!M69</f>
        <v>0</v>
      </c>
      <c r="L27" s="346"/>
      <c r="N27" s="58"/>
      <c r="P27" s="281"/>
      <c r="Q27" s="281"/>
      <c r="R27" s="281"/>
      <c r="S27" s="281"/>
      <c r="U27" s="347"/>
    </row>
    <row r="28" spans="2:21" ht="18.95" customHeight="1">
      <c r="B28" s="343">
        <v>270</v>
      </c>
      <c r="C28" s="344" t="s">
        <v>279</v>
      </c>
      <c r="D28" s="862"/>
      <c r="E28" s="345"/>
      <c r="F28" s="345"/>
      <c r="G28" s="1440">
        <v>0</v>
      </c>
      <c r="H28" s="1433">
        <f t="shared" si="3"/>
        <v>300000</v>
      </c>
      <c r="I28" s="720">
        <f t="shared" si="2"/>
        <v>300000</v>
      </c>
      <c r="J28" s="720"/>
      <c r="K28" s="730">
        <v>300000</v>
      </c>
      <c r="L28" s="346"/>
      <c r="N28" s="58"/>
      <c r="O28" s="84" t="s">
        <v>235</v>
      </c>
      <c r="P28" s="281">
        <f>P26*P24*(1-P25)</f>
        <v>69758.207999999999</v>
      </c>
      <c r="Q28" s="281">
        <f ca="1">Q26*Q24*(1-Q25)</f>
        <v>439347.5597934571</v>
      </c>
      <c r="R28" s="281">
        <f ca="1">R26*R24*(1-R25)</f>
        <v>609087.97015480895</v>
      </c>
      <c r="S28" s="281">
        <f ca="1">S26*S24*(1-S25)</f>
        <v>628672.5263974315</v>
      </c>
      <c r="U28" s="347"/>
    </row>
    <row r="29" spans="2:21" ht="18.95" customHeight="1">
      <c r="B29" s="343">
        <v>280</v>
      </c>
      <c r="C29" s="344" t="s">
        <v>280</v>
      </c>
      <c r="D29" s="859" t="s">
        <v>511</v>
      </c>
      <c r="E29" s="345"/>
      <c r="F29" s="345"/>
      <c r="G29" s="731">
        <f>+SUM(G30:G32)</f>
        <v>400000</v>
      </c>
      <c r="H29" s="1433">
        <f t="shared" ca="1" si="3"/>
        <v>334905.53177123016</v>
      </c>
      <c r="I29" s="720">
        <f ca="1">K29</f>
        <v>734905.53177123016</v>
      </c>
      <c r="J29" s="720"/>
      <c r="K29" s="731">
        <f ca="1">+SUM(K30:K32)</f>
        <v>734905.53177123016</v>
      </c>
      <c r="L29" s="346"/>
      <c r="N29" s="58"/>
      <c r="P29" s="363"/>
      <c r="U29" s="347"/>
    </row>
    <row r="30" spans="2:21" ht="18.95" customHeight="1">
      <c r="B30" s="370"/>
      <c r="C30" s="371" t="s">
        <v>328</v>
      </c>
      <c r="D30" s="863"/>
      <c r="E30" s="372">
        <v>0.01</v>
      </c>
      <c r="F30" s="736"/>
      <c r="G30" s="1444">
        <v>0</v>
      </c>
      <c r="H30" s="1445">
        <f t="shared" ca="1" si="3"/>
        <v>329905.53177123016</v>
      </c>
      <c r="I30" s="1446">
        <f ca="1">K30</f>
        <v>329905.53177123016</v>
      </c>
      <c r="J30" s="1447"/>
      <c r="K30" s="1447">
        <f ca="1">E30*'Monthly-CF'!$I$109</f>
        <v>329905.53177123016</v>
      </c>
      <c r="L30" s="373"/>
      <c r="O30" s="84" t="s">
        <v>236</v>
      </c>
      <c r="P30" s="281">
        <f>SUM(P28:P29)</f>
        <v>69758.207999999999</v>
      </c>
      <c r="U30" s="347"/>
    </row>
    <row r="31" spans="2:21" ht="18.95" customHeight="1">
      <c r="B31" s="370"/>
      <c r="C31" s="371" t="s">
        <v>591</v>
      </c>
      <c r="D31" s="863"/>
      <c r="E31" s="374"/>
      <c r="F31" s="374"/>
      <c r="G31" s="1448">
        <v>400000</v>
      </c>
      <c r="H31" s="1449">
        <f t="shared" si="3"/>
        <v>0</v>
      </c>
      <c r="I31" s="1446">
        <f t="shared" si="2"/>
        <v>400000</v>
      </c>
      <c r="J31" s="1446"/>
      <c r="K31" s="732">
        <f>G31</f>
        <v>400000</v>
      </c>
      <c r="L31" s="964"/>
      <c r="O31" s="365" t="s">
        <v>337</v>
      </c>
      <c r="P31" s="363"/>
      <c r="Q31" s="366">
        <f ca="1">Q28/Assumptions!$C$34</f>
        <v>3353.7981663622681</v>
      </c>
      <c r="R31" s="366">
        <f ca="1">R28/Assumptions!$C$34</f>
        <v>4649.5264897313664</v>
      </c>
      <c r="S31" s="366">
        <f ca="1">S28/Assumptions!$C$34</f>
        <v>4799.026919064363</v>
      </c>
      <c r="U31" s="347"/>
    </row>
    <row r="32" spans="2:21" ht="18.95" customHeight="1">
      <c r="B32" s="370"/>
      <c r="C32" s="371" t="s">
        <v>329</v>
      </c>
      <c r="D32" s="863"/>
      <c r="E32" s="374"/>
      <c r="F32" s="374"/>
      <c r="G32" s="1448">
        <v>0</v>
      </c>
      <c r="H32" s="1449">
        <f t="shared" si="3"/>
        <v>5000</v>
      </c>
      <c r="I32" s="1446">
        <f t="shared" si="2"/>
        <v>5000</v>
      </c>
      <c r="J32" s="1446"/>
      <c r="K32" s="960">
        <v>5000</v>
      </c>
      <c r="L32" s="373"/>
      <c r="O32" s="365"/>
      <c r="P32" s="363"/>
      <c r="U32" s="347"/>
    </row>
    <row r="33" spans="2:21" ht="18.95" customHeight="1" thickBot="1">
      <c r="B33" s="359"/>
      <c r="C33" s="360" t="s">
        <v>281</v>
      </c>
      <c r="D33" s="860"/>
      <c r="E33" s="361"/>
      <c r="F33" s="361"/>
      <c r="G33" s="1431">
        <f>SUM(G22:G29)</f>
        <v>435642.33</v>
      </c>
      <c r="H33" s="1431">
        <f ca="1">SUM(H22:H29)</f>
        <v>3807915.3625392723</v>
      </c>
      <c r="I33" s="898">
        <f ca="1">SUM(I22:I29)</f>
        <v>4243557.6925392728</v>
      </c>
      <c r="J33" s="737">
        <f t="shared" ref="J33" si="5">SUM(J22:J29)</f>
        <v>0</v>
      </c>
      <c r="K33" s="733">
        <f ca="1">SUM(K22:K29)</f>
        <v>4243557.6925392728</v>
      </c>
      <c r="L33" s="362"/>
      <c r="O33" s="1046"/>
      <c r="P33" s="1034"/>
      <c r="Q33" s="58"/>
      <c r="U33" s="347"/>
    </row>
    <row r="34" spans="2:21" ht="18.95" customHeight="1">
      <c r="B34" s="201"/>
      <c r="C34" s="214"/>
      <c r="D34" s="861"/>
      <c r="E34" s="364"/>
      <c r="F34" s="364"/>
      <c r="G34" s="1434"/>
      <c r="H34" s="1434"/>
      <c r="I34" s="722"/>
      <c r="J34" s="722"/>
      <c r="K34" s="734"/>
      <c r="O34" s="1046"/>
      <c r="P34" s="1035"/>
      <c r="Q34" s="58"/>
      <c r="U34" s="347"/>
    </row>
    <row r="35" spans="2:21">
      <c r="B35" s="343">
        <v>300</v>
      </c>
      <c r="C35" s="344" t="s">
        <v>282</v>
      </c>
      <c r="D35" s="859" t="s">
        <v>511</v>
      </c>
      <c r="E35" s="345"/>
      <c r="F35" s="345"/>
      <c r="G35" s="1440">
        <v>0</v>
      </c>
      <c r="H35" s="1433">
        <f t="shared" ref="H35:H42" si="6">K35-G35</f>
        <v>0</v>
      </c>
      <c r="I35" s="720">
        <f t="shared" ref="I35:I42" si="7">K35</f>
        <v>0</v>
      </c>
      <c r="J35" s="720"/>
      <c r="K35" s="731"/>
      <c r="L35" s="346"/>
    </row>
    <row r="36" spans="2:21" ht="18.95" customHeight="1">
      <c r="B36" s="343">
        <v>310</v>
      </c>
      <c r="C36" s="344" t="s">
        <v>283</v>
      </c>
      <c r="D36" s="859" t="s">
        <v>511</v>
      </c>
      <c r="E36" s="345"/>
      <c r="F36" s="345"/>
      <c r="G36" s="1440">
        <v>1036221.62</v>
      </c>
      <c r="H36" s="1433">
        <f t="shared" si="6"/>
        <v>163778.38</v>
      </c>
      <c r="I36" s="720">
        <f t="shared" si="7"/>
        <v>1200000</v>
      </c>
      <c r="J36" s="720"/>
      <c r="K36" s="960">
        <f>630000+508450+61550</f>
        <v>1200000</v>
      </c>
      <c r="L36" s="961" t="s">
        <v>1196</v>
      </c>
    </row>
    <row r="37" spans="2:21" ht="18.95" customHeight="1">
      <c r="B37" s="343">
        <v>320</v>
      </c>
      <c r="C37" s="344" t="s">
        <v>284</v>
      </c>
      <c r="D37" s="859" t="s">
        <v>511</v>
      </c>
      <c r="E37" s="345"/>
      <c r="F37" s="345"/>
      <c r="G37" s="1440">
        <v>28325</v>
      </c>
      <c r="H37" s="1433">
        <f t="shared" si="6"/>
        <v>1675</v>
      </c>
      <c r="I37" s="720">
        <f t="shared" si="7"/>
        <v>30000</v>
      </c>
      <c r="J37" s="720"/>
      <c r="K37" s="960">
        <v>30000</v>
      </c>
      <c r="L37" s="961" t="s">
        <v>704</v>
      </c>
      <c r="O37" s="369"/>
    </row>
    <row r="38" spans="2:21" ht="18.95" customHeight="1">
      <c r="B38" s="343">
        <v>330</v>
      </c>
      <c r="C38" s="344" t="s">
        <v>285</v>
      </c>
      <c r="D38" s="859" t="s">
        <v>511</v>
      </c>
      <c r="E38" s="345"/>
      <c r="F38" s="345"/>
      <c r="G38" s="1440">
        <v>0</v>
      </c>
      <c r="H38" s="1433">
        <f t="shared" si="6"/>
        <v>25000</v>
      </c>
      <c r="I38" s="720">
        <f t="shared" si="7"/>
        <v>25000</v>
      </c>
      <c r="J38" s="720"/>
      <c r="K38" s="960">
        <v>25000</v>
      </c>
      <c r="L38" s="961" t="s">
        <v>705</v>
      </c>
    </row>
    <row r="39" spans="2:21" ht="18.95" customHeight="1">
      <c r="B39" s="343">
        <v>340</v>
      </c>
      <c r="C39" s="344" t="s">
        <v>286</v>
      </c>
      <c r="D39" s="859" t="s">
        <v>511</v>
      </c>
      <c r="E39" s="345"/>
      <c r="F39" s="345"/>
      <c r="G39" s="1440">
        <v>119035.05</v>
      </c>
      <c r="H39" s="1433">
        <f t="shared" si="6"/>
        <v>39999.999999999985</v>
      </c>
      <c r="I39" s="720">
        <f t="shared" si="7"/>
        <v>159035.04999999999</v>
      </c>
      <c r="J39" s="720"/>
      <c r="K39" s="960">
        <f>119035.05+40000</f>
        <v>159035.04999999999</v>
      </c>
      <c r="L39" s="961" t="s">
        <v>1206</v>
      </c>
    </row>
    <row r="40" spans="2:21" ht="18.95" hidden="1" customHeight="1" outlineLevel="1">
      <c r="B40" s="343">
        <v>350</v>
      </c>
      <c r="C40" s="344" t="s">
        <v>287</v>
      </c>
      <c r="D40" s="859" t="s">
        <v>511</v>
      </c>
      <c r="E40" s="345"/>
      <c r="F40" s="345"/>
      <c r="G40" s="1440">
        <v>0</v>
      </c>
      <c r="H40" s="1433">
        <f t="shared" si="6"/>
        <v>0</v>
      </c>
      <c r="I40" s="720">
        <f t="shared" si="7"/>
        <v>0</v>
      </c>
      <c r="J40" s="720"/>
      <c r="K40" s="960"/>
      <c r="L40" s="961"/>
      <c r="O40" s="363"/>
    </row>
    <row r="41" spans="2:21" ht="18.95" hidden="1" customHeight="1" outlineLevel="1">
      <c r="B41" s="343"/>
      <c r="C41" s="344"/>
      <c r="D41" s="859"/>
      <c r="E41" s="345"/>
      <c r="F41" s="345"/>
      <c r="G41" s="1440">
        <v>0</v>
      </c>
      <c r="H41" s="1433">
        <f t="shared" si="6"/>
        <v>0</v>
      </c>
      <c r="I41" s="720"/>
      <c r="J41" s="720"/>
      <c r="K41" s="960">
        <v>0</v>
      </c>
      <c r="L41" s="961"/>
      <c r="O41" s="363"/>
    </row>
    <row r="42" spans="2:21" ht="18.95" customHeight="1" collapsed="1">
      <c r="B42" s="343">
        <v>370</v>
      </c>
      <c r="C42" s="344" t="s">
        <v>288</v>
      </c>
      <c r="D42" s="859" t="s">
        <v>511</v>
      </c>
      <c r="E42" s="345"/>
      <c r="F42" s="345"/>
      <c r="G42" s="1440">
        <v>660</v>
      </c>
      <c r="H42" s="1433">
        <f t="shared" si="6"/>
        <v>49340</v>
      </c>
      <c r="I42" s="720">
        <f t="shared" si="7"/>
        <v>50000</v>
      </c>
      <c r="J42" s="720"/>
      <c r="K42" s="960">
        <v>50000</v>
      </c>
      <c r="L42" s="961" t="s">
        <v>592</v>
      </c>
    </row>
    <row r="43" spans="2:21" ht="18.95" customHeight="1" thickBot="1">
      <c r="B43" s="359"/>
      <c r="C43" s="360" t="s">
        <v>289</v>
      </c>
      <c r="D43" s="860"/>
      <c r="E43" s="361"/>
      <c r="F43" s="361"/>
      <c r="G43" s="1432">
        <f>SUM(G36:G42)</f>
        <v>1184241.6700000002</v>
      </c>
      <c r="H43" s="1432">
        <f>SUM(H36:H42)</f>
        <v>279793.38</v>
      </c>
      <c r="I43" s="738">
        <f>SUM(I36:I42)</f>
        <v>1464035.05</v>
      </c>
      <c r="J43" s="738">
        <f>SUM(J36:J42)</f>
        <v>0</v>
      </c>
      <c r="K43" s="739">
        <f>SUM(K36:K42)</f>
        <v>1464035.05</v>
      </c>
      <c r="L43" s="362"/>
    </row>
    <row r="44" spans="2:21" ht="18.95" customHeight="1">
      <c r="B44" s="201"/>
      <c r="C44" s="375"/>
      <c r="D44" s="110"/>
      <c r="E44" s="364"/>
      <c r="F44" s="364"/>
      <c r="G44" s="1434"/>
      <c r="H44" s="1434"/>
      <c r="I44" s="722"/>
      <c r="J44" s="722"/>
      <c r="K44" s="740"/>
    </row>
    <row r="45" spans="2:21">
      <c r="B45" s="343">
        <v>400</v>
      </c>
      <c r="C45" s="344" t="s">
        <v>20</v>
      </c>
      <c r="D45" s="859" t="s">
        <v>511</v>
      </c>
      <c r="E45" s="345"/>
      <c r="F45" s="345"/>
      <c r="G45" s="1440">
        <v>0</v>
      </c>
      <c r="H45" s="1433">
        <f t="shared" ref="H45:H61" si="8">K45-G45</f>
        <v>0</v>
      </c>
      <c r="I45" s="720">
        <f t="shared" ref="I45:I61" si="9">K45</f>
        <v>0</v>
      </c>
      <c r="J45" s="720"/>
      <c r="K45" s="731"/>
      <c r="L45" s="346"/>
    </row>
    <row r="46" spans="2:21" ht="18.95" customHeight="1">
      <c r="B46" s="343">
        <v>410</v>
      </c>
      <c r="C46" s="344" t="s">
        <v>88</v>
      </c>
      <c r="D46" s="859" t="s">
        <v>511</v>
      </c>
      <c r="E46" s="621">
        <v>6.0000000000000001E-3</v>
      </c>
      <c r="F46" s="621">
        <f ca="1">K46/(K66+K68)</f>
        <v>1.4401189779597114E-2</v>
      </c>
      <c r="G46" s="1443">
        <v>689</v>
      </c>
      <c r="H46" s="1437">
        <f t="shared" si="8"/>
        <v>513841</v>
      </c>
      <c r="I46" s="724">
        <f t="shared" si="9"/>
        <v>514530</v>
      </c>
      <c r="J46" s="724"/>
      <c r="K46" s="960">
        <v>514530</v>
      </c>
      <c r="L46" s="961" t="s">
        <v>1210</v>
      </c>
    </row>
    <row r="47" spans="2:21" ht="18.95" customHeight="1">
      <c r="B47" s="343">
        <v>420</v>
      </c>
      <c r="C47" s="344" t="s">
        <v>87</v>
      </c>
      <c r="D47" s="859" t="s">
        <v>511</v>
      </c>
      <c r="E47" s="376"/>
      <c r="F47" s="376"/>
      <c r="G47" s="1441">
        <v>0</v>
      </c>
      <c r="H47" s="1435">
        <f t="shared" si="8"/>
        <v>30000</v>
      </c>
      <c r="I47" s="720">
        <f t="shared" si="9"/>
        <v>30000</v>
      </c>
      <c r="J47" s="720"/>
      <c r="K47" s="960">
        <v>30000</v>
      </c>
      <c r="L47" s="961"/>
    </row>
    <row r="48" spans="2:21" ht="18.95" customHeight="1">
      <c r="B48" s="343">
        <v>430</v>
      </c>
      <c r="C48" s="344" t="s">
        <v>290</v>
      </c>
      <c r="D48" s="859" t="s">
        <v>511</v>
      </c>
      <c r="E48" s="376"/>
      <c r="F48" s="376"/>
      <c r="G48" s="1441">
        <v>0</v>
      </c>
      <c r="H48" s="1435">
        <f t="shared" si="8"/>
        <v>30000</v>
      </c>
      <c r="I48" s="720">
        <f t="shared" si="9"/>
        <v>30000</v>
      </c>
      <c r="J48" s="720"/>
      <c r="K48" s="960">
        <v>30000</v>
      </c>
      <c r="L48" s="961" t="s">
        <v>593</v>
      </c>
    </row>
    <row r="49" spans="2:12" ht="18.95" customHeight="1">
      <c r="B49" s="343">
        <v>440</v>
      </c>
      <c r="C49" s="344" t="s">
        <v>688</v>
      </c>
      <c r="D49" s="859" t="s">
        <v>511</v>
      </c>
      <c r="E49" s="376"/>
      <c r="F49" s="376"/>
      <c r="G49" s="1441">
        <v>27759.5</v>
      </c>
      <c r="H49" s="1435">
        <f t="shared" si="8"/>
        <v>202063</v>
      </c>
      <c r="I49" s="720">
        <f t="shared" si="9"/>
        <v>229822.5</v>
      </c>
      <c r="J49" s="720"/>
      <c r="K49" s="960">
        <f>29822.5+200000</f>
        <v>229822.5</v>
      </c>
      <c r="L49" s="961" t="s">
        <v>1198</v>
      </c>
    </row>
    <row r="50" spans="2:12" ht="18.95" customHeight="1">
      <c r="B50" s="343">
        <v>450</v>
      </c>
      <c r="C50" s="344" t="s">
        <v>291</v>
      </c>
      <c r="D50" s="859" t="s">
        <v>511</v>
      </c>
      <c r="E50" s="621">
        <v>2.5000000000000001E-3</v>
      </c>
      <c r="F50" s="621"/>
      <c r="G50" s="1443">
        <v>0</v>
      </c>
      <c r="H50" s="1437">
        <f t="shared" si="8"/>
        <v>135000</v>
      </c>
      <c r="I50" s="720">
        <f t="shared" si="9"/>
        <v>135000</v>
      </c>
      <c r="J50" s="720"/>
      <c r="K50" s="960">
        <v>135000</v>
      </c>
      <c r="L50" s="961" t="s">
        <v>702</v>
      </c>
    </row>
    <row r="51" spans="2:12" ht="18.95" customHeight="1">
      <c r="B51" s="343">
        <v>455</v>
      </c>
      <c r="C51" s="344" t="s">
        <v>323</v>
      </c>
      <c r="D51" s="859" t="s">
        <v>511</v>
      </c>
      <c r="E51" s="345"/>
      <c r="F51" s="345"/>
      <c r="G51" s="1440">
        <v>0</v>
      </c>
      <c r="H51" s="1433">
        <f t="shared" si="8"/>
        <v>2798000</v>
      </c>
      <c r="I51" s="720">
        <f t="shared" si="9"/>
        <v>2798000</v>
      </c>
      <c r="J51" s="720"/>
      <c r="K51" s="960">
        <f>125000+'Assumptions MH'!$G$61</f>
        <v>2798000</v>
      </c>
      <c r="L51" s="961" t="s">
        <v>1224</v>
      </c>
    </row>
    <row r="52" spans="2:12" ht="18.95" hidden="1" customHeight="1" outlineLevel="1">
      <c r="B52" s="377"/>
      <c r="C52" s="371" t="s">
        <v>406</v>
      </c>
      <c r="D52" s="863"/>
      <c r="E52" s="374"/>
      <c r="F52" s="374"/>
      <c r="G52" s="1442">
        <v>0</v>
      </c>
      <c r="H52" s="1436">
        <f t="shared" si="8"/>
        <v>0</v>
      </c>
      <c r="I52" s="723">
        <f t="shared" si="9"/>
        <v>0</v>
      </c>
      <c r="J52" s="723"/>
      <c r="K52" s="963"/>
      <c r="L52" s="965"/>
    </row>
    <row r="53" spans="2:12" ht="18.95" hidden="1" customHeight="1" outlineLevel="1">
      <c r="B53" s="377"/>
      <c r="C53" s="371" t="s">
        <v>414</v>
      </c>
      <c r="D53" s="863"/>
      <c r="E53" s="374"/>
      <c r="F53" s="374"/>
      <c r="G53" s="1442">
        <v>0</v>
      </c>
      <c r="H53" s="1436">
        <f t="shared" si="8"/>
        <v>0</v>
      </c>
      <c r="I53" s="723">
        <f t="shared" si="9"/>
        <v>0</v>
      </c>
      <c r="J53" s="723"/>
      <c r="K53" s="963"/>
      <c r="L53" s="966"/>
    </row>
    <row r="54" spans="2:12" ht="18.95" hidden="1" customHeight="1" outlineLevel="1">
      <c r="B54" s="377"/>
      <c r="C54" s="371" t="s">
        <v>408</v>
      </c>
      <c r="D54" s="863"/>
      <c r="E54" s="374"/>
      <c r="F54" s="374"/>
      <c r="G54" s="1442">
        <v>0</v>
      </c>
      <c r="H54" s="1436">
        <f t="shared" si="8"/>
        <v>0</v>
      </c>
      <c r="I54" s="723">
        <f t="shared" si="9"/>
        <v>0</v>
      </c>
      <c r="J54" s="723"/>
      <c r="K54" s="963"/>
      <c r="L54" s="967"/>
    </row>
    <row r="55" spans="2:12" ht="18.95" hidden="1" customHeight="1" outlineLevel="1">
      <c r="B55" s="377"/>
      <c r="C55" s="371" t="s">
        <v>412</v>
      </c>
      <c r="D55" s="863"/>
      <c r="E55" s="374"/>
      <c r="F55" s="374"/>
      <c r="G55" s="1442">
        <v>0</v>
      </c>
      <c r="H55" s="1436">
        <f t="shared" si="8"/>
        <v>0</v>
      </c>
      <c r="I55" s="723">
        <f t="shared" si="9"/>
        <v>0</v>
      </c>
      <c r="J55" s="723"/>
      <c r="K55" s="963"/>
      <c r="L55" s="966"/>
    </row>
    <row r="56" spans="2:12" ht="18.95" hidden="1" customHeight="1" outlineLevel="1">
      <c r="B56" s="370"/>
      <c r="C56" s="371" t="s">
        <v>415</v>
      </c>
      <c r="D56" s="863"/>
      <c r="E56" s="374"/>
      <c r="F56" s="374"/>
      <c r="G56" s="1442">
        <v>0</v>
      </c>
      <c r="H56" s="1436">
        <f t="shared" si="8"/>
        <v>0</v>
      </c>
      <c r="I56" s="723">
        <f t="shared" si="9"/>
        <v>0</v>
      </c>
      <c r="J56" s="723"/>
      <c r="K56" s="963"/>
      <c r="L56" s="965"/>
    </row>
    <row r="57" spans="2:12" ht="18.95" hidden="1" customHeight="1" outlineLevel="1">
      <c r="B57" s="370"/>
      <c r="C57" s="371" t="s">
        <v>407</v>
      </c>
      <c r="D57" s="863"/>
      <c r="E57" s="374"/>
      <c r="F57" s="374"/>
      <c r="G57" s="1442">
        <v>0</v>
      </c>
      <c r="H57" s="1436">
        <f t="shared" si="8"/>
        <v>0</v>
      </c>
      <c r="I57" s="723">
        <f t="shared" si="9"/>
        <v>0</v>
      </c>
      <c r="J57" s="723"/>
      <c r="K57" s="963"/>
      <c r="L57" s="965"/>
    </row>
    <row r="58" spans="2:12" ht="18.95" hidden="1" customHeight="1" outlineLevel="1">
      <c r="B58" s="370"/>
      <c r="C58" s="371" t="s">
        <v>409</v>
      </c>
      <c r="D58" s="863"/>
      <c r="E58" s="374"/>
      <c r="F58" s="374"/>
      <c r="G58" s="1442">
        <v>0</v>
      </c>
      <c r="H58" s="1436">
        <f t="shared" si="8"/>
        <v>0</v>
      </c>
      <c r="I58" s="723">
        <f t="shared" si="9"/>
        <v>0</v>
      </c>
      <c r="J58" s="723"/>
      <c r="K58" s="963"/>
      <c r="L58" s="964"/>
    </row>
    <row r="59" spans="2:12" ht="18.95" hidden="1" customHeight="1" outlineLevel="1">
      <c r="B59" s="370"/>
      <c r="C59" s="371" t="s">
        <v>410</v>
      </c>
      <c r="D59" s="863"/>
      <c r="E59" s="374"/>
      <c r="F59" s="374"/>
      <c r="G59" s="1442">
        <v>0</v>
      </c>
      <c r="H59" s="1436">
        <f t="shared" si="8"/>
        <v>0</v>
      </c>
      <c r="I59" s="723">
        <f t="shared" si="9"/>
        <v>0</v>
      </c>
      <c r="J59" s="723"/>
      <c r="K59" s="963"/>
      <c r="L59" s="966"/>
    </row>
    <row r="60" spans="2:12" ht="18.95" hidden="1" customHeight="1" outlineLevel="1">
      <c r="B60" s="370"/>
      <c r="C60" s="371" t="s">
        <v>411</v>
      </c>
      <c r="D60" s="863"/>
      <c r="E60" s="374"/>
      <c r="F60" s="374"/>
      <c r="G60" s="1442">
        <v>0</v>
      </c>
      <c r="H60" s="1436">
        <f t="shared" si="8"/>
        <v>0</v>
      </c>
      <c r="I60" s="723">
        <f t="shared" si="9"/>
        <v>0</v>
      </c>
      <c r="J60" s="723"/>
      <c r="K60" s="963"/>
      <c r="L60" s="1200"/>
    </row>
    <row r="61" spans="2:12" ht="18.95" customHeight="1" collapsed="1">
      <c r="B61" s="343">
        <v>460</v>
      </c>
      <c r="C61" s="344" t="s">
        <v>292</v>
      </c>
      <c r="D61" s="859" t="s">
        <v>511</v>
      </c>
      <c r="E61" s="622"/>
      <c r="F61" s="622"/>
      <c r="G61" s="1440">
        <v>542.86</v>
      </c>
      <c r="H61" s="1433">
        <f t="shared" si="8"/>
        <v>74457.14</v>
      </c>
      <c r="I61" s="720">
        <f t="shared" si="9"/>
        <v>75000</v>
      </c>
      <c r="J61" s="720"/>
      <c r="K61" s="732">
        <v>75000</v>
      </c>
      <c r="L61" s="961" t="s">
        <v>594</v>
      </c>
    </row>
    <row r="62" spans="2:12" ht="18.95" customHeight="1" thickBot="1">
      <c r="B62" s="359"/>
      <c r="C62" s="360" t="s">
        <v>98</v>
      </c>
      <c r="D62" s="860"/>
      <c r="E62" s="361"/>
      <c r="F62" s="361"/>
      <c r="G62" s="1432">
        <f>SUM(G46:G51,G61)</f>
        <v>28991.360000000001</v>
      </c>
      <c r="H62" s="1432">
        <f>SUM(H46:H51,H61)</f>
        <v>3783361.14</v>
      </c>
      <c r="I62" s="738">
        <f t="shared" ref="I62:J62" si="10">SUM(I46:I51,I61)</f>
        <v>3812352.5</v>
      </c>
      <c r="J62" s="738">
        <f t="shared" si="10"/>
        <v>0</v>
      </c>
      <c r="K62" s="739">
        <f>SUM(K46:K51,K61)</f>
        <v>3812352.5</v>
      </c>
      <c r="L62" s="362"/>
    </row>
    <row r="63" spans="2:12" ht="18.95" customHeight="1">
      <c r="B63" s="201"/>
      <c r="C63" s="214"/>
      <c r="D63" s="861"/>
      <c r="E63" s="364"/>
      <c r="F63" s="364"/>
      <c r="G63" s="1434"/>
      <c r="H63" s="1434"/>
      <c r="I63" s="722"/>
      <c r="J63" s="722"/>
      <c r="K63" s="740"/>
    </row>
    <row r="64" spans="2:12">
      <c r="B64" s="343">
        <v>500</v>
      </c>
      <c r="C64" s="344" t="s">
        <v>21</v>
      </c>
      <c r="D64" s="862"/>
      <c r="E64" s="376"/>
      <c r="F64" s="376"/>
      <c r="G64" s="1435"/>
      <c r="H64" s="1435"/>
      <c r="I64" s="720">
        <f t="shared" ref="I64:I73" si="11">K64</f>
        <v>0</v>
      </c>
      <c r="J64" s="720"/>
      <c r="K64" s="731"/>
      <c r="L64" s="346"/>
    </row>
    <row r="65" spans="2:15" ht="18.95" customHeight="1">
      <c r="B65" s="343">
        <v>510</v>
      </c>
      <c r="C65" s="344" t="s">
        <v>293</v>
      </c>
      <c r="D65" s="859" t="s">
        <v>21</v>
      </c>
      <c r="E65" s="348">
        <v>0.01</v>
      </c>
      <c r="F65" s="376"/>
      <c r="G65" s="1441">
        <v>119915</v>
      </c>
      <c r="H65" s="1435">
        <f t="shared" ref="H65:H73" si="12">K65-G65</f>
        <v>292210</v>
      </c>
      <c r="I65" s="720">
        <f t="shared" si="11"/>
        <v>412125</v>
      </c>
      <c r="J65" s="720"/>
      <c r="K65" s="960">
        <f>281500+130625</f>
        <v>412125</v>
      </c>
      <c r="L65" s="961" t="s">
        <v>689</v>
      </c>
    </row>
    <row r="66" spans="2:15" ht="18.95" customHeight="1">
      <c r="B66" s="343">
        <v>520</v>
      </c>
      <c r="C66" s="344" t="s">
        <v>294</v>
      </c>
      <c r="D66" s="859" t="s">
        <v>21</v>
      </c>
      <c r="E66" s="1302">
        <v>258</v>
      </c>
      <c r="F66" s="376"/>
      <c r="G66" s="1441">
        <v>0</v>
      </c>
      <c r="H66" s="1435">
        <f t="shared" ca="1" si="12"/>
        <v>33941883.100000001</v>
      </c>
      <c r="I66" s="720">
        <f t="shared" ca="1" si="11"/>
        <v>33941883.100000001</v>
      </c>
      <c r="J66" s="720"/>
      <c r="K66" s="962">
        <f ca="1">(E66*Assumptions!$J$36)-'Budget Detail'!K68+800000</f>
        <v>33941883.100000001</v>
      </c>
      <c r="L66" s="346"/>
      <c r="N66" s="853"/>
    </row>
    <row r="67" spans="2:15" ht="18.95" customHeight="1">
      <c r="B67" s="343">
        <v>530</v>
      </c>
      <c r="C67" s="344" t="s">
        <v>55</v>
      </c>
      <c r="D67" s="859" t="s">
        <v>21</v>
      </c>
      <c r="E67" s="348">
        <v>0.05</v>
      </c>
      <c r="F67" s="376"/>
      <c r="G67" s="1441">
        <v>0</v>
      </c>
      <c r="H67" s="1435">
        <f t="shared" ca="1" si="12"/>
        <v>1786414.9000000001</v>
      </c>
      <c r="I67" s="720">
        <f t="shared" ca="1" si="11"/>
        <v>1786414.9000000001</v>
      </c>
      <c r="J67" s="720"/>
      <c r="K67" s="731">
        <f ca="1">E67*(K66+K68)</f>
        <v>1786414.9000000001</v>
      </c>
      <c r="L67" s="346"/>
    </row>
    <row r="68" spans="2:15" ht="18.95" customHeight="1">
      <c r="B68" s="343">
        <v>540</v>
      </c>
      <c r="C68" s="344" t="s">
        <v>295</v>
      </c>
      <c r="D68" s="859" t="s">
        <v>21</v>
      </c>
      <c r="E68" s="348">
        <v>0.05</v>
      </c>
      <c r="F68" s="376"/>
      <c r="G68" s="1441">
        <v>0</v>
      </c>
      <c r="H68" s="1435">
        <f t="shared" ca="1" si="12"/>
        <v>1786414.9000000001</v>
      </c>
      <c r="I68" s="720">
        <f t="shared" ca="1" si="11"/>
        <v>1786414.9000000001</v>
      </c>
      <c r="J68" s="720"/>
      <c r="K68" s="731">
        <f ca="1">E68*SUM(Assumptions!N15:N23)</f>
        <v>1786414.9000000001</v>
      </c>
      <c r="L68" s="346"/>
    </row>
    <row r="69" spans="2:15" ht="18.95" customHeight="1">
      <c r="B69" s="343">
        <v>550</v>
      </c>
      <c r="C69" s="344" t="s">
        <v>296</v>
      </c>
      <c r="D69" s="859" t="s">
        <v>21</v>
      </c>
      <c r="E69" s="376"/>
      <c r="F69" s="376"/>
      <c r="G69" s="1441">
        <v>960</v>
      </c>
      <c r="H69" s="1435">
        <f t="shared" si="12"/>
        <v>30000</v>
      </c>
      <c r="I69" s="720">
        <f t="shared" si="11"/>
        <v>30960</v>
      </c>
      <c r="J69" s="720"/>
      <c r="K69" s="732">
        <f>160*131+10000</f>
        <v>30960</v>
      </c>
      <c r="L69" s="346" t="s">
        <v>795</v>
      </c>
      <c r="O69" s="853">
        <f>-'Budget Detail'!J19-'Budget Detail'!J33-'Budget Detail'!J43-'Budget Detail'!J62+'Budget Detail'!J23+'Budget Detail'!J22-I59</f>
        <v>0</v>
      </c>
    </row>
    <row r="70" spans="2:15" ht="18.95" customHeight="1">
      <c r="B70" s="343">
        <v>560</v>
      </c>
      <c r="C70" s="344" t="s">
        <v>297</v>
      </c>
      <c r="D70" s="859" t="s">
        <v>21</v>
      </c>
      <c r="E70" s="376"/>
      <c r="F70" s="376"/>
      <c r="G70" s="1441">
        <v>0</v>
      </c>
      <c r="H70" s="1435">
        <f t="shared" si="12"/>
        <v>77000</v>
      </c>
      <c r="I70" s="720">
        <f t="shared" si="11"/>
        <v>77000</v>
      </c>
      <c r="J70" s="720"/>
      <c r="K70" s="732">
        <f>50000+27000</f>
        <v>77000</v>
      </c>
      <c r="L70" s="346" t="s">
        <v>1199</v>
      </c>
    </row>
    <row r="71" spans="2:15" ht="18.95" customHeight="1">
      <c r="B71" s="343">
        <v>570</v>
      </c>
      <c r="C71" s="344" t="s">
        <v>298</v>
      </c>
      <c r="D71" s="859" t="s">
        <v>21</v>
      </c>
      <c r="E71" s="376"/>
      <c r="F71" s="376"/>
      <c r="G71" s="1441">
        <v>0</v>
      </c>
      <c r="H71" s="1435">
        <f t="shared" si="12"/>
        <v>200000</v>
      </c>
      <c r="I71" s="720">
        <f t="shared" si="11"/>
        <v>200000</v>
      </c>
      <c r="J71" s="720"/>
      <c r="K71" s="732">
        <v>200000</v>
      </c>
      <c r="L71" s="346" t="s">
        <v>1219</v>
      </c>
    </row>
    <row r="72" spans="2:15" ht="18.95" customHeight="1">
      <c r="B72" s="343">
        <v>580</v>
      </c>
      <c r="C72" s="344" t="s">
        <v>299</v>
      </c>
      <c r="D72" s="859" t="s">
        <v>21</v>
      </c>
      <c r="E72" s="376"/>
      <c r="F72" s="376"/>
      <c r="G72" s="1441">
        <v>0</v>
      </c>
      <c r="H72" s="1435">
        <f t="shared" si="12"/>
        <v>0</v>
      </c>
      <c r="I72" s="720">
        <f t="shared" si="11"/>
        <v>0</v>
      </c>
      <c r="J72" s="720"/>
      <c r="K72" s="730">
        <f>Assumptions!D57*Assumptions!F41</f>
        <v>0</v>
      </c>
      <c r="L72" s="346"/>
    </row>
    <row r="73" spans="2:15" ht="18.95" customHeight="1">
      <c r="B73" s="343">
        <v>590</v>
      </c>
      <c r="C73" s="344" t="s">
        <v>300</v>
      </c>
      <c r="D73" s="859" t="s">
        <v>21</v>
      </c>
      <c r="E73" s="376"/>
      <c r="F73" s="376"/>
      <c r="G73" s="1441">
        <v>0</v>
      </c>
      <c r="H73" s="1435">
        <f t="shared" si="12"/>
        <v>205500</v>
      </c>
      <c r="I73" s="720">
        <f t="shared" si="11"/>
        <v>205500</v>
      </c>
      <c r="J73" s="720"/>
      <c r="K73" s="732">
        <v>205500</v>
      </c>
      <c r="L73" s="346" t="s">
        <v>1225</v>
      </c>
      <c r="N73" s="853"/>
    </row>
    <row r="74" spans="2:15" ht="18.95" customHeight="1" thickBot="1">
      <c r="B74" s="359"/>
      <c r="C74" s="360" t="s">
        <v>301</v>
      </c>
      <c r="D74" s="860"/>
      <c r="E74" s="361"/>
      <c r="F74" s="361"/>
      <c r="G74" s="1431">
        <f>SUM(G65:G73)</f>
        <v>120875</v>
      </c>
      <c r="H74" s="1431">
        <f ca="1">SUM(H65:H73)</f>
        <v>38319422.899999999</v>
      </c>
      <c r="I74" s="737">
        <f t="shared" ref="I74:J74" ca="1" si="13">SUM(I65:I73)</f>
        <v>38440297.899999999</v>
      </c>
      <c r="J74" s="737">
        <f t="shared" si="13"/>
        <v>0</v>
      </c>
      <c r="K74" s="733">
        <f ca="1">SUM(K65:K73)</f>
        <v>38440297.899999999</v>
      </c>
      <c r="L74" s="362"/>
    </row>
    <row r="75" spans="2:15" ht="18.95" customHeight="1">
      <c r="G75" s="1438"/>
      <c r="H75" s="1438"/>
      <c r="I75" s="741"/>
      <c r="J75" s="741"/>
      <c r="K75" s="734"/>
    </row>
    <row r="76" spans="2:15" ht="18.95" customHeight="1">
      <c r="B76" s="343"/>
      <c r="C76" s="344"/>
      <c r="D76" s="859" t="s">
        <v>514</v>
      </c>
      <c r="E76" s="625">
        <v>0</v>
      </c>
      <c r="F76" s="625"/>
      <c r="G76" s="1440">
        <v>0</v>
      </c>
      <c r="H76" s="1433">
        <f t="shared" ref="H76:H77" si="14">K76-G76</f>
        <v>0</v>
      </c>
      <c r="I76" s="720"/>
      <c r="J76" s="720"/>
      <c r="K76" s="1196"/>
      <c r="L76" s="346"/>
    </row>
    <row r="77" spans="2:15" ht="18.95" customHeight="1">
      <c r="B77" s="343">
        <v>360</v>
      </c>
      <c r="C77" s="344" t="s">
        <v>446</v>
      </c>
      <c r="D77" s="859" t="s">
        <v>514</v>
      </c>
      <c r="E77" s="1198">
        <v>3.7499999999999999E-2</v>
      </c>
      <c r="F77" s="1198"/>
      <c r="G77" s="1440">
        <v>0</v>
      </c>
      <c r="H77" s="1433">
        <f t="shared" ca="1" si="14"/>
        <v>1672635.6365120769</v>
      </c>
      <c r="I77" s="1433">
        <f ca="1">((+I24+I25+I31+I43+I62+I74)*$E$77)</f>
        <v>1672635.6365120769</v>
      </c>
      <c r="J77" s="720"/>
      <c r="K77" s="1197">
        <f ca="1">((+K24+K25+K31+K43+K62+K74)*$E$77)</f>
        <v>1672635.6365120769</v>
      </c>
      <c r="L77" s="346"/>
    </row>
    <row r="78" spans="2:15">
      <c r="G78" s="742"/>
      <c r="H78" s="742"/>
      <c r="I78" s="742"/>
      <c r="J78" s="742"/>
      <c r="K78" s="734"/>
    </row>
    <row r="79" spans="2:15" ht="15.75" thickBot="1">
      <c r="B79" s="378"/>
      <c r="C79" s="379" t="s">
        <v>413</v>
      </c>
      <c r="D79" s="864"/>
      <c r="E79" s="379"/>
      <c r="F79" s="379"/>
      <c r="G79" s="743">
        <f>G74+G62+G43+G33+G19+G76+G77</f>
        <v>7063831.3200000012</v>
      </c>
      <c r="H79" s="743">
        <f ca="1">H74+H62+H43+H33+H19+H76+H77</f>
        <v>47920423.975205041</v>
      </c>
      <c r="I79" s="743">
        <f ca="1">I74+I62+I43+I33+I19+I76+I77</f>
        <v>54984255.295205042</v>
      </c>
      <c r="J79" s="743">
        <f>J74+J62+J43+J33+J19+J76+J77</f>
        <v>0</v>
      </c>
      <c r="K79" s="743">
        <f ca="1">K74+K62+K43+K33+K19+K76+K77</f>
        <v>54984255.295205042</v>
      </c>
      <c r="L79" s="380"/>
    </row>
    <row r="80" spans="2:15" ht="18.95" customHeight="1">
      <c r="C80" s="381" t="s">
        <v>128</v>
      </c>
      <c r="D80" s="865"/>
      <c r="E80" s="382"/>
      <c r="F80" s="382"/>
      <c r="G80" s="382"/>
      <c r="H80" s="1439">
        <f ca="1">K79-H79-G79</f>
        <v>0</v>
      </c>
      <c r="I80" s="868">
        <f ca="1">'Monthly-CF'!I76+'Budget Detail'!I79</f>
        <v>0</v>
      </c>
      <c r="J80" s="868">
        <f ca="1">'Monthly-CF'!I86+'Budget Detail'!J79</f>
        <v>0</v>
      </c>
      <c r="K80" s="744">
        <f ca="1">K79-Assumptions!E21</f>
        <v>0</v>
      </c>
    </row>
    <row r="81" spans="3:12" ht="18.95" customHeight="1">
      <c r="I81" s="742"/>
      <c r="J81" s="742"/>
      <c r="K81" s="734"/>
    </row>
    <row r="82" spans="3:12">
      <c r="C82" s="383"/>
      <c r="D82" s="866"/>
      <c r="E82" s="384"/>
      <c r="F82" s="384"/>
      <c r="G82" s="1452">
        <v>6707552.0899999999</v>
      </c>
      <c r="H82" s="384"/>
      <c r="I82" s="745"/>
      <c r="J82" s="745"/>
      <c r="K82" s="1481">
        <f ca="1">K77/19</f>
        <v>88033.454553267205</v>
      </c>
      <c r="L82" s="2011"/>
    </row>
    <row r="83" spans="3:12" ht="18.95" customHeight="1">
      <c r="G83" s="1453">
        <v>264870.18</v>
      </c>
      <c r="I83" s="742"/>
      <c r="J83" s="742"/>
      <c r="K83" s="740"/>
    </row>
    <row r="84" spans="3:12" ht="18.95" customHeight="1">
      <c r="D84" s="85">
        <v>130000</v>
      </c>
      <c r="G84" s="1453">
        <f>SUM(G82:G83)</f>
        <v>6972422.2699999996</v>
      </c>
      <c r="I84" s="742"/>
      <c r="J84" s="742"/>
      <c r="K84" s="740"/>
    </row>
    <row r="85" spans="3:12" ht="18.95" customHeight="1">
      <c r="D85" s="85">
        <f>D84/12</f>
        <v>10833.333333333334</v>
      </c>
      <c r="G85" s="1454">
        <f>G84-G79</f>
        <v>-91409.050000001676</v>
      </c>
      <c r="I85" s="742"/>
      <c r="J85" s="742"/>
      <c r="K85" s="740"/>
    </row>
    <row r="86" spans="3:12" ht="18.95" customHeight="1">
      <c r="E86" s="1455"/>
      <c r="I86" s="742"/>
      <c r="J86" s="742"/>
      <c r="K86" s="740"/>
    </row>
    <row r="87" spans="3:12" ht="18.95" customHeight="1">
      <c r="E87" s="1455"/>
      <c r="I87" s="742"/>
      <c r="J87" s="742"/>
      <c r="K87" s="740"/>
    </row>
    <row r="88" spans="3:12" ht="18.95" customHeight="1">
      <c r="D88" s="1458"/>
      <c r="E88" s="1456"/>
      <c r="I88" s="742"/>
      <c r="J88" s="742"/>
      <c r="K88" s="734"/>
    </row>
    <row r="89" spans="3:12">
      <c r="D89" s="1458"/>
      <c r="E89" s="1457"/>
      <c r="I89" s="742"/>
      <c r="J89" s="742"/>
      <c r="K89" s="746"/>
    </row>
    <row r="90" spans="3:12" ht="18.95" customHeight="1">
      <c r="C90" s="385"/>
      <c r="D90" s="867"/>
      <c r="E90" s="386"/>
      <c r="F90" s="386"/>
      <c r="G90" s="386"/>
      <c r="H90" s="386"/>
      <c r="I90" s="747"/>
      <c r="J90" s="747"/>
      <c r="K90" s="748"/>
    </row>
    <row r="91" spans="3:12" ht="18.95" customHeight="1"/>
    <row r="92" spans="3:12" ht="5.0999999999999996" customHeight="1"/>
  </sheetData>
  <pageMargins left="0.25" right="0.25" top="0.75" bottom="0.75" header="0.3" footer="0.3"/>
  <pageSetup scale="3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A77D-4708-4177-B052-8656577490C8}">
  <sheetPr>
    <tabColor rgb="FF1C476E"/>
  </sheetPr>
  <dimension ref="A1:AJ144"/>
  <sheetViews>
    <sheetView showGridLines="0" view="pageBreakPreview" zoomScale="85" zoomScaleNormal="80" zoomScaleSheetLayoutView="85" workbookViewId="0">
      <pane xSplit="10" ySplit="10" topLeftCell="K40" activePane="bottomRight" state="frozen"/>
      <selection activeCell="Q43" sqref="Q43"/>
      <selection pane="topRight" activeCell="Q43" sqref="Q43"/>
      <selection pane="bottomLeft" activeCell="Q43" sqref="Q43"/>
      <selection pane="bottomRight" activeCell="P112" sqref="P112"/>
    </sheetView>
  </sheetViews>
  <sheetFormatPr defaultColWidth="8.85546875" defaultRowHeight="12.75" outlineLevelRow="2" outlineLevelCol="1"/>
  <cols>
    <col min="1" max="1" width="1.7109375" style="462" customWidth="1"/>
    <col min="2" max="3" width="3.42578125" style="462" customWidth="1"/>
    <col min="4" max="4" width="28.7109375" style="462" customWidth="1"/>
    <col min="5" max="5" width="20" style="462" hidden="1" customWidth="1" outlineLevel="1"/>
    <col min="6" max="6" width="13" style="462" hidden="1" customWidth="1" outlineLevel="1"/>
    <col min="7" max="7" width="11.42578125" style="462" hidden="1" customWidth="1" outlineLevel="1"/>
    <col min="8" max="8" width="11.42578125" style="462" customWidth="1" collapsed="1"/>
    <col min="9" max="9" width="17.42578125" style="462" customWidth="1"/>
    <col min="10" max="10" width="1.5703125" style="389" customWidth="1"/>
    <col min="11" max="11" width="2.28515625" style="462" customWidth="1"/>
    <col min="12" max="21" width="14.42578125" style="462" customWidth="1"/>
    <col min="22" max="22" width="1.85546875" style="389" customWidth="1"/>
    <col min="23" max="23" width="16.7109375" style="392" customWidth="1"/>
    <col min="24" max="16384" width="8.85546875" style="392"/>
  </cols>
  <sheetData>
    <row r="1" spans="1:36" s="390" customFormat="1">
      <c r="A1" s="389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92" t="s">
        <v>65</v>
      </c>
    </row>
    <row r="2" spans="1:36" s="390" customForma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92" t="s">
        <v>65</v>
      </c>
    </row>
    <row r="3" spans="1:36" s="390" customFormat="1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92" t="s">
        <v>65</v>
      </c>
    </row>
    <row r="4" spans="1:36" s="390" customForma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92" t="s">
        <v>65</v>
      </c>
    </row>
    <row r="5" spans="1:36">
      <c r="A5" s="391"/>
      <c r="B5" s="391"/>
      <c r="C5" s="697" t="s">
        <v>512</v>
      </c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813"/>
      <c r="W5" s="392" t="s">
        <v>65</v>
      </c>
    </row>
    <row r="6" spans="1:36" s="390" customFormat="1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89"/>
      <c r="W6" s="392" t="s">
        <v>65</v>
      </c>
    </row>
    <row r="7" spans="1:36">
      <c r="A7" s="389"/>
      <c r="B7" s="389"/>
      <c r="C7" s="392"/>
      <c r="D7" s="392"/>
      <c r="E7" s="392"/>
      <c r="F7" s="392"/>
      <c r="G7" s="392"/>
      <c r="H7" s="392"/>
      <c r="I7" s="392"/>
      <c r="J7" s="390"/>
      <c r="K7" s="392"/>
      <c r="L7" s="392"/>
      <c r="M7" s="392"/>
      <c r="N7" s="392"/>
      <c r="O7" s="389"/>
      <c r="P7" s="389"/>
      <c r="Q7" s="389"/>
      <c r="R7" s="389"/>
      <c r="S7" s="392"/>
      <c r="T7" s="392"/>
      <c r="U7" s="392"/>
      <c r="W7" s="392" t="s">
        <v>65</v>
      </c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</row>
    <row r="8" spans="1:36" s="390" customFormat="1">
      <c r="A8" s="389"/>
      <c r="B8" s="389"/>
      <c r="C8" s="389"/>
      <c r="D8" s="389"/>
      <c r="E8" s="389"/>
      <c r="F8" s="389"/>
      <c r="G8" s="389"/>
      <c r="H8" s="389"/>
      <c r="I8" s="389"/>
      <c r="J8" s="389"/>
      <c r="K8" s="811"/>
      <c r="L8" s="698">
        <f>EOMONTH('Monthly-CF'!L8,11)</f>
        <v>45443</v>
      </c>
      <c r="M8" s="698">
        <f>EOMONTH(L8,12)</f>
        <v>45808</v>
      </c>
      <c r="N8" s="698">
        <f t="shared" ref="N8:U8" si="0">EOMONTH(M8,12)</f>
        <v>46173</v>
      </c>
      <c r="O8" s="698">
        <f t="shared" si="0"/>
        <v>46538</v>
      </c>
      <c r="P8" s="698">
        <f t="shared" si="0"/>
        <v>46904</v>
      </c>
      <c r="Q8" s="698">
        <f t="shared" si="0"/>
        <v>47269</v>
      </c>
      <c r="R8" s="698">
        <f t="shared" si="0"/>
        <v>47634</v>
      </c>
      <c r="S8" s="698">
        <f t="shared" si="0"/>
        <v>47999</v>
      </c>
      <c r="T8" s="698">
        <f t="shared" si="0"/>
        <v>48365</v>
      </c>
      <c r="U8" s="698">
        <f t="shared" si="0"/>
        <v>48730</v>
      </c>
      <c r="V8" s="389"/>
      <c r="W8" s="392" t="s">
        <v>65</v>
      </c>
    </row>
    <row r="9" spans="1:36" s="390" customFormat="1">
      <c r="A9" s="389"/>
      <c r="B9" s="389"/>
      <c r="C9" s="389"/>
      <c r="D9" s="389"/>
      <c r="E9" s="389"/>
      <c r="F9" s="389"/>
      <c r="G9" s="389"/>
      <c r="H9" s="389"/>
      <c r="I9" s="389"/>
      <c r="J9" s="389"/>
      <c r="K9" s="389"/>
      <c r="L9" s="710">
        <v>1</v>
      </c>
      <c r="M9" s="710">
        <f>L9+1</f>
        <v>2</v>
      </c>
      <c r="N9" s="710">
        <f t="shared" ref="N9:U9" si="1">M9+1</f>
        <v>3</v>
      </c>
      <c r="O9" s="710">
        <f t="shared" si="1"/>
        <v>4</v>
      </c>
      <c r="P9" s="710">
        <f t="shared" si="1"/>
        <v>5</v>
      </c>
      <c r="Q9" s="710">
        <f t="shared" si="1"/>
        <v>6</v>
      </c>
      <c r="R9" s="710">
        <f t="shared" si="1"/>
        <v>7</v>
      </c>
      <c r="S9" s="710">
        <f t="shared" si="1"/>
        <v>8</v>
      </c>
      <c r="T9" s="710">
        <f t="shared" si="1"/>
        <v>9</v>
      </c>
      <c r="U9" s="710">
        <f t="shared" si="1"/>
        <v>10</v>
      </c>
      <c r="V9" s="389"/>
      <c r="W9" s="392" t="s">
        <v>65</v>
      </c>
    </row>
    <row r="10" spans="1:36" s="390" customFormat="1">
      <c r="A10" s="389"/>
      <c r="B10" s="389"/>
      <c r="C10" s="389"/>
      <c r="D10" s="389"/>
      <c r="E10" s="389"/>
      <c r="F10" s="389"/>
      <c r="G10" s="389"/>
      <c r="H10" s="389"/>
      <c r="I10" s="790" t="s">
        <v>11</v>
      </c>
      <c r="J10" s="699"/>
      <c r="K10" s="756"/>
      <c r="L10" s="757"/>
      <c r="M10" s="757"/>
      <c r="N10" s="757"/>
      <c r="O10" s="757"/>
      <c r="P10" s="757"/>
      <c r="Q10" s="757"/>
      <c r="R10" s="757"/>
      <c r="S10" s="757"/>
      <c r="T10" s="757"/>
      <c r="U10" s="757"/>
      <c r="V10" s="389"/>
      <c r="W10" s="392" t="s">
        <v>65</v>
      </c>
    </row>
    <row r="11" spans="1:36" s="390" customFormat="1" hidden="1" outlineLevel="1">
      <c r="A11" s="389"/>
      <c r="B11" s="389"/>
      <c r="C11" s="389"/>
      <c r="D11" s="998" t="s">
        <v>247</v>
      </c>
      <c r="E11" s="389"/>
      <c r="F11" s="389"/>
      <c r="G11" s="389"/>
      <c r="H11" s="389"/>
      <c r="I11" s="997"/>
      <c r="J11" s="699"/>
      <c r="K11" s="881"/>
      <c r="L11" s="710"/>
      <c r="M11" s="710"/>
      <c r="N11" s="710"/>
      <c r="O11" s="710"/>
      <c r="P11" s="710"/>
      <c r="Q11" s="710"/>
      <c r="R11" s="710"/>
      <c r="S11" s="710"/>
      <c r="T11" s="710"/>
      <c r="U11" s="710"/>
      <c r="V11" s="389"/>
      <c r="W11" s="392"/>
    </row>
    <row r="12" spans="1:36" s="390" customFormat="1" hidden="1" outlineLevel="1">
      <c r="A12" s="389"/>
      <c r="B12" s="389"/>
      <c r="C12" s="389"/>
      <c r="D12" s="389" t="s">
        <v>91</v>
      </c>
      <c r="E12" s="389"/>
      <c r="F12" s="389"/>
      <c r="G12" s="389"/>
      <c r="H12" s="389"/>
      <c r="I12" s="791"/>
      <c r="J12" s="389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389"/>
      <c r="W12" s="392" t="s">
        <v>65</v>
      </c>
    </row>
    <row r="13" spans="1:36" s="390" customFormat="1" hidden="1" outlineLevel="1">
      <c r="A13" s="389"/>
      <c r="B13" s="389"/>
      <c r="C13" s="389"/>
      <c r="D13" s="403" t="s">
        <v>499</v>
      </c>
      <c r="F13" s="700"/>
      <c r="G13" s="700"/>
      <c r="H13" s="700"/>
      <c r="I13" s="792">
        <f ca="1">MAX(L13:U13)</f>
        <v>0</v>
      </c>
      <c r="J13" s="700"/>
      <c r="K13" s="404"/>
      <c r="L13" s="750">
        <f ca="1">_xlfn.MAXIFS('Monthly-CF'!$L13:$EA13,'Monthly-CF'!$L$9:$EA$9,'Annual-CF'!L$9)</f>
        <v>0</v>
      </c>
      <c r="M13" s="750">
        <f ca="1">_xlfn.MAXIFS('Monthly-CF'!$L13:$EA13,'Monthly-CF'!$L$9:$EA$9,'Annual-CF'!M$9)</f>
        <v>0</v>
      </c>
      <c r="N13" s="750">
        <f ca="1">_xlfn.MAXIFS('Monthly-CF'!$L13:$EA13,'Monthly-CF'!$L$9:$EA$9,'Annual-CF'!N$9)</f>
        <v>0</v>
      </c>
      <c r="O13" s="750">
        <f ca="1">_xlfn.MAXIFS('Monthly-CF'!$L13:$EA13,'Monthly-CF'!$L$9:$EA$9,'Annual-CF'!O$9)</f>
        <v>0</v>
      </c>
      <c r="P13" s="750">
        <f ca="1">_xlfn.MAXIFS('Monthly-CF'!$L13:$EA13,'Monthly-CF'!$L$9:$EA$9,'Annual-CF'!P$9)</f>
        <v>0</v>
      </c>
      <c r="Q13" s="750">
        <f ca="1">_xlfn.MAXIFS('Monthly-CF'!$L13:$EA13,'Monthly-CF'!$L$9:$EA$9,'Annual-CF'!Q$9)</f>
        <v>0</v>
      </c>
      <c r="R13" s="750">
        <f ca="1">_xlfn.MAXIFS('Monthly-CF'!$L13:$EA13,'Monthly-CF'!$L$9:$EA$9,'Annual-CF'!R$9)</f>
        <v>0</v>
      </c>
      <c r="S13" s="750">
        <f ca="1">_xlfn.MAXIFS('Monthly-CF'!$L13:$EA13,'Monthly-CF'!$L$9:$EA$9,'Annual-CF'!S$9)</f>
        <v>0</v>
      </c>
      <c r="T13" s="750">
        <f ca="1">_xlfn.MAXIFS('Monthly-CF'!$L13:$EA13,'Monthly-CF'!$L$9:$EA$9,'Annual-CF'!T$9)</f>
        <v>0</v>
      </c>
      <c r="U13" s="750">
        <f ca="1">_xlfn.MAXIFS('Monthly-CF'!$L13:$EA13,'Monthly-CF'!$L$9:$EA$9,'Annual-CF'!U$9)</f>
        <v>0</v>
      </c>
      <c r="V13" s="389"/>
      <c r="W13" s="392" t="s">
        <v>65</v>
      </c>
    </row>
    <row r="14" spans="1:36" s="390" customFormat="1" hidden="1" outlineLevel="2">
      <c r="A14" s="389"/>
      <c r="B14" s="389"/>
      <c r="C14" s="389"/>
      <c r="D14" s="403" t="s">
        <v>500</v>
      </c>
      <c r="F14" s="700"/>
      <c r="G14" s="700"/>
      <c r="H14" s="700"/>
      <c r="I14" s="792">
        <f>MAX(L14:U14)</f>
        <v>0</v>
      </c>
      <c r="J14" s="700"/>
      <c r="K14" s="404"/>
      <c r="L14" s="750">
        <f>_xlfn.MAXIFS('Monthly-CF'!$L14:$EA14,'Monthly-CF'!$L$9:$EA$9,'Annual-CF'!L$9)</f>
        <v>0</v>
      </c>
      <c r="M14" s="750">
        <f>_xlfn.MAXIFS('Monthly-CF'!$L14:$EA14,'Monthly-CF'!$L$9:$EA$9,'Annual-CF'!M$9)</f>
        <v>0</v>
      </c>
      <c r="N14" s="750">
        <f>_xlfn.MAXIFS('Monthly-CF'!$L14:$EA14,'Monthly-CF'!$L$9:$EA$9,'Annual-CF'!N$9)</f>
        <v>0</v>
      </c>
      <c r="O14" s="750">
        <f>_xlfn.MAXIFS('Monthly-CF'!$L14:$EA14,'Monthly-CF'!$L$9:$EA$9,'Annual-CF'!O$9)</f>
        <v>0</v>
      </c>
      <c r="P14" s="750">
        <f>_xlfn.MAXIFS('Monthly-CF'!$L14:$EA14,'Monthly-CF'!$L$9:$EA$9,'Annual-CF'!P$9)</f>
        <v>0</v>
      </c>
      <c r="Q14" s="750">
        <f>_xlfn.MAXIFS('Monthly-CF'!$L14:$EA14,'Monthly-CF'!$L$9:$EA$9,'Annual-CF'!Q$9)</f>
        <v>0</v>
      </c>
      <c r="R14" s="750">
        <f>_xlfn.MAXIFS('Monthly-CF'!$L14:$EA14,'Monthly-CF'!$L$9:$EA$9,'Annual-CF'!R$9)</f>
        <v>0</v>
      </c>
      <c r="S14" s="750">
        <f>_xlfn.MAXIFS('Monthly-CF'!$L14:$EA14,'Monthly-CF'!$L$9:$EA$9,'Annual-CF'!S$9)</f>
        <v>0</v>
      </c>
      <c r="T14" s="750">
        <f>_xlfn.MAXIFS('Monthly-CF'!$L14:$EA14,'Monthly-CF'!$L$9:$EA$9,'Annual-CF'!T$9)</f>
        <v>0</v>
      </c>
      <c r="U14" s="750">
        <f>_xlfn.MAXIFS('Monthly-CF'!$L14:$EA14,'Monthly-CF'!$L$9:$EA$9,'Annual-CF'!U$9)</f>
        <v>0</v>
      </c>
      <c r="V14" s="389"/>
      <c r="W14" s="392" t="s">
        <v>65</v>
      </c>
    </row>
    <row r="15" spans="1:36" s="390" customFormat="1" hidden="1" outlineLevel="1" collapsed="1">
      <c r="A15" s="389"/>
      <c r="B15" s="389"/>
      <c r="C15" s="389"/>
      <c r="D15" s="403" t="str">
        <f>CONCATENATE("Occ - ",Assumptions!$J$54)</f>
        <v>Occ - Ancillary Fees</v>
      </c>
      <c r="F15" s="389"/>
      <c r="G15" s="389"/>
      <c r="H15" s="389"/>
      <c r="I15" s="792">
        <f ca="1">MAX(L15:U15)</f>
        <v>0</v>
      </c>
      <c r="J15" s="389"/>
      <c r="K15" s="404"/>
      <c r="L15" s="750">
        <f ca="1">_xlfn.MAXIFS('Monthly-CF'!$L15:$EA15,'Monthly-CF'!$L$9:$EA$9,'Annual-CF'!L$9)</f>
        <v>0</v>
      </c>
      <c r="M15" s="750">
        <f ca="1">_xlfn.MAXIFS('Monthly-CF'!$L15:$EA15,'Monthly-CF'!$L$9:$EA$9,'Annual-CF'!M$9)</f>
        <v>0</v>
      </c>
      <c r="N15" s="750">
        <f ca="1">_xlfn.MAXIFS('Monthly-CF'!$L15:$EA15,'Monthly-CF'!$L$9:$EA$9,'Annual-CF'!N$9)</f>
        <v>0</v>
      </c>
      <c r="O15" s="750">
        <f ca="1">_xlfn.MAXIFS('Monthly-CF'!$L15:$EA15,'Monthly-CF'!$L$9:$EA$9,'Annual-CF'!O$9)</f>
        <v>0</v>
      </c>
      <c r="P15" s="750">
        <f ca="1">_xlfn.MAXIFS('Monthly-CF'!$L15:$EA15,'Monthly-CF'!$L$9:$EA$9,'Annual-CF'!P$9)</f>
        <v>0</v>
      </c>
      <c r="Q15" s="750">
        <f ca="1">_xlfn.MAXIFS('Monthly-CF'!$L15:$EA15,'Monthly-CF'!$L$9:$EA$9,'Annual-CF'!Q$9)</f>
        <v>0</v>
      </c>
      <c r="R15" s="750">
        <f ca="1">_xlfn.MAXIFS('Monthly-CF'!$L15:$EA15,'Monthly-CF'!$L$9:$EA$9,'Annual-CF'!R$9)</f>
        <v>0</v>
      </c>
      <c r="S15" s="750">
        <f ca="1">_xlfn.MAXIFS('Monthly-CF'!$L15:$EA15,'Monthly-CF'!$L$9:$EA$9,'Annual-CF'!S$9)</f>
        <v>0</v>
      </c>
      <c r="T15" s="750">
        <f ca="1">_xlfn.MAXIFS('Monthly-CF'!$L15:$EA15,'Monthly-CF'!$L$9:$EA$9,'Annual-CF'!T$9)</f>
        <v>0</v>
      </c>
      <c r="U15" s="750">
        <f ca="1">_xlfn.MAXIFS('Monthly-CF'!$L15:$EA15,'Monthly-CF'!$L$9:$EA$9,'Annual-CF'!U$9)</f>
        <v>0</v>
      </c>
      <c r="V15" s="389"/>
      <c r="W15" s="392" t="s">
        <v>65</v>
      </c>
    </row>
    <row r="16" spans="1:36" s="390" customFormat="1" hidden="1" outlineLevel="1">
      <c r="A16" s="389"/>
      <c r="B16" s="389"/>
      <c r="C16" s="389"/>
      <c r="D16" s="389"/>
      <c r="E16" s="389"/>
      <c r="F16" s="389"/>
      <c r="G16" s="389"/>
      <c r="H16" s="389"/>
      <c r="I16" s="791"/>
      <c r="J16" s="389"/>
      <c r="K16" s="402"/>
      <c r="L16" s="812"/>
      <c r="M16" s="812"/>
      <c r="N16" s="812"/>
      <c r="O16" s="812"/>
      <c r="P16" s="812"/>
      <c r="Q16" s="812"/>
      <c r="R16" s="812"/>
      <c r="S16" s="812"/>
      <c r="T16" s="812"/>
      <c r="U16" s="812"/>
      <c r="V16" s="389"/>
      <c r="W16" s="392" t="s">
        <v>65</v>
      </c>
    </row>
    <row r="17" spans="1:23" s="390" customFormat="1" hidden="1" outlineLevel="1">
      <c r="A17" s="389"/>
      <c r="C17" s="389"/>
      <c r="D17" s="766" t="s">
        <v>474</v>
      </c>
      <c r="E17" s="711"/>
      <c r="F17" s="710"/>
      <c r="G17" s="711"/>
      <c r="H17" s="389"/>
      <c r="I17" s="793"/>
      <c r="J17" s="389"/>
      <c r="K17" s="405"/>
      <c r="L17" s="750">
        <v>0</v>
      </c>
      <c r="M17" s="750">
        <f>Assumptions!$H$56</f>
        <v>0.04</v>
      </c>
      <c r="N17" s="750">
        <f>((1+M17)*(1+Assumptions!$H$56))-1</f>
        <v>8.1600000000000117E-2</v>
      </c>
      <c r="O17" s="750">
        <f>((1+N17)*(1+Assumptions!$H$56))-1</f>
        <v>0.12486400000000009</v>
      </c>
      <c r="P17" s="750">
        <f>((1+O17)*(1+Assumptions!$H$56))-1</f>
        <v>0.16985856000000021</v>
      </c>
      <c r="Q17" s="750">
        <f>((1+P17)*(1+Assumptions!$H$56))-1</f>
        <v>0.21665290240000035</v>
      </c>
      <c r="R17" s="750">
        <f>((1+Q17)*(1+Assumptions!$H$56))-1</f>
        <v>0.26531901849600037</v>
      </c>
      <c r="S17" s="750">
        <f>((1+R17)*(1+Assumptions!$H$56))-1</f>
        <v>0.31593177923584048</v>
      </c>
      <c r="T17" s="750">
        <f>((1+S17)*(1+Assumptions!$H$56))-1</f>
        <v>0.3685690504052741</v>
      </c>
      <c r="U17" s="750">
        <f>((1+T17)*(1+Assumptions!$H$56))-1</f>
        <v>0.42331181242148519</v>
      </c>
      <c r="V17" s="389"/>
      <c r="W17" s="392" t="s">
        <v>65</v>
      </c>
    </row>
    <row r="18" spans="1:23" s="390" customFormat="1" hidden="1" outlineLevel="1">
      <c r="A18" s="389"/>
      <c r="C18" s="389"/>
      <c r="D18" s="403" t="s">
        <v>501</v>
      </c>
      <c r="E18" s="700"/>
      <c r="F18" s="389"/>
      <c r="G18" s="749"/>
      <c r="H18" s="389"/>
      <c r="I18" s="794">
        <f ca="1">MAX(L18:U18)</f>
        <v>0</v>
      </c>
      <c r="J18" s="389"/>
      <c r="K18" s="407"/>
      <c r="L18" s="407">
        <f ca="1">_xlfn.MAXIFS('Monthly-CF'!$L18:$EA18,'Monthly-CF'!$L$9:$EA$9,'Annual-CF'!L$9)</f>
        <v>0</v>
      </c>
      <c r="M18" s="407">
        <f ca="1">_xlfn.MAXIFS('Monthly-CF'!$L18:$EA18,'Monthly-CF'!$L$9:$EA$9,'Annual-CF'!M$9)</f>
        <v>0</v>
      </c>
      <c r="N18" s="407">
        <f ca="1">_xlfn.MAXIFS('Monthly-CF'!$L18:$EA18,'Monthly-CF'!$L$9:$EA$9,'Annual-CF'!N$9)</f>
        <v>0</v>
      </c>
      <c r="O18" s="407">
        <f ca="1">_xlfn.MAXIFS('Monthly-CF'!$L18:$EA18,'Monthly-CF'!$L$9:$EA$9,'Annual-CF'!O$9)</f>
        <v>0</v>
      </c>
      <c r="P18" s="407">
        <f ca="1">_xlfn.MAXIFS('Monthly-CF'!$L18:$EA18,'Monthly-CF'!$L$9:$EA$9,'Annual-CF'!P$9)</f>
        <v>0</v>
      </c>
      <c r="Q18" s="407">
        <f ca="1">_xlfn.MAXIFS('Monthly-CF'!$L18:$EA18,'Monthly-CF'!$L$9:$EA$9,'Annual-CF'!Q$9)</f>
        <v>0</v>
      </c>
      <c r="R18" s="407">
        <f ca="1">_xlfn.MAXIFS('Monthly-CF'!$L18:$EA18,'Monthly-CF'!$L$9:$EA$9,'Annual-CF'!R$9)</f>
        <v>0</v>
      </c>
      <c r="S18" s="407">
        <f ca="1">_xlfn.MAXIFS('Monthly-CF'!$L18:$EA18,'Monthly-CF'!$L$9:$EA$9,'Annual-CF'!S$9)</f>
        <v>0</v>
      </c>
      <c r="T18" s="407">
        <f ca="1">_xlfn.MAXIFS('Monthly-CF'!$L18:$EA18,'Monthly-CF'!$L$9:$EA$9,'Annual-CF'!T$9)</f>
        <v>0</v>
      </c>
      <c r="U18" s="407">
        <f ca="1">_xlfn.MAXIFS('Monthly-CF'!$L18:$EA18,'Monthly-CF'!$L$9:$EA$9,'Annual-CF'!U$9)</f>
        <v>0</v>
      </c>
      <c r="V18" s="389"/>
      <c r="W18" s="392" t="s">
        <v>65</v>
      </c>
    </row>
    <row r="19" spans="1:23" s="390" customFormat="1" hidden="1" outlineLevel="2">
      <c r="A19" s="389"/>
      <c r="C19" s="389"/>
      <c r="D19" s="403" t="s">
        <v>502</v>
      </c>
      <c r="E19" s="700"/>
      <c r="F19" s="389"/>
      <c r="G19" s="749"/>
      <c r="H19" s="389"/>
      <c r="I19" s="794">
        <f>MAX(L19:U19)</f>
        <v>0</v>
      </c>
      <c r="J19" s="389"/>
      <c r="K19" s="407"/>
      <c r="L19" s="407">
        <f>_xlfn.MAXIFS('Monthly-CF'!$L19:$EA19,'Monthly-CF'!$L$9:$EA$9,'Annual-CF'!L$9)</f>
        <v>0</v>
      </c>
      <c r="M19" s="407">
        <f>_xlfn.MAXIFS('Monthly-CF'!$L19:$EA19,'Monthly-CF'!$L$9:$EA$9,'Annual-CF'!M$9)</f>
        <v>0</v>
      </c>
      <c r="N19" s="407">
        <f>_xlfn.MAXIFS('Monthly-CF'!$L19:$EA19,'Monthly-CF'!$L$9:$EA$9,'Annual-CF'!N$9)</f>
        <v>0</v>
      </c>
      <c r="O19" s="407">
        <f>_xlfn.MAXIFS('Monthly-CF'!$L19:$EA19,'Monthly-CF'!$L$9:$EA$9,'Annual-CF'!O$9)</f>
        <v>0</v>
      </c>
      <c r="P19" s="407">
        <f>_xlfn.MAXIFS('Monthly-CF'!$L19:$EA19,'Monthly-CF'!$L$9:$EA$9,'Annual-CF'!P$9)</f>
        <v>0</v>
      </c>
      <c r="Q19" s="407">
        <f>_xlfn.MAXIFS('Monthly-CF'!$L19:$EA19,'Monthly-CF'!$L$9:$EA$9,'Annual-CF'!Q$9)</f>
        <v>0</v>
      </c>
      <c r="R19" s="407">
        <f>_xlfn.MAXIFS('Monthly-CF'!$L19:$EA19,'Monthly-CF'!$L$9:$EA$9,'Annual-CF'!R$9)</f>
        <v>0</v>
      </c>
      <c r="S19" s="407">
        <f>_xlfn.MAXIFS('Monthly-CF'!$L19:$EA19,'Monthly-CF'!$L$9:$EA$9,'Annual-CF'!S$9)</f>
        <v>0</v>
      </c>
      <c r="T19" s="407">
        <f>_xlfn.MAXIFS('Monthly-CF'!$L19:$EA19,'Monthly-CF'!$L$9:$EA$9,'Annual-CF'!T$9)</f>
        <v>0</v>
      </c>
      <c r="U19" s="407">
        <f>_xlfn.MAXIFS('Monthly-CF'!$L19:$EA19,'Monthly-CF'!$L$9:$EA$9,'Annual-CF'!U$9)</f>
        <v>0</v>
      </c>
      <c r="V19" s="389"/>
      <c r="W19" s="392" t="s">
        <v>65</v>
      </c>
    </row>
    <row r="20" spans="1:23" s="390" customFormat="1" hidden="1" outlineLevel="1" collapsed="1">
      <c r="A20" s="389"/>
      <c r="C20" s="389"/>
      <c r="D20" s="403" t="str">
        <f>CONCATENATE("PSF - ",Assumptions!J54)</f>
        <v>PSF - Ancillary Fees</v>
      </c>
      <c r="E20" s="389"/>
      <c r="F20" s="389"/>
      <c r="G20" s="749"/>
      <c r="H20" s="389"/>
      <c r="I20" s="794">
        <f ca="1">MAX(L20:U20)</f>
        <v>0</v>
      </c>
      <c r="J20" s="389"/>
      <c r="K20" s="407"/>
      <c r="L20" s="407">
        <f ca="1">_xlfn.MAXIFS('Monthly-CF'!$L20:$EA20,'Monthly-CF'!$L$9:$EA$9,'Annual-CF'!L$9)</f>
        <v>0</v>
      </c>
      <c r="M20" s="407">
        <f ca="1">_xlfn.MAXIFS('Monthly-CF'!$L20:$EA20,'Monthly-CF'!$L$9:$EA$9,'Annual-CF'!M$9)</f>
        <v>0</v>
      </c>
      <c r="N20" s="407">
        <f ca="1">_xlfn.MAXIFS('Monthly-CF'!$L20:$EA20,'Monthly-CF'!$L$9:$EA$9,'Annual-CF'!N$9)</f>
        <v>0</v>
      </c>
      <c r="O20" s="407">
        <f ca="1">_xlfn.MAXIFS('Monthly-CF'!$L20:$EA20,'Monthly-CF'!$L$9:$EA$9,'Annual-CF'!O$9)</f>
        <v>0</v>
      </c>
      <c r="P20" s="407">
        <f ca="1">_xlfn.MAXIFS('Monthly-CF'!$L20:$EA20,'Monthly-CF'!$L$9:$EA$9,'Annual-CF'!P$9)</f>
        <v>0</v>
      </c>
      <c r="Q20" s="407">
        <f ca="1">_xlfn.MAXIFS('Monthly-CF'!$L20:$EA20,'Monthly-CF'!$L$9:$EA$9,'Annual-CF'!Q$9)</f>
        <v>0</v>
      </c>
      <c r="R20" s="407">
        <f ca="1">_xlfn.MAXIFS('Monthly-CF'!$L20:$EA20,'Monthly-CF'!$L$9:$EA$9,'Annual-CF'!R$9)</f>
        <v>0</v>
      </c>
      <c r="S20" s="407">
        <f ca="1">_xlfn.MAXIFS('Monthly-CF'!$L20:$EA20,'Monthly-CF'!$L$9:$EA$9,'Annual-CF'!S$9)</f>
        <v>0</v>
      </c>
      <c r="T20" s="407">
        <f ca="1">_xlfn.MAXIFS('Monthly-CF'!$L20:$EA20,'Monthly-CF'!$L$9:$EA$9,'Annual-CF'!T$9)</f>
        <v>0</v>
      </c>
      <c r="U20" s="407">
        <f ca="1">_xlfn.MAXIFS('Monthly-CF'!$L20:$EA20,'Monthly-CF'!$L$9:$EA$9,'Annual-CF'!U$9)</f>
        <v>0</v>
      </c>
      <c r="V20" s="389"/>
      <c r="W20" s="392" t="s">
        <v>65</v>
      </c>
    </row>
    <row r="21" spans="1:23" s="390" customFormat="1" hidden="1" outlineLevel="1">
      <c r="A21" s="389"/>
      <c r="C21" s="389"/>
      <c r="D21" s="403"/>
      <c r="E21" s="389"/>
      <c r="F21" s="389"/>
      <c r="G21" s="749"/>
      <c r="H21" s="389"/>
      <c r="I21" s="794"/>
      <c r="J21" s="389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389"/>
      <c r="W21" s="392" t="s">
        <v>65</v>
      </c>
    </row>
    <row r="22" spans="1:23" s="390" customFormat="1" hidden="1" outlineLevel="1">
      <c r="A22" s="389"/>
      <c r="B22" s="389"/>
      <c r="C22" s="389"/>
      <c r="D22" s="766" t="s">
        <v>6</v>
      </c>
      <c r="E22" s="711"/>
      <c r="F22" s="389"/>
      <c r="G22" s="402"/>
      <c r="H22" s="389"/>
      <c r="I22" s="791"/>
      <c r="J22" s="389"/>
      <c r="K22" s="402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389"/>
      <c r="W22" s="392" t="s">
        <v>65</v>
      </c>
    </row>
    <row r="23" spans="1:23" s="390" customFormat="1" hidden="1" outlineLevel="1">
      <c r="A23" s="389"/>
      <c r="B23" s="389"/>
      <c r="C23" s="389"/>
      <c r="D23" s="403" t="s">
        <v>503</v>
      </c>
      <c r="E23" s="406"/>
      <c r="F23" s="701"/>
      <c r="G23" s="702"/>
      <c r="H23" s="701"/>
      <c r="I23" s="795">
        <f ca="1">SUM(K23:U23)</f>
        <v>0</v>
      </c>
      <c r="J23" s="701"/>
      <c r="K23" s="703"/>
      <c r="L23" s="703">
        <f ca="1">SUMIFS('Monthly-CF'!$L23:$EA23,'Monthly-CF'!$L$9:$EA$9,'Annual-CF'!L$9)</f>
        <v>0</v>
      </c>
      <c r="M23" s="703">
        <f ca="1">SUMIFS('Monthly-CF'!$L23:$EA23,'Monthly-CF'!$L$9:$EA$9,'Annual-CF'!M$9)</f>
        <v>0</v>
      </c>
      <c r="N23" s="703">
        <f ca="1">SUMIFS('Monthly-CF'!$L23:$EA23,'Monthly-CF'!$L$9:$EA$9,'Annual-CF'!N$9)</f>
        <v>0</v>
      </c>
      <c r="O23" s="703">
        <f ca="1">SUMIFS('Monthly-CF'!$L23:$EA23,'Monthly-CF'!$L$9:$EA$9,'Annual-CF'!O$9)</f>
        <v>0</v>
      </c>
      <c r="P23" s="703">
        <f ca="1">SUMIFS('Monthly-CF'!$L23:$EA23,'Monthly-CF'!$L$9:$EA$9,'Annual-CF'!P$9)</f>
        <v>0</v>
      </c>
      <c r="Q23" s="703">
        <f ca="1">SUMIFS('Monthly-CF'!$L23:$EA23,'Monthly-CF'!$L$9:$EA$9,'Annual-CF'!Q$9)</f>
        <v>0</v>
      </c>
      <c r="R23" s="703">
        <f ca="1">SUMIFS('Monthly-CF'!$L23:$EA23,'Monthly-CF'!$L$9:$EA$9,'Annual-CF'!R$9)</f>
        <v>0</v>
      </c>
      <c r="S23" s="703">
        <f ca="1">SUMIFS('Monthly-CF'!$L23:$EA23,'Monthly-CF'!$L$9:$EA$9,'Annual-CF'!S$9)</f>
        <v>0</v>
      </c>
      <c r="T23" s="703">
        <f ca="1">SUMIFS('Monthly-CF'!$L23:$EA23,'Monthly-CF'!$L$9:$EA$9,'Annual-CF'!T$9)</f>
        <v>0</v>
      </c>
      <c r="U23" s="703">
        <f ca="1">SUMIFS('Monthly-CF'!$L23:$EA23,'Monthly-CF'!$L$9:$EA$9,'Annual-CF'!U$9)</f>
        <v>0</v>
      </c>
      <c r="V23" s="389"/>
      <c r="W23" s="392" t="s">
        <v>65</v>
      </c>
    </row>
    <row r="24" spans="1:23" s="390" customFormat="1" hidden="1" outlineLevel="2">
      <c r="A24" s="389"/>
      <c r="B24" s="389"/>
      <c r="C24" s="389"/>
      <c r="D24" s="403" t="s">
        <v>504</v>
      </c>
      <c r="E24" s="406"/>
      <c r="F24" s="701"/>
      <c r="G24" s="702"/>
      <c r="H24" s="701"/>
      <c r="I24" s="795">
        <f>SUM(K24:U24)</f>
        <v>0</v>
      </c>
      <c r="J24" s="701"/>
      <c r="K24" s="703"/>
      <c r="L24" s="703">
        <f>SUMIFS('Monthly-CF'!$L24:$EA24,'Monthly-CF'!$L$9:$EA$9,'Annual-CF'!L$9)</f>
        <v>0</v>
      </c>
      <c r="M24" s="703">
        <f>SUMIFS('Monthly-CF'!$L24:$EA24,'Monthly-CF'!$L$9:$EA$9,'Annual-CF'!M$9)</f>
        <v>0</v>
      </c>
      <c r="N24" s="703">
        <f>SUMIFS('Monthly-CF'!$L24:$EA24,'Monthly-CF'!$L$9:$EA$9,'Annual-CF'!N$9)</f>
        <v>0</v>
      </c>
      <c r="O24" s="703">
        <f>SUMIFS('Monthly-CF'!$L24:$EA24,'Monthly-CF'!$L$9:$EA$9,'Annual-CF'!O$9)</f>
        <v>0</v>
      </c>
      <c r="P24" s="703">
        <f>SUMIFS('Monthly-CF'!$L24:$EA24,'Monthly-CF'!$L$9:$EA$9,'Annual-CF'!P$9)</f>
        <v>0</v>
      </c>
      <c r="Q24" s="703">
        <f>SUMIFS('Monthly-CF'!$L24:$EA24,'Monthly-CF'!$L$9:$EA$9,'Annual-CF'!Q$9)</f>
        <v>0</v>
      </c>
      <c r="R24" s="703">
        <f>SUMIFS('Monthly-CF'!$L24:$EA24,'Monthly-CF'!$L$9:$EA$9,'Annual-CF'!R$9)</f>
        <v>0</v>
      </c>
      <c r="S24" s="703">
        <f>SUMIFS('Monthly-CF'!$L24:$EA24,'Monthly-CF'!$L$9:$EA$9,'Annual-CF'!S$9)</f>
        <v>0</v>
      </c>
      <c r="T24" s="703">
        <f>SUMIFS('Monthly-CF'!$L24:$EA24,'Monthly-CF'!$L$9:$EA$9,'Annual-CF'!T$9)</f>
        <v>0</v>
      </c>
      <c r="U24" s="703">
        <f>SUMIFS('Monthly-CF'!$L24:$EA24,'Monthly-CF'!$L$9:$EA$9,'Annual-CF'!U$9)</f>
        <v>0</v>
      </c>
      <c r="V24" s="389"/>
      <c r="W24" s="392" t="s">
        <v>65</v>
      </c>
    </row>
    <row r="25" spans="1:23" s="390" customFormat="1" hidden="1" outlineLevel="1">
      <c r="A25" s="389"/>
      <c r="B25" s="389"/>
      <c r="C25" s="389"/>
      <c r="D25" s="403" t="str">
        <f>CONCATENATE("Revenue - ",Assumptions!J$54)</f>
        <v>Revenue - Ancillary Fees</v>
      </c>
      <c r="E25" s="406"/>
      <c r="F25" s="701"/>
      <c r="G25" s="389"/>
      <c r="H25" s="701"/>
      <c r="I25" s="795">
        <f ca="1">SUM(K25:U25)</f>
        <v>0</v>
      </c>
      <c r="J25" s="701"/>
      <c r="K25" s="703"/>
      <c r="L25" s="703">
        <f ca="1">SUMIFS('Monthly-CF'!$L25:$EA25,'Monthly-CF'!$L$9:$EA$9,'Annual-CF'!L$9)</f>
        <v>0</v>
      </c>
      <c r="M25" s="703">
        <f ca="1">SUMIFS('Monthly-CF'!$L25:$EA25,'Monthly-CF'!$L$9:$EA$9,'Annual-CF'!M$9)</f>
        <v>0</v>
      </c>
      <c r="N25" s="703">
        <f ca="1">SUMIFS('Monthly-CF'!$L25:$EA25,'Monthly-CF'!$L$9:$EA$9,'Annual-CF'!N$9)</f>
        <v>0</v>
      </c>
      <c r="O25" s="703">
        <f ca="1">SUMIFS('Monthly-CF'!$L25:$EA25,'Monthly-CF'!$L$9:$EA$9,'Annual-CF'!O$9)</f>
        <v>0</v>
      </c>
      <c r="P25" s="703">
        <f ca="1">SUMIFS('Monthly-CF'!$L25:$EA25,'Monthly-CF'!$L$9:$EA$9,'Annual-CF'!P$9)</f>
        <v>0</v>
      </c>
      <c r="Q25" s="703">
        <f ca="1">SUMIFS('Monthly-CF'!$L25:$EA25,'Monthly-CF'!$L$9:$EA$9,'Annual-CF'!Q$9)</f>
        <v>0</v>
      </c>
      <c r="R25" s="703">
        <f ca="1">SUMIFS('Monthly-CF'!$L25:$EA25,'Monthly-CF'!$L$9:$EA$9,'Annual-CF'!R$9)</f>
        <v>0</v>
      </c>
      <c r="S25" s="703">
        <f ca="1">SUMIFS('Monthly-CF'!$L25:$EA25,'Monthly-CF'!$L$9:$EA$9,'Annual-CF'!S$9)</f>
        <v>0</v>
      </c>
      <c r="T25" s="703">
        <f ca="1">SUMIFS('Monthly-CF'!$L25:$EA25,'Monthly-CF'!$L$9:$EA$9,'Annual-CF'!T$9)</f>
        <v>0</v>
      </c>
      <c r="U25" s="703">
        <f ca="1">SUMIFS('Monthly-CF'!$L25:$EA25,'Monthly-CF'!$L$9:$EA$9,'Annual-CF'!U$9)</f>
        <v>0</v>
      </c>
      <c r="V25" s="389"/>
      <c r="W25" s="392" t="s">
        <v>65</v>
      </c>
    </row>
    <row r="26" spans="1:23" s="390" customFormat="1" hidden="1" outlineLevel="1">
      <c r="A26" s="389"/>
      <c r="B26" s="389"/>
      <c r="C26" s="389"/>
      <c r="D26" s="389"/>
      <c r="E26" s="701"/>
      <c r="F26" s="701"/>
      <c r="G26" s="389"/>
      <c r="H26" s="701"/>
      <c r="I26" s="796"/>
      <c r="J26" s="701"/>
      <c r="K26" s="389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389"/>
      <c r="W26" s="392" t="s">
        <v>65</v>
      </c>
    </row>
    <row r="27" spans="1:23" s="390" customFormat="1" hidden="1" outlineLevel="1">
      <c r="A27" s="389"/>
      <c r="B27" s="389"/>
      <c r="C27" s="389"/>
      <c r="D27" s="409" t="s">
        <v>28</v>
      </c>
      <c r="E27" s="701"/>
      <c r="F27" s="701"/>
      <c r="G27" s="389"/>
      <c r="H27" s="701"/>
      <c r="I27" s="795">
        <f ca="1">SUM(K27:U27)</f>
        <v>0</v>
      </c>
      <c r="J27" s="701"/>
      <c r="K27" s="703"/>
      <c r="L27" s="703">
        <f ca="1">SUMIFS('Monthly-CF'!$L27:$EA27,'Monthly-CF'!$L$9:$EA$9,'Annual-CF'!L$9)</f>
        <v>0</v>
      </c>
      <c r="M27" s="703">
        <f ca="1">SUMIFS('Monthly-CF'!$L27:$EA27,'Monthly-CF'!$L$9:$EA$9,'Annual-CF'!M$9)</f>
        <v>0</v>
      </c>
      <c r="N27" s="703">
        <f ca="1">SUMIFS('Monthly-CF'!$L27:$EA27,'Monthly-CF'!$L$9:$EA$9,'Annual-CF'!N$9)</f>
        <v>0</v>
      </c>
      <c r="O27" s="703">
        <f ca="1">SUMIFS('Monthly-CF'!$L27:$EA27,'Monthly-CF'!$L$9:$EA$9,'Annual-CF'!O$9)</f>
        <v>0</v>
      </c>
      <c r="P27" s="703">
        <f ca="1">SUMIFS('Monthly-CF'!$L27:$EA27,'Monthly-CF'!$L$9:$EA$9,'Annual-CF'!P$9)</f>
        <v>0</v>
      </c>
      <c r="Q27" s="703">
        <f ca="1">SUMIFS('Monthly-CF'!$L27:$EA27,'Monthly-CF'!$L$9:$EA$9,'Annual-CF'!Q$9)</f>
        <v>0</v>
      </c>
      <c r="R27" s="703">
        <f ca="1">SUMIFS('Monthly-CF'!$L27:$EA27,'Monthly-CF'!$L$9:$EA$9,'Annual-CF'!R$9)</f>
        <v>0</v>
      </c>
      <c r="S27" s="703">
        <f ca="1">SUMIFS('Monthly-CF'!$L27:$EA27,'Monthly-CF'!$L$9:$EA$9,'Annual-CF'!S$9)</f>
        <v>0</v>
      </c>
      <c r="T27" s="703">
        <f ca="1">SUMIFS('Monthly-CF'!$L27:$EA27,'Monthly-CF'!$L$9:$EA$9,'Annual-CF'!T$9)</f>
        <v>0</v>
      </c>
      <c r="U27" s="703">
        <f ca="1">SUMIFS('Monthly-CF'!$L27:$EA27,'Monthly-CF'!$L$9:$EA$9,'Annual-CF'!U$9)</f>
        <v>0</v>
      </c>
      <c r="V27" s="389"/>
      <c r="W27" s="392" t="s">
        <v>65</v>
      </c>
    </row>
    <row r="28" spans="1:23" s="390" customFormat="1" hidden="1" outlineLevel="1">
      <c r="A28" s="389"/>
      <c r="B28" s="389"/>
      <c r="C28" s="389"/>
      <c r="D28" s="410" t="s">
        <v>33</v>
      </c>
      <c r="E28" s="411"/>
      <c r="F28" s="411"/>
      <c r="G28" s="411"/>
      <c r="H28" s="411"/>
      <c r="I28" s="797">
        <f ca="1">SUM(K28:U28)</f>
        <v>0</v>
      </c>
      <c r="J28" s="701"/>
      <c r="K28" s="411"/>
      <c r="L28" s="411">
        <f t="shared" ref="L28:U28" ca="1" si="2">SUM(L23:L25)+SUM(L27:L27)</f>
        <v>0</v>
      </c>
      <c r="M28" s="411">
        <f t="shared" ca="1" si="2"/>
        <v>0</v>
      </c>
      <c r="N28" s="411">
        <f t="shared" ca="1" si="2"/>
        <v>0</v>
      </c>
      <c r="O28" s="411">
        <f t="shared" ca="1" si="2"/>
        <v>0</v>
      </c>
      <c r="P28" s="411">
        <f t="shared" ca="1" si="2"/>
        <v>0</v>
      </c>
      <c r="Q28" s="411">
        <f t="shared" ca="1" si="2"/>
        <v>0</v>
      </c>
      <c r="R28" s="411">
        <f t="shared" ca="1" si="2"/>
        <v>0</v>
      </c>
      <c r="S28" s="411">
        <f t="shared" ca="1" si="2"/>
        <v>0</v>
      </c>
      <c r="T28" s="411">
        <f t="shared" ca="1" si="2"/>
        <v>0</v>
      </c>
      <c r="U28" s="411">
        <f t="shared" ca="1" si="2"/>
        <v>0</v>
      </c>
      <c r="V28" s="389"/>
      <c r="W28" s="392" t="s">
        <v>65</v>
      </c>
    </row>
    <row r="29" spans="1:23" s="390" customFormat="1" hidden="1" outlineLevel="1">
      <c r="A29" s="389"/>
      <c r="B29" s="389"/>
      <c r="C29" s="389"/>
      <c r="D29" s="412"/>
      <c r="E29" s="701"/>
      <c r="F29" s="701"/>
      <c r="G29" s="389"/>
      <c r="H29" s="701"/>
      <c r="I29" s="798"/>
      <c r="J29" s="701"/>
      <c r="K29" s="413"/>
      <c r="L29" s="413"/>
      <c r="M29" s="413"/>
      <c r="N29" s="413"/>
      <c r="O29" s="413"/>
      <c r="P29" s="413"/>
      <c r="Q29" s="413"/>
      <c r="R29" s="413"/>
      <c r="S29" s="413"/>
      <c r="T29" s="413"/>
      <c r="U29" s="413"/>
      <c r="V29" s="389"/>
      <c r="W29" s="392" t="s">
        <v>65</v>
      </c>
    </row>
    <row r="30" spans="1:23" s="390" customFormat="1" hidden="1" outlineLevel="1">
      <c r="A30" s="389"/>
      <c r="C30" s="389"/>
      <c r="D30" s="412"/>
      <c r="E30" s="711"/>
      <c r="F30" s="711"/>
      <c r="G30" s="711"/>
      <c r="H30" s="701"/>
      <c r="I30" s="793"/>
      <c r="J30" s="701"/>
      <c r="K30" s="414"/>
      <c r="L30" s="750">
        <v>0</v>
      </c>
      <c r="M30" s="750">
        <f>Assumptions!$I$81</f>
        <v>0.03</v>
      </c>
      <c r="N30" s="750">
        <f>((1+M30)*(1+Assumptions!$I$81))-1</f>
        <v>6.0899999999999954E-2</v>
      </c>
      <c r="O30" s="750">
        <f>((1+N30)*(1+Assumptions!$I$81))-1</f>
        <v>9.2727000000000004E-2</v>
      </c>
      <c r="P30" s="750">
        <f>((1+O30)*(1+Assumptions!$I$81))-1</f>
        <v>0.12550881000000014</v>
      </c>
      <c r="Q30" s="750">
        <f>((1+P30)*(1+Assumptions!$I$81))-1</f>
        <v>0.15927407430000007</v>
      </c>
      <c r="R30" s="750">
        <f>((1+Q30)*(1+Assumptions!$I$81))-1</f>
        <v>0.19405229652900013</v>
      </c>
      <c r="S30" s="750">
        <f>((1+R30)*(1+Assumptions!$I$81))-1</f>
        <v>0.22987386542487021</v>
      </c>
      <c r="T30" s="750">
        <f>((1+S30)*(1+Assumptions!$I$81))-1</f>
        <v>0.26677008138761638</v>
      </c>
      <c r="U30" s="750">
        <f>((1+T30)*(1+Assumptions!$I$81))-1</f>
        <v>0.3047731838292449</v>
      </c>
      <c r="V30" s="389"/>
      <c r="W30" s="392" t="s">
        <v>65</v>
      </c>
    </row>
    <row r="31" spans="1:23" s="390" customFormat="1" hidden="1" outlineLevel="1">
      <c r="A31" s="389"/>
      <c r="C31" s="389"/>
      <c r="D31" s="416" t="s">
        <v>509</v>
      </c>
      <c r="E31" s="415"/>
      <c r="F31" s="701"/>
      <c r="G31" s="749"/>
      <c r="H31" s="701"/>
      <c r="I31" s="799">
        <f ca="1">SUM(K31:U31)</f>
        <v>0</v>
      </c>
      <c r="J31" s="701"/>
      <c r="K31" s="417"/>
      <c r="L31" s="417">
        <f ca="1">SUMIFS('Monthly-CF'!$L31:$EA31,'Monthly-CF'!$L$9:$EA$9,'Annual-CF'!L$9)</f>
        <v>0</v>
      </c>
      <c r="M31" s="417">
        <f ca="1">SUMIFS('Monthly-CF'!$L31:$EA31,'Monthly-CF'!$L$9:$EA$9,'Annual-CF'!M$9)</f>
        <v>0</v>
      </c>
      <c r="N31" s="417">
        <f ca="1">SUMIFS('Monthly-CF'!$L31:$EA31,'Monthly-CF'!$L$9:$EA$9,'Annual-CF'!N$9)</f>
        <v>0</v>
      </c>
      <c r="O31" s="417">
        <f ca="1">SUMIFS('Monthly-CF'!$L31:$EA31,'Monthly-CF'!$L$9:$EA$9,'Annual-CF'!O$9)</f>
        <v>0</v>
      </c>
      <c r="P31" s="417">
        <f ca="1">SUMIFS('Monthly-CF'!$L31:$EA31,'Monthly-CF'!$L$9:$EA$9,'Annual-CF'!P$9)</f>
        <v>0</v>
      </c>
      <c r="Q31" s="417">
        <f ca="1">SUMIFS('Monthly-CF'!$L31:$EA31,'Monthly-CF'!$L$9:$EA$9,'Annual-CF'!Q$9)</f>
        <v>0</v>
      </c>
      <c r="R31" s="417">
        <f ca="1">SUMIFS('Monthly-CF'!$L31:$EA31,'Monthly-CF'!$L$9:$EA$9,'Annual-CF'!R$9)</f>
        <v>0</v>
      </c>
      <c r="S31" s="417">
        <f ca="1">SUMIFS('Monthly-CF'!$L31:$EA31,'Monthly-CF'!$L$9:$EA$9,'Annual-CF'!S$9)</f>
        <v>0</v>
      </c>
      <c r="T31" s="417">
        <f ca="1">SUMIFS('Monthly-CF'!$L31:$EA31,'Monthly-CF'!$L$9:$EA$9,'Annual-CF'!T$9)</f>
        <v>0</v>
      </c>
      <c r="U31" s="417">
        <f ca="1">SUMIFS('Monthly-CF'!$L31:$EA31,'Monthly-CF'!$L$9:$EA$9,'Annual-CF'!U$9)</f>
        <v>0</v>
      </c>
      <c r="V31" s="389"/>
      <c r="W31" s="392" t="s">
        <v>65</v>
      </c>
    </row>
    <row r="32" spans="1:23" s="390" customFormat="1" hidden="1" outlineLevel="2">
      <c r="A32" s="389"/>
      <c r="C32" s="389"/>
      <c r="D32" s="416" t="s">
        <v>510</v>
      </c>
      <c r="E32" s="415"/>
      <c r="F32" s="701"/>
      <c r="G32" s="749"/>
      <c r="H32" s="701"/>
      <c r="I32" s="799">
        <f>SUM(K32:U32)</f>
        <v>0</v>
      </c>
      <c r="J32" s="701"/>
      <c r="K32" s="417"/>
      <c r="L32" s="417">
        <f>SUMIFS('Monthly-CF'!$L32:$EA32,'Monthly-CF'!$L$9:$EA$9,'Annual-CF'!L$9)</f>
        <v>0</v>
      </c>
      <c r="M32" s="417">
        <f>SUMIFS('Monthly-CF'!$L32:$EA32,'Monthly-CF'!$L$9:$EA$9,'Annual-CF'!M$9)</f>
        <v>0</v>
      </c>
      <c r="N32" s="417">
        <f>SUMIFS('Monthly-CF'!$L32:$EA32,'Monthly-CF'!$L$9:$EA$9,'Annual-CF'!N$9)</f>
        <v>0</v>
      </c>
      <c r="O32" s="417">
        <f>SUMIFS('Monthly-CF'!$L32:$EA32,'Monthly-CF'!$L$9:$EA$9,'Annual-CF'!O$9)</f>
        <v>0</v>
      </c>
      <c r="P32" s="417">
        <f>SUMIFS('Monthly-CF'!$L32:$EA32,'Monthly-CF'!$L$9:$EA$9,'Annual-CF'!P$9)</f>
        <v>0</v>
      </c>
      <c r="Q32" s="417">
        <f>SUMIFS('Monthly-CF'!$L32:$EA32,'Monthly-CF'!$L$9:$EA$9,'Annual-CF'!Q$9)</f>
        <v>0</v>
      </c>
      <c r="R32" s="417">
        <f>SUMIFS('Monthly-CF'!$L32:$EA32,'Monthly-CF'!$L$9:$EA$9,'Annual-CF'!R$9)</f>
        <v>0</v>
      </c>
      <c r="S32" s="417">
        <f>SUMIFS('Monthly-CF'!$L32:$EA32,'Monthly-CF'!$L$9:$EA$9,'Annual-CF'!S$9)</f>
        <v>0</v>
      </c>
      <c r="T32" s="417">
        <f>SUMIFS('Monthly-CF'!$L32:$EA32,'Monthly-CF'!$L$9:$EA$9,'Annual-CF'!T$9)</f>
        <v>0</v>
      </c>
      <c r="U32" s="417">
        <f>SUMIFS('Monthly-CF'!$L32:$EA32,'Monthly-CF'!$L$9:$EA$9,'Annual-CF'!U$9)</f>
        <v>0</v>
      </c>
      <c r="V32" s="389"/>
      <c r="W32" s="392" t="s">
        <v>65</v>
      </c>
    </row>
    <row r="33" spans="1:23" s="390" customFormat="1" ht="15" hidden="1" customHeight="1" outlineLevel="1">
      <c r="A33" s="389"/>
      <c r="B33" s="389"/>
      <c r="C33" s="389"/>
      <c r="D33" s="409" t="s">
        <v>498</v>
      </c>
      <c r="E33" s="701"/>
      <c r="F33" s="701"/>
      <c r="G33" s="701"/>
      <c r="H33" s="701"/>
      <c r="I33" s="800">
        <f ca="1">SUM(K33:U33)</f>
        <v>0</v>
      </c>
      <c r="J33" s="701"/>
      <c r="K33" s="418"/>
      <c r="L33" s="418">
        <f ca="1">SUMIFS('Monthly-CF'!$L33:$EA33,'Monthly-CF'!$L$9:$EA$9,'Annual-CF'!L$9)</f>
        <v>0</v>
      </c>
      <c r="M33" s="418">
        <f ca="1">SUMIFS('Monthly-CF'!$L33:$EA33,'Monthly-CF'!$L$9:$EA$9,'Annual-CF'!M$9)</f>
        <v>0</v>
      </c>
      <c r="N33" s="418">
        <f ca="1">SUMIFS('Monthly-CF'!$L33:$EA33,'Monthly-CF'!$L$9:$EA$9,'Annual-CF'!N$9)</f>
        <v>0</v>
      </c>
      <c r="O33" s="418">
        <f ca="1">SUMIFS('Monthly-CF'!$L33:$EA33,'Monthly-CF'!$L$9:$EA$9,'Annual-CF'!O$9)</f>
        <v>0</v>
      </c>
      <c r="P33" s="418">
        <f ca="1">SUMIFS('Monthly-CF'!$L33:$EA33,'Monthly-CF'!$L$9:$EA$9,'Annual-CF'!P$9)</f>
        <v>0</v>
      </c>
      <c r="Q33" s="418">
        <f ca="1">SUMIFS('Monthly-CF'!$L33:$EA33,'Monthly-CF'!$L$9:$EA$9,'Annual-CF'!Q$9)</f>
        <v>0</v>
      </c>
      <c r="R33" s="418">
        <f ca="1">SUMIFS('Monthly-CF'!$L33:$EA33,'Monthly-CF'!$L$9:$EA$9,'Annual-CF'!R$9)</f>
        <v>0</v>
      </c>
      <c r="S33" s="418">
        <f ca="1">SUMIFS('Monthly-CF'!$L33:$EA33,'Monthly-CF'!$L$9:$EA$9,'Annual-CF'!S$9)</f>
        <v>0</v>
      </c>
      <c r="T33" s="418">
        <f ca="1">SUMIFS('Monthly-CF'!$L33:$EA33,'Monthly-CF'!$L$9:$EA$9,'Annual-CF'!T$9)</f>
        <v>0</v>
      </c>
      <c r="U33" s="418">
        <f ca="1">SUMIFS('Monthly-CF'!$L33:$EA33,'Monthly-CF'!$L$9:$EA$9,'Annual-CF'!U$9)</f>
        <v>0</v>
      </c>
      <c r="V33" s="389"/>
      <c r="W33" s="392" t="s">
        <v>65</v>
      </c>
    </row>
    <row r="34" spans="1:23" s="390" customFormat="1" ht="15" hidden="1" customHeight="1" outlineLevel="1">
      <c r="A34" s="389"/>
      <c r="B34" s="389"/>
      <c r="C34" s="389"/>
      <c r="D34" s="410" t="s">
        <v>29</v>
      </c>
      <c r="E34" s="411"/>
      <c r="F34" s="411"/>
      <c r="G34" s="411"/>
      <c r="H34" s="411"/>
      <c r="I34" s="797">
        <f ca="1">SUM(K34:U34)</f>
        <v>0</v>
      </c>
      <c r="J34" s="701"/>
      <c r="K34" s="411"/>
      <c r="L34" s="411">
        <f t="shared" ref="L34:U34" ca="1" si="3">L28+L33</f>
        <v>0</v>
      </c>
      <c r="M34" s="411">
        <f t="shared" ca="1" si="3"/>
        <v>0</v>
      </c>
      <c r="N34" s="411">
        <f t="shared" ca="1" si="3"/>
        <v>0</v>
      </c>
      <c r="O34" s="411">
        <f t="shared" ca="1" si="3"/>
        <v>0</v>
      </c>
      <c r="P34" s="411">
        <f t="shared" ca="1" si="3"/>
        <v>0</v>
      </c>
      <c r="Q34" s="411">
        <f t="shared" ca="1" si="3"/>
        <v>0</v>
      </c>
      <c r="R34" s="411">
        <f t="shared" ca="1" si="3"/>
        <v>0</v>
      </c>
      <c r="S34" s="411">
        <f t="shared" ca="1" si="3"/>
        <v>0</v>
      </c>
      <c r="T34" s="411">
        <f t="shared" ca="1" si="3"/>
        <v>0</v>
      </c>
      <c r="U34" s="411">
        <f t="shared" ca="1" si="3"/>
        <v>0</v>
      </c>
      <c r="V34" s="389"/>
      <c r="W34" s="392" t="s">
        <v>65</v>
      </c>
    </row>
    <row r="35" spans="1:23" s="390" customFormat="1" ht="15" hidden="1" customHeight="1" outlineLevel="1">
      <c r="A35" s="389"/>
      <c r="B35" s="389"/>
      <c r="C35" s="389"/>
      <c r="D35" s="412"/>
      <c r="E35" s="701"/>
      <c r="F35" s="701"/>
      <c r="G35" s="701"/>
      <c r="H35" s="701"/>
      <c r="I35" s="798"/>
      <c r="J35" s="701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389"/>
      <c r="W35" s="392" t="s">
        <v>65</v>
      </c>
    </row>
    <row r="36" spans="1:23" s="390" customFormat="1" ht="15" hidden="1" customHeight="1" outlineLevel="1">
      <c r="A36" s="389"/>
      <c r="B36" s="389"/>
      <c r="C36" s="389"/>
      <c r="D36" s="419" t="s">
        <v>30</v>
      </c>
      <c r="E36" s="701"/>
      <c r="F36" s="701"/>
      <c r="G36" s="701"/>
      <c r="H36" s="701"/>
      <c r="I36" s="795">
        <f ca="1">SUM(K36:U36)</f>
        <v>0</v>
      </c>
      <c r="J36" s="701"/>
      <c r="K36" s="704"/>
      <c r="L36" s="703">
        <f ca="1">SUMIFS('Monthly-CF'!$L36:$EA36,'Monthly-CF'!$L$9:$EA$9,'Annual-CF'!L$9)</f>
        <v>0</v>
      </c>
      <c r="M36" s="703">
        <f ca="1">SUMIFS('Monthly-CF'!$L36:$EA36,'Monthly-CF'!$L$9:$EA$9,'Annual-CF'!M$9)</f>
        <v>0</v>
      </c>
      <c r="N36" s="703">
        <f ca="1">SUMIFS('Monthly-CF'!$L36:$EA36,'Monthly-CF'!$L$9:$EA$9,'Annual-CF'!N$9)</f>
        <v>0</v>
      </c>
      <c r="O36" s="703">
        <f ca="1">SUMIFS('Monthly-CF'!$L36:$EA36,'Monthly-CF'!$L$9:$EA$9,'Annual-CF'!O$9)</f>
        <v>0</v>
      </c>
      <c r="P36" s="703">
        <f ca="1">SUMIFS('Monthly-CF'!$L36:$EA36,'Monthly-CF'!$L$9:$EA$9,'Annual-CF'!P$9)</f>
        <v>0</v>
      </c>
      <c r="Q36" s="703">
        <f ca="1">SUMIFS('Monthly-CF'!$L36:$EA36,'Monthly-CF'!$L$9:$EA$9,'Annual-CF'!Q$9)</f>
        <v>0</v>
      </c>
      <c r="R36" s="703">
        <f ca="1">SUMIFS('Monthly-CF'!$L36:$EA36,'Monthly-CF'!$L$9:$EA$9,'Annual-CF'!R$9)</f>
        <v>0</v>
      </c>
      <c r="S36" s="703">
        <f ca="1">SUMIFS('Monthly-CF'!$L36:$EA36,'Monthly-CF'!$L$9:$EA$9,'Annual-CF'!S$9)</f>
        <v>0</v>
      </c>
      <c r="T36" s="703">
        <f ca="1">SUMIFS('Monthly-CF'!$L36:$EA36,'Monthly-CF'!$L$9:$EA$9,'Annual-CF'!T$9)</f>
        <v>0</v>
      </c>
      <c r="U36" s="703">
        <f ca="1">SUMIFS('Monthly-CF'!$L36:$EA36,'Monthly-CF'!$L$9:$EA$9,'Annual-CF'!U$9)</f>
        <v>0</v>
      </c>
      <c r="V36" s="389"/>
      <c r="W36" s="392" t="s">
        <v>65</v>
      </c>
    </row>
    <row r="37" spans="1:23" s="390" customFormat="1" ht="15" hidden="1" customHeight="1" outlineLevel="1">
      <c r="A37" s="389"/>
      <c r="B37" s="389"/>
      <c r="C37" s="389"/>
      <c r="D37" s="410" t="s">
        <v>569</v>
      </c>
      <c r="E37" s="411"/>
      <c r="F37" s="411"/>
      <c r="G37" s="411"/>
      <c r="H37" s="411"/>
      <c r="I37" s="797">
        <f ca="1">SUM(K37:U37)</f>
        <v>0</v>
      </c>
      <c r="J37" s="701"/>
      <c r="K37" s="411"/>
      <c r="L37" s="411">
        <f ca="1">L34+L36</f>
        <v>0</v>
      </c>
      <c r="M37" s="411">
        <f t="shared" ref="M37:U37" ca="1" si="4">M34+M36</f>
        <v>0</v>
      </c>
      <c r="N37" s="411">
        <f t="shared" ca="1" si="4"/>
        <v>0</v>
      </c>
      <c r="O37" s="411">
        <f t="shared" ca="1" si="4"/>
        <v>0</v>
      </c>
      <c r="P37" s="411">
        <f t="shared" ca="1" si="4"/>
        <v>0</v>
      </c>
      <c r="Q37" s="411">
        <f t="shared" ca="1" si="4"/>
        <v>0</v>
      </c>
      <c r="R37" s="411">
        <f t="shared" ca="1" si="4"/>
        <v>0</v>
      </c>
      <c r="S37" s="411">
        <f t="shared" ca="1" si="4"/>
        <v>0</v>
      </c>
      <c r="T37" s="411">
        <f t="shared" ca="1" si="4"/>
        <v>0</v>
      </c>
      <c r="U37" s="411">
        <f t="shared" ca="1" si="4"/>
        <v>0</v>
      </c>
      <c r="V37" s="389"/>
      <c r="W37" s="392" t="s">
        <v>65</v>
      </c>
    </row>
    <row r="38" spans="1:23" s="390" customFormat="1" ht="15" customHeight="1" collapsed="1">
      <c r="A38" s="389"/>
      <c r="B38" s="389"/>
      <c r="C38" s="389"/>
      <c r="D38" s="412"/>
      <c r="E38" s="413"/>
      <c r="F38" s="413"/>
      <c r="G38" s="413"/>
      <c r="H38" s="413"/>
      <c r="I38" s="798"/>
      <c r="J38" s="701"/>
      <c r="K38" s="413"/>
      <c r="L38" s="413"/>
      <c r="M38" s="413"/>
      <c r="N38" s="413"/>
      <c r="O38" s="413"/>
      <c r="P38" s="413"/>
      <c r="Q38" s="413"/>
      <c r="R38" s="413"/>
      <c r="S38" s="413"/>
      <c r="T38" s="413"/>
      <c r="U38" s="413"/>
      <c r="V38" s="389"/>
      <c r="W38" s="392" t="s">
        <v>65</v>
      </c>
    </row>
    <row r="39" spans="1:23" s="390" customFormat="1" ht="15" customHeight="1">
      <c r="A39" s="389"/>
      <c r="B39" s="389"/>
      <c r="C39" s="389"/>
      <c r="D39" s="998" t="s">
        <v>1157</v>
      </c>
      <c r="E39" s="413"/>
      <c r="F39" s="413"/>
      <c r="G39" s="413"/>
      <c r="H39" s="413"/>
      <c r="I39" s="798"/>
      <c r="J39" s="701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389"/>
      <c r="W39" s="392" t="s">
        <v>65</v>
      </c>
    </row>
    <row r="40" spans="1:23" s="390" customFormat="1" ht="15" customHeight="1">
      <c r="A40" s="389"/>
      <c r="B40" s="389"/>
      <c r="C40" s="389"/>
      <c r="D40" s="998"/>
      <c r="E40" s="413"/>
      <c r="F40" s="413"/>
      <c r="G40" s="413"/>
      <c r="H40" s="413"/>
      <c r="I40" s="798"/>
      <c r="J40" s="701"/>
      <c r="K40" s="413"/>
      <c r="L40" s="413"/>
      <c r="M40" s="413"/>
      <c r="N40" s="413"/>
      <c r="O40" s="1849"/>
      <c r="P40" s="1849"/>
      <c r="Q40" s="1849"/>
      <c r="R40" s="1849"/>
      <c r="S40" s="1849"/>
      <c r="T40" s="1849"/>
      <c r="U40" s="1849"/>
      <c r="V40" s="389"/>
      <c r="W40" s="1849"/>
    </row>
    <row r="41" spans="1:23" s="390" customFormat="1" ht="15" customHeight="1">
      <c r="A41" s="389"/>
      <c r="B41" s="389"/>
      <c r="C41" s="389"/>
      <c r="D41" s="419" t="s">
        <v>1109</v>
      </c>
      <c r="E41" s="413"/>
      <c r="F41" s="413"/>
      <c r="G41" s="413"/>
      <c r="H41" s="413"/>
      <c r="I41" s="795">
        <f t="shared" ref="I41:I44" ca="1" si="5">SUM(K41:U41)</f>
        <v>42410996.646115668</v>
      </c>
      <c r="J41" s="701"/>
      <c r="K41" s="507"/>
      <c r="L41" s="507">
        <f>SUMIFS('Monthly-CF'!$L41:$EA41,'Monthly-CF'!$L$9:$EA$9,'Annual-CF'!L$9)</f>
        <v>0</v>
      </c>
      <c r="M41" s="507">
        <f ca="1">SUMIFS('Monthly-CF'!$L41:$EA41,'Monthly-CF'!$L$9:$EA$9,'Annual-CF'!M$9)</f>
        <v>1008353.1475075793</v>
      </c>
      <c r="N41" s="507">
        <f ca="1">SUMIFS('Monthly-CF'!$L41:$EA41,'Monthly-CF'!$L$9:$EA$9,'Annual-CF'!N$9)</f>
        <v>4124076.8442134466</v>
      </c>
      <c r="O41" s="507">
        <f ca="1">SUMIFS('Monthly-CF'!$L41:$EA41,'Monthly-CF'!$L$9:$EA$9,'Annual-CF'!O$9)</f>
        <v>5125001.3036467601</v>
      </c>
      <c r="P41" s="507">
        <f ca="1">SUMIFS('Monthly-CF'!$L41:$EA41,'Monthly-CF'!$L$9:$EA$9,'Annual-CF'!P$9)</f>
        <v>5170334.8562218016</v>
      </c>
      <c r="Q41" s="507">
        <f ca="1">SUMIFS('Monthly-CF'!$L41:$EA41,'Monthly-CF'!$L$9:$EA$9,'Annual-CF'!Q$9)</f>
        <v>5202640.2716651624</v>
      </c>
      <c r="R41" s="507">
        <f ca="1">SUMIFS('Monthly-CF'!$L41:$EA41,'Monthly-CF'!$L$9:$EA$9,'Annual-CF'!R$9)</f>
        <v>5250318.9936899524</v>
      </c>
      <c r="S41" s="507">
        <f ca="1">SUMIFS('Monthly-CF'!$L41:$EA41,'Monthly-CF'!$L$9:$EA$9,'Annual-CF'!S$9)</f>
        <v>5342025.9345980613</v>
      </c>
      <c r="T41" s="507">
        <f ca="1">SUMIFS('Monthly-CF'!$L41:$EA41,'Monthly-CF'!$L$9:$EA$9,'Annual-CF'!T$9)</f>
        <v>5520889.9805578198</v>
      </c>
      <c r="U41" s="507">
        <f ca="1">SUMIFS('Monthly-CF'!$L41:$EA41,'Monthly-CF'!$L$9:$EA$9,'Annual-CF'!U$9)</f>
        <v>5667355.3140150839</v>
      </c>
      <c r="V41" s="389"/>
      <c r="W41" s="392" t="s">
        <v>65</v>
      </c>
    </row>
    <row r="42" spans="1:23" s="390" customFormat="1" ht="15" customHeight="1">
      <c r="A42" s="389"/>
      <c r="B42" s="389"/>
      <c r="C42" s="389"/>
      <c r="D42" s="419" t="s">
        <v>1195</v>
      </c>
      <c r="E42" s="413"/>
      <c r="F42" s="413"/>
      <c r="G42" s="413"/>
      <c r="H42" s="413"/>
      <c r="I42" s="795">
        <f t="shared" ca="1" si="5"/>
        <v>-2713323.9485855983</v>
      </c>
      <c r="J42" s="701"/>
      <c r="K42" s="507"/>
      <c r="L42" s="507">
        <f>SUMIFS('Monthly-CF'!$L42:$EA42,'Monthly-CF'!$L$9:$EA$9,'Annual-CF'!L$9)</f>
        <v>0</v>
      </c>
      <c r="M42" s="507">
        <f ca="1">SUMIFS('Monthly-CF'!$L42:$EA42,'Monthly-CF'!$L$9:$EA$9,'Annual-CF'!M$9)</f>
        <v>-118063.75</v>
      </c>
      <c r="N42" s="507">
        <f ca="1">SUMIFS('Monthly-CF'!$L42:$EA42,'Monthly-CF'!$L$9:$EA$9,'Annual-CF'!N$9)</f>
        <v>-291853.59000000003</v>
      </c>
      <c r="O42" s="507">
        <f ca="1">SUMIFS('Monthly-CF'!$L42:$EA42,'Monthly-CF'!$L$9:$EA$9,'Annual-CF'!O$9)</f>
        <v>-300609.19770000008</v>
      </c>
      <c r="P42" s="507">
        <f ca="1">SUMIFS('Monthly-CF'!$L42:$EA42,'Monthly-CF'!$L$9:$EA$9,'Annual-CF'!P$9)</f>
        <v>-309627.47363100009</v>
      </c>
      <c r="Q42" s="507">
        <f ca="1">SUMIFS('Monthly-CF'!$L42:$EA42,'Monthly-CF'!$L$9:$EA$9,'Annual-CF'!Q$9)</f>
        <v>-318916.29783993005</v>
      </c>
      <c r="R42" s="507">
        <f ca="1">SUMIFS('Monthly-CF'!$L42:$EA42,'Monthly-CF'!$L$9:$EA$9,'Annual-CF'!R$9)</f>
        <v>-328483.78677512781</v>
      </c>
      <c r="S42" s="507">
        <f ca="1">SUMIFS('Monthly-CF'!$L42:$EA42,'Monthly-CF'!$L$9:$EA$9,'Annual-CF'!S$9)</f>
        <v>-338338.30037838174</v>
      </c>
      <c r="T42" s="507">
        <f ca="1">SUMIFS('Monthly-CF'!$L42:$EA42,'Monthly-CF'!$L$9:$EA$9,'Annual-CF'!T$9)</f>
        <v>-348488.4493897332</v>
      </c>
      <c r="U42" s="507">
        <f ca="1">SUMIFS('Monthly-CF'!$L42:$EA42,'Monthly-CF'!$L$9:$EA$9,'Annual-CF'!U$9)</f>
        <v>-358943.10287142539</v>
      </c>
      <c r="V42" s="389"/>
      <c r="W42" s="392"/>
    </row>
    <row r="43" spans="1:23" s="390" customFormat="1" ht="15" customHeight="1">
      <c r="A43" s="389"/>
      <c r="B43" s="389"/>
      <c r="C43" s="389"/>
      <c r="D43" s="419" t="s">
        <v>1158</v>
      </c>
      <c r="E43" s="413"/>
      <c r="F43" s="413"/>
      <c r="G43" s="413"/>
      <c r="H43" s="413"/>
      <c r="I43" s="795">
        <f t="shared" ca="1" si="5"/>
        <v>-4640788.6104047792</v>
      </c>
      <c r="J43" s="701"/>
      <c r="K43" s="507"/>
      <c r="L43" s="507">
        <f ca="1">SUMIFS('Monthly-CF'!$L43:$EA43,'Monthly-CF'!$L$9:$EA$9,'Annual-CF'!L$9)</f>
        <v>0</v>
      </c>
      <c r="M43" s="507">
        <f ca="1">SUMIFS('Monthly-CF'!$L43:$EA43,'Monthly-CF'!$L$9:$EA$9,'Annual-CF'!M$9)</f>
        <v>-164128.86818974727</v>
      </c>
      <c r="N43" s="507">
        <f ca="1">SUMIFS('Monthly-CF'!$L43:$EA43,'Monthly-CF'!$L$9:$EA$9,'Annual-CF'!N$9)</f>
        <v>-493937.57632394548</v>
      </c>
      <c r="O43" s="507">
        <f ca="1">SUMIFS('Monthly-CF'!$L43:$EA43,'Monthly-CF'!$L$9:$EA$9,'Annual-CF'!O$9)</f>
        <v>-496407.26420556527</v>
      </c>
      <c r="P43" s="507">
        <f ca="1">SUMIFS('Monthly-CF'!$L43:$EA43,'Monthly-CF'!$L$9:$EA$9,'Annual-CF'!P$9)</f>
        <v>-498889.30052659306</v>
      </c>
      <c r="Q43" s="507">
        <f ca="1">SUMIFS('Monthly-CF'!$L43:$EA43,'Monthly-CF'!$L$9:$EA$9,'Annual-CF'!Q$9)</f>
        <v>-501383.74702922587</v>
      </c>
      <c r="R43" s="507">
        <f ca="1">SUMIFS('Monthly-CF'!$L43:$EA43,'Monthly-CF'!$L$9:$EA$9,'Annual-CF'!R$9)</f>
        <v>-503890.66576437192</v>
      </c>
      <c r="S43" s="507">
        <f ca="1">SUMIFS('Monthly-CF'!$L43:$EA43,'Monthly-CF'!$L$9:$EA$9,'Annual-CF'!S$9)</f>
        <v>-471137.77248968784</v>
      </c>
      <c r="T43" s="507">
        <f ca="1">SUMIFS('Monthly-CF'!$L43:$EA43,'Monthly-CF'!$L$9:$EA$9,'Annual-CF'!T$9)</f>
        <v>-744090.28802855173</v>
      </c>
      <c r="U43" s="507">
        <f ca="1">SUMIFS('Monthly-CF'!$L43:$EA43,'Monthly-CF'!$L$9:$EA$9,'Annual-CF'!U$9)</f>
        <v>-766923.12784709048</v>
      </c>
      <c r="V43" s="389"/>
      <c r="W43" s="392" t="s">
        <v>65</v>
      </c>
    </row>
    <row r="44" spans="1:23" s="390" customFormat="1" ht="15" customHeight="1">
      <c r="A44" s="389"/>
      <c r="B44" s="389"/>
      <c r="C44" s="389"/>
      <c r="D44" s="410" t="s">
        <v>1159</v>
      </c>
      <c r="E44" s="411"/>
      <c r="F44" s="411"/>
      <c r="G44" s="411"/>
      <c r="H44" s="411"/>
      <c r="I44" s="797">
        <f t="shared" ca="1" si="5"/>
        <v>35056884.087125286</v>
      </c>
      <c r="J44" s="701"/>
      <c r="K44" s="411"/>
      <c r="L44" s="411">
        <f ca="1">SUMIFS('Monthly-CF'!$L44:$EA44,'Monthly-CF'!$L$9:$EA$9,'Annual-CF'!L$9)</f>
        <v>0</v>
      </c>
      <c r="M44" s="411">
        <f ca="1">SUMIFS('Monthly-CF'!$L44:$EA44,'Monthly-CF'!$L$9:$EA$9,'Annual-CF'!M$9)</f>
        <v>726160.52931783197</v>
      </c>
      <c r="N44" s="411">
        <f ca="1">SUMIFS('Monthly-CF'!$L44:$EA44,'Monthly-CF'!$L$9:$EA$9,'Annual-CF'!N$9)</f>
        <v>3338285.6778895007</v>
      </c>
      <c r="O44" s="411">
        <f ca="1">SUMIFS('Monthly-CF'!$L44:$EA44,'Monthly-CF'!$L$9:$EA$9,'Annual-CF'!O$9)</f>
        <v>4327984.841741194</v>
      </c>
      <c r="P44" s="411">
        <f ca="1">SUMIFS('Monthly-CF'!$L44:$EA44,'Monthly-CF'!$L$9:$EA$9,'Annual-CF'!P$9)</f>
        <v>4361818.0820642086</v>
      </c>
      <c r="Q44" s="411">
        <f ca="1">SUMIFS('Monthly-CF'!$L44:$EA44,'Monthly-CF'!$L$9:$EA$9,'Annual-CF'!Q$9)</f>
        <v>4382340.2267960068</v>
      </c>
      <c r="R44" s="411">
        <f ca="1">SUMIFS('Monthly-CF'!$L44:$EA44,'Monthly-CF'!$L$9:$EA$9,'Annual-CF'!R$9)</f>
        <v>4417944.5411504516</v>
      </c>
      <c r="S44" s="411">
        <f ca="1">SUMIFS('Monthly-CF'!$L44:$EA44,'Monthly-CF'!$L$9:$EA$9,'Annual-CF'!S$9)</f>
        <v>4532549.8617299926</v>
      </c>
      <c r="T44" s="411">
        <f ca="1">SUMIFS('Monthly-CF'!$L44:$EA44,'Monthly-CF'!$L$9:$EA$9,'Annual-CF'!T$9)</f>
        <v>4428311.2431395343</v>
      </c>
      <c r="U44" s="411">
        <f ca="1">SUMIFS('Monthly-CF'!$L44:$EA44,'Monthly-CF'!$L$9:$EA$9,'Annual-CF'!U$9)</f>
        <v>4541489.0832965681</v>
      </c>
      <c r="V44" s="389"/>
      <c r="W44" s="392" t="s">
        <v>65</v>
      </c>
    </row>
    <row r="45" spans="1:23" s="390" customFormat="1" ht="15" hidden="1" customHeight="1" outlineLevel="1">
      <c r="A45" s="389"/>
      <c r="B45" s="389"/>
      <c r="C45" s="389"/>
      <c r="D45" s="998" t="s">
        <v>567</v>
      </c>
      <c r="E45" s="413"/>
      <c r="F45" s="413"/>
      <c r="G45" s="413"/>
      <c r="H45" s="413"/>
      <c r="I45" s="798"/>
      <c r="J45" s="701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389"/>
      <c r="W45" s="392" t="s">
        <v>65</v>
      </c>
    </row>
    <row r="46" spans="1:23" s="390" customFormat="1" ht="15" hidden="1" customHeight="1" outlineLevel="1">
      <c r="A46" s="389"/>
      <c r="B46" s="389"/>
      <c r="C46" s="389"/>
      <c r="D46" s="998"/>
      <c r="E46" s="413"/>
      <c r="F46" s="413"/>
      <c r="G46" s="413"/>
      <c r="H46" s="413"/>
      <c r="I46" s="798"/>
      <c r="J46" s="701"/>
      <c r="K46" s="413"/>
      <c r="L46" s="413"/>
      <c r="M46" s="413"/>
      <c r="N46" s="413"/>
      <c r="O46" s="413"/>
      <c r="P46" s="413"/>
      <c r="Q46" s="413"/>
      <c r="R46" s="413"/>
      <c r="S46" s="413"/>
      <c r="T46" s="413"/>
      <c r="U46" s="413"/>
      <c r="V46" s="389"/>
      <c r="W46" s="392" t="s">
        <v>65</v>
      </c>
    </row>
    <row r="47" spans="1:23" s="390" customFormat="1" hidden="1" outlineLevel="1">
      <c r="A47" s="389"/>
      <c r="B47" s="389"/>
      <c r="C47" s="389"/>
      <c r="D47" s="403" t="str">
        <f>CONCATENATE("Occ - ",Assumptions!$D$54)</f>
        <v>Occ - Commercial</v>
      </c>
      <c r="F47" s="700"/>
      <c r="G47" s="700"/>
      <c r="H47" s="700"/>
      <c r="I47" s="792">
        <f ca="1">MAX(L47:U47)</f>
        <v>0</v>
      </c>
      <c r="J47" s="700"/>
      <c r="K47" s="404"/>
      <c r="L47" s="750">
        <f ca="1">_xlfn.MAXIFS('Monthly-CF'!$L48:$EA48,'Monthly-CF'!$L$9:$EA$9,'Annual-CF'!L$9)</f>
        <v>0</v>
      </c>
      <c r="M47" s="750">
        <f ca="1">_xlfn.MAXIFS('Monthly-CF'!$L48:$EA48,'Monthly-CF'!$L$9:$EA$9,'Annual-CF'!M$9)</f>
        <v>0</v>
      </c>
      <c r="N47" s="750">
        <f ca="1">_xlfn.MAXIFS('Monthly-CF'!$L48:$EA48,'Monthly-CF'!$L$9:$EA$9,'Annual-CF'!N$9)</f>
        <v>0</v>
      </c>
      <c r="O47" s="750">
        <f ca="1">_xlfn.MAXIFS('Monthly-CF'!$L48:$EA48,'Monthly-CF'!$L$9:$EA$9,'Annual-CF'!O$9)</f>
        <v>0</v>
      </c>
      <c r="P47" s="750">
        <f ca="1">_xlfn.MAXIFS('Monthly-CF'!$L48:$EA48,'Monthly-CF'!$L$9:$EA$9,'Annual-CF'!P$9)</f>
        <v>0</v>
      </c>
      <c r="Q47" s="750">
        <f ca="1">_xlfn.MAXIFS('Monthly-CF'!$L48:$EA48,'Monthly-CF'!$L$9:$EA$9,'Annual-CF'!Q$9)</f>
        <v>0</v>
      </c>
      <c r="R47" s="750">
        <f ca="1">_xlfn.MAXIFS('Monthly-CF'!$L48:$EA48,'Monthly-CF'!$L$9:$EA$9,'Annual-CF'!R$9)</f>
        <v>0</v>
      </c>
      <c r="S47" s="750">
        <f ca="1">_xlfn.MAXIFS('Monthly-CF'!$L48:$EA48,'Monthly-CF'!$L$9:$EA$9,'Annual-CF'!S$9)</f>
        <v>0</v>
      </c>
      <c r="T47" s="750">
        <f ca="1">_xlfn.MAXIFS('Monthly-CF'!$L48:$EA48,'Monthly-CF'!$L$9:$EA$9,'Annual-CF'!T$9)</f>
        <v>0</v>
      </c>
      <c r="U47" s="750">
        <f ca="1">_xlfn.MAXIFS('Monthly-CF'!$L48:$EA48,'Monthly-CF'!$L$9:$EA$9,'Annual-CF'!U$9)</f>
        <v>0</v>
      </c>
      <c r="V47" s="389"/>
      <c r="W47" s="392" t="s">
        <v>65</v>
      </c>
    </row>
    <row r="48" spans="1:23" s="390" customFormat="1" hidden="1" outlineLevel="1">
      <c r="A48" s="389"/>
      <c r="C48" s="389"/>
      <c r="D48" s="403" t="str">
        <f>CONCATENATE("PSF - ",Assumptions!I54)</f>
        <v>PSF - Commercial</v>
      </c>
      <c r="E48" s="704"/>
      <c r="F48" s="389"/>
      <c r="G48" s="749"/>
      <c r="H48" s="389"/>
      <c r="I48" s="794">
        <f ca="1">MAX(L48:U48)</f>
        <v>0</v>
      </c>
      <c r="J48" s="389"/>
      <c r="K48" s="407"/>
      <c r="L48" s="407">
        <f ca="1">_xlfn.MAXIFS('Monthly-CF'!$L49:$EA49,'Monthly-CF'!$L$9:$EA$9,'Annual-CF'!L$9)</f>
        <v>0</v>
      </c>
      <c r="M48" s="407">
        <f ca="1">_xlfn.MAXIFS('Monthly-CF'!$L49:$EA49,'Monthly-CF'!$L$9:$EA$9,'Annual-CF'!M$9)</f>
        <v>0</v>
      </c>
      <c r="N48" s="407">
        <f ca="1">_xlfn.MAXIFS('Monthly-CF'!$L49:$EA49,'Monthly-CF'!$L$9:$EA$9,'Annual-CF'!N$9)</f>
        <v>0</v>
      </c>
      <c r="O48" s="407">
        <f ca="1">_xlfn.MAXIFS('Monthly-CF'!$L49:$EA49,'Monthly-CF'!$L$9:$EA$9,'Annual-CF'!O$9)</f>
        <v>0</v>
      </c>
      <c r="P48" s="407">
        <f ca="1">_xlfn.MAXIFS('Monthly-CF'!$L49:$EA49,'Monthly-CF'!$L$9:$EA$9,'Annual-CF'!P$9)</f>
        <v>0</v>
      </c>
      <c r="Q48" s="407">
        <f ca="1">_xlfn.MAXIFS('Monthly-CF'!$L49:$EA49,'Monthly-CF'!$L$9:$EA$9,'Annual-CF'!Q$9)</f>
        <v>0</v>
      </c>
      <c r="R48" s="407">
        <f ca="1">_xlfn.MAXIFS('Monthly-CF'!$L49:$EA49,'Monthly-CF'!$L$9:$EA$9,'Annual-CF'!R$9)</f>
        <v>0</v>
      </c>
      <c r="S48" s="407">
        <f ca="1">_xlfn.MAXIFS('Monthly-CF'!$L49:$EA49,'Monthly-CF'!$L$9:$EA$9,'Annual-CF'!S$9)</f>
        <v>0</v>
      </c>
      <c r="T48" s="407">
        <f ca="1">_xlfn.MAXIFS('Monthly-CF'!$L49:$EA49,'Monthly-CF'!$L$9:$EA$9,'Annual-CF'!T$9)</f>
        <v>0</v>
      </c>
      <c r="U48" s="407">
        <f ca="1">_xlfn.MAXIFS('Monthly-CF'!$L49:$EA49,'Monthly-CF'!$L$9:$EA$9,'Annual-CF'!U$9)</f>
        <v>0</v>
      </c>
      <c r="V48" s="389"/>
      <c r="W48" s="392" t="s">
        <v>65</v>
      </c>
    </row>
    <row r="49" spans="1:23" s="390" customFormat="1" hidden="1" outlineLevel="1">
      <c r="A49" s="389"/>
      <c r="C49" s="389"/>
      <c r="D49" s="403"/>
      <c r="E49" s="704"/>
      <c r="F49" s="389"/>
      <c r="G49" s="749"/>
      <c r="H49" s="389"/>
      <c r="I49" s="794"/>
      <c r="J49" s="389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389"/>
      <c r="W49" s="392" t="s">
        <v>65</v>
      </c>
    </row>
    <row r="50" spans="1:23" s="390" customFormat="1" hidden="1" outlineLevel="1">
      <c r="A50" s="389"/>
      <c r="B50" s="389"/>
      <c r="C50" s="389"/>
      <c r="D50" s="403" t="str">
        <f>CONCATENATE("Revenue - ",Assumptions!$I$54)</f>
        <v>Revenue - Commercial</v>
      </c>
      <c r="E50" s="406"/>
      <c r="F50" s="701"/>
      <c r="G50" s="702"/>
      <c r="H50" s="701"/>
      <c r="I50" s="795">
        <f ca="1">SUM(K50:U50)</f>
        <v>0</v>
      </c>
      <c r="J50" s="701"/>
      <c r="K50" s="703"/>
      <c r="L50" s="703">
        <f ca="1">SUMIFS('Monthly-CF'!$L51:$EA51,'Monthly-CF'!$L$9:$EA$9,'Annual-CF'!L$9)</f>
        <v>0</v>
      </c>
      <c r="M50" s="703">
        <f ca="1">SUMIFS('Monthly-CF'!$L51:$EA51,'Monthly-CF'!$L$9:$EA$9,'Annual-CF'!M$9)</f>
        <v>0</v>
      </c>
      <c r="N50" s="703">
        <f ca="1">SUMIFS('Monthly-CF'!$L51:$EA51,'Monthly-CF'!$L$9:$EA$9,'Annual-CF'!N$9)</f>
        <v>0</v>
      </c>
      <c r="O50" s="703">
        <f ca="1">SUMIFS('Monthly-CF'!$L51:$EA51,'Monthly-CF'!$L$9:$EA$9,'Annual-CF'!O$9)</f>
        <v>0</v>
      </c>
      <c r="P50" s="703">
        <f ca="1">SUMIFS('Monthly-CF'!$L51:$EA51,'Monthly-CF'!$L$9:$EA$9,'Annual-CF'!P$9)</f>
        <v>0</v>
      </c>
      <c r="Q50" s="703">
        <f ca="1">SUMIFS('Monthly-CF'!$L51:$EA51,'Monthly-CF'!$L$9:$EA$9,'Annual-CF'!Q$9)</f>
        <v>0</v>
      </c>
      <c r="R50" s="703">
        <f ca="1">SUMIFS('Monthly-CF'!$L51:$EA51,'Monthly-CF'!$L$9:$EA$9,'Annual-CF'!R$9)</f>
        <v>0</v>
      </c>
      <c r="S50" s="703">
        <f ca="1">SUMIFS('Monthly-CF'!$L51:$EA51,'Monthly-CF'!$L$9:$EA$9,'Annual-CF'!S$9)</f>
        <v>0</v>
      </c>
      <c r="T50" s="703">
        <f ca="1">SUMIFS('Monthly-CF'!$L51:$EA51,'Monthly-CF'!$L$9:$EA$9,'Annual-CF'!T$9)</f>
        <v>0</v>
      </c>
      <c r="U50" s="703">
        <f ca="1">SUMIFS('Monthly-CF'!$L51:$EA51,'Monthly-CF'!$L$9:$EA$9,'Annual-CF'!U$9)</f>
        <v>0</v>
      </c>
      <c r="V50" s="389"/>
      <c r="W50" s="392" t="s">
        <v>65</v>
      </c>
    </row>
    <row r="51" spans="1:23" s="390" customFormat="1" hidden="1" outlineLevel="1">
      <c r="A51" s="389"/>
      <c r="B51" s="389"/>
      <c r="C51" s="389"/>
      <c r="D51" s="403" t="s">
        <v>195</v>
      </c>
      <c r="F51" s="700"/>
      <c r="G51" s="700"/>
      <c r="H51" s="700"/>
      <c r="I51" s="1002">
        <f t="shared" ref="I51:I57" ca="1" si="6">SUM(K51:U51)</f>
        <v>0</v>
      </c>
      <c r="J51" s="700"/>
      <c r="K51" s="404"/>
      <c r="L51" s="714">
        <f ca="1">SUMIFS('Monthly-CF'!$L52:$EA52,'Monthly-CF'!$L$9:$EA$9,'Annual-CF'!L$9)</f>
        <v>0</v>
      </c>
      <c r="M51" s="714">
        <f ca="1">SUMIFS('Monthly-CF'!$L52:$EA52,'Monthly-CF'!$L$9:$EA$9,'Annual-CF'!M$9)</f>
        <v>0</v>
      </c>
      <c r="N51" s="714">
        <f ca="1">SUMIFS('Monthly-CF'!$L52:$EA52,'Monthly-CF'!$L$9:$EA$9,'Annual-CF'!N$9)</f>
        <v>0</v>
      </c>
      <c r="O51" s="714">
        <f ca="1">SUMIFS('Monthly-CF'!$L52:$EA52,'Monthly-CF'!$L$9:$EA$9,'Annual-CF'!O$9)</f>
        <v>0</v>
      </c>
      <c r="P51" s="714">
        <f ca="1">SUMIFS('Monthly-CF'!$L52:$EA52,'Monthly-CF'!$L$9:$EA$9,'Annual-CF'!P$9)</f>
        <v>0</v>
      </c>
      <c r="Q51" s="714">
        <f ca="1">SUMIFS('Monthly-CF'!$L52:$EA52,'Monthly-CF'!$L$9:$EA$9,'Annual-CF'!Q$9)</f>
        <v>0</v>
      </c>
      <c r="R51" s="714">
        <f ca="1">SUMIFS('Monthly-CF'!$L52:$EA52,'Monthly-CF'!$L$9:$EA$9,'Annual-CF'!R$9)</f>
        <v>0</v>
      </c>
      <c r="S51" s="714">
        <f ca="1">SUMIFS('Monthly-CF'!$L52:$EA52,'Monthly-CF'!$L$9:$EA$9,'Annual-CF'!S$9)</f>
        <v>0</v>
      </c>
      <c r="T51" s="714">
        <f ca="1">SUMIFS('Monthly-CF'!$L52:$EA52,'Monthly-CF'!$L$9:$EA$9,'Annual-CF'!T$9)</f>
        <v>0</v>
      </c>
      <c r="U51" s="714">
        <f ca="1">SUMIFS('Monthly-CF'!$L52:$EA52,'Monthly-CF'!$L$9:$EA$9,'Annual-CF'!U$9)</f>
        <v>0</v>
      </c>
      <c r="V51" s="389"/>
      <c r="W51" s="392" t="s">
        <v>65</v>
      </c>
    </row>
    <row r="52" spans="1:23" s="390" customFormat="1" hidden="1" outlineLevel="1">
      <c r="A52" s="389"/>
      <c r="B52" s="389"/>
      <c r="C52" s="389"/>
      <c r="D52" s="410" t="s">
        <v>33</v>
      </c>
      <c r="E52" s="411"/>
      <c r="F52" s="411"/>
      <c r="G52" s="411"/>
      <c r="H52" s="411"/>
      <c r="I52" s="1003">
        <f t="shared" ca="1" si="6"/>
        <v>0</v>
      </c>
      <c r="J52" s="701"/>
      <c r="K52" s="411"/>
      <c r="L52" s="411">
        <f ca="1">SUM(L50:L51)</f>
        <v>0</v>
      </c>
      <c r="M52" s="411">
        <f t="shared" ref="M52:U52" ca="1" si="7">SUM(M50:M51)</f>
        <v>0</v>
      </c>
      <c r="N52" s="411">
        <f t="shared" ca="1" si="7"/>
        <v>0</v>
      </c>
      <c r="O52" s="411">
        <f t="shared" ca="1" si="7"/>
        <v>0</v>
      </c>
      <c r="P52" s="411">
        <f t="shared" ca="1" si="7"/>
        <v>0</v>
      </c>
      <c r="Q52" s="411">
        <f t="shared" ca="1" si="7"/>
        <v>0</v>
      </c>
      <c r="R52" s="411">
        <f t="shared" ca="1" si="7"/>
        <v>0</v>
      </c>
      <c r="S52" s="411">
        <f t="shared" ca="1" si="7"/>
        <v>0</v>
      </c>
      <c r="T52" s="411">
        <f t="shared" ca="1" si="7"/>
        <v>0</v>
      </c>
      <c r="U52" s="411">
        <f t="shared" ca="1" si="7"/>
        <v>0</v>
      </c>
      <c r="V52" s="389"/>
      <c r="W52" s="392" t="s">
        <v>65</v>
      </c>
    </row>
    <row r="53" spans="1:23" s="390" customFormat="1" hidden="1" outlineLevel="1">
      <c r="A53" s="389"/>
      <c r="B53" s="389"/>
      <c r="C53" s="389"/>
      <c r="D53" s="409" t="s">
        <v>24</v>
      </c>
      <c r="F53" s="700"/>
      <c r="G53" s="700"/>
      <c r="H53" s="700"/>
      <c r="I53" s="1002">
        <f t="shared" ca="1" si="6"/>
        <v>0</v>
      </c>
      <c r="J53" s="700"/>
      <c r="K53" s="404"/>
      <c r="L53" s="714">
        <f ca="1">SUMIFS('Monthly-CF'!$L54:$EA54,'Monthly-CF'!$L$9:$EA$9,'Annual-CF'!L$9)</f>
        <v>0</v>
      </c>
      <c r="M53" s="714">
        <f ca="1">SUMIFS('Monthly-CF'!$L54:$EA54,'Monthly-CF'!$L$9:$EA$9,'Annual-CF'!M$9)</f>
        <v>0</v>
      </c>
      <c r="N53" s="714">
        <f ca="1">SUMIFS('Monthly-CF'!$L54:$EA54,'Monthly-CF'!$L$9:$EA$9,'Annual-CF'!N$9)</f>
        <v>0</v>
      </c>
      <c r="O53" s="714">
        <f ca="1">SUMIFS('Monthly-CF'!$L54:$EA54,'Monthly-CF'!$L$9:$EA$9,'Annual-CF'!O$9)</f>
        <v>0</v>
      </c>
      <c r="P53" s="714">
        <f ca="1">SUMIFS('Monthly-CF'!$L54:$EA54,'Monthly-CF'!$L$9:$EA$9,'Annual-CF'!P$9)</f>
        <v>0</v>
      </c>
      <c r="Q53" s="714">
        <f ca="1">SUMIFS('Monthly-CF'!$L54:$EA54,'Monthly-CF'!$L$9:$EA$9,'Annual-CF'!Q$9)</f>
        <v>0</v>
      </c>
      <c r="R53" s="714">
        <f ca="1">SUMIFS('Monthly-CF'!$L54:$EA54,'Monthly-CF'!$L$9:$EA$9,'Annual-CF'!R$9)</f>
        <v>0</v>
      </c>
      <c r="S53" s="714">
        <f ca="1">SUMIFS('Monthly-CF'!$L54:$EA54,'Monthly-CF'!$L$9:$EA$9,'Annual-CF'!S$9)</f>
        <v>0</v>
      </c>
      <c r="T53" s="714">
        <f ca="1">SUMIFS('Monthly-CF'!$L54:$EA54,'Monthly-CF'!$L$9:$EA$9,'Annual-CF'!T$9)</f>
        <v>0</v>
      </c>
      <c r="U53" s="714">
        <f ca="1">SUMIFS('Monthly-CF'!$L54:$EA54,'Monthly-CF'!$L$9:$EA$9,'Annual-CF'!U$9)</f>
        <v>0</v>
      </c>
      <c r="V53" s="389"/>
      <c r="W53" s="392" t="s">
        <v>65</v>
      </c>
    </row>
    <row r="54" spans="1:23" s="390" customFormat="1" hidden="1" outlineLevel="1">
      <c r="A54" s="389"/>
      <c r="B54" s="389"/>
      <c r="C54" s="389"/>
      <c r="D54" s="999" t="str">
        <f>CONCATENATE("Op Exp - ",Assumptions!D$54)</f>
        <v>Op Exp - Commercial</v>
      </c>
      <c r="F54" s="700"/>
      <c r="G54" s="700"/>
      <c r="H54" s="700"/>
      <c r="I54" s="1002">
        <f t="shared" ca="1" si="6"/>
        <v>0</v>
      </c>
      <c r="J54" s="700"/>
      <c r="K54" s="404"/>
      <c r="L54" s="714">
        <f ca="1">SUMIFS('Monthly-CF'!$L55:$EA55,'Monthly-CF'!$L$9:$EA$9,'Annual-CF'!L$9)</f>
        <v>0</v>
      </c>
      <c r="M54" s="714">
        <f ca="1">SUMIFS('Monthly-CF'!$L55:$EA55,'Monthly-CF'!$L$9:$EA$9,'Annual-CF'!M$9)</f>
        <v>0</v>
      </c>
      <c r="N54" s="714">
        <f ca="1">SUMIFS('Monthly-CF'!$L55:$EA55,'Monthly-CF'!$L$9:$EA$9,'Annual-CF'!N$9)</f>
        <v>0</v>
      </c>
      <c r="O54" s="714">
        <f ca="1">SUMIFS('Monthly-CF'!$L55:$EA55,'Monthly-CF'!$L$9:$EA$9,'Annual-CF'!O$9)</f>
        <v>0</v>
      </c>
      <c r="P54" s="714">
        <f ca="1">SUMIFS('Monthly-CF'!$L55:$EA55,'Monthly-CF'!$L$9:$EA$9,'Annual-CF'!P$9)</f>
        <v>0</v>
      </c>
      <c r="Q54" s="714">
        <f ca="1">SUMIFS('Monthly-CF'!$L55:$EA55,'Monthly-CF'!$L$9:$EA$9,'Annual-CF'!Q$9)</f>
        <v>0</v>
      </c>
      <c r="R54" s="714">
        <f ca="1">SUMIFS('Monthly-CF'!$L55:$EA55,'Monthly-CF'!$L$9:$EA$9,'Annual-CF'!R$9)</f>
        <v>0</v>
      </c>
      <c r="S54" s="714">
        <f ca="1">SUMIFS('Monthly-CF'!$L55:$EA55,'Monthly-CF'!$L$9:$EA$9,'Annual-CF'!S$9)</f>
        <v>0</v>
      </c>
      <c r="T54" s="714">
        <f ca="1">SUMIFS('Monthly-CF'!$L55:$EA55,'Monthly-CF'!$L$9:$EA$9,'Annual-CF'!T$9)</f>
        <v>0</v>
      </c>
      <c r="U54" s="714">
        <f ca="1">SUMIFS('Monthly-CF'!$L55:$EA55,'Monthly-CF'!$L$9:$EA$9,'Annual-CF'!U$9)</f>
        <v>0</v>
      </c>
      <c r="V54" s="389"/>
      <c r="W54" s="392" t="s">
        <v>65</v>
      </c>
    </row>
    <row r="55" spans="1:23" s="390" customFormat="1" hidden="1" outlineLevel="1">
      <c r="A55" s="389"/>
      <c r="B55" s="389"/>
      <c r="C55" s="389"/>
      <c r="D55" s="410" t="s">
        <v>29</v>
      </c>
      <c r="E55" s="411"/>
      <c r="F55" s="411"/>
      <c r="G55" s="411"/>
      <c r="H55" s="411"/>
      <c r="I55" s="1003">
        <f t="shared" ca="1" si="6"/>
        <v>0</v>
      </c>
      <c r="J55" s="701"/>
      <c r="K55" s="411"/>
      <c r="L55" s="411">
        <f ca="1">SUM(L52:L54)</f>
        <v>0</v>
      </c>
      <c r="M55" s="411">
        <f t="shared" ref="M55:U55" ca="1" si="8">SUM(M52:M54)</f>
        <v>0</v>
      </c>
      <c r="N55" s="411">
        <f t="shared" ca="1" si="8"/>
        <v>0</v>
      </c>
      <c r="O55" s="411">
        <f t="shared" ca="1" si="8"/>
        <v>0</v>
      </c>
      <c r="P55" s="411">
        <f t="shared" ca="1" si="8"/>
        <v>0</v>
      </c>
      <c r="Q55" s="411">
        <f t="shared" ca="1" si="8"/>
        <v>0</v>
      </c>
      <c r="R55" s="411">
        <f t="shared" ca="1" si="8"/>
        <v>0</v>
      </c>
      <c r="S55" s="411">
        <f t="shared" ca="1" si="8"/>
        <v>0</v>
      </c>
      <c r="T55" s="411">
        <f t="shared" ca="1" si="8"/>
        <v>0</v>
      </c>
      <c r="U55" s="411">
        <f t="shared" ca="1" si="8"/>
        <v>0</v>
      </c>
      <c r="V55" s="389"/>
      <c r="W55" s="392" t="s">
        <v>65</v>
      </c>
    </row>
    <row r="56" spans="1:23" s="390" customFormat="1" hidden="1" outlineLevel="1">
      <c r="A56" s="389"/>
      <c r="B56" s="389"/>
      <c r="C56" s="389"/>
      <c r="D56" s="1000" t="s">
        <v>30</v>
      </c>
      <c r="F56" s="700"/>
      <c r="G56" s="700"/>
      <c r="H56" s="700"/>
      <c r="I56" s="1002">
        <f t="shared" ca="1" si="6"/>
        <v>0</v>
      </c>
      <c r="J56" s="700"/>
      <c r="K56" s="404"/>
      <c r="L56" s="714">
        <f ca="1">SUMIFS('Monthly-CF'!$L57:$EA57,'Monthly-CF'!$L$9:$EA$9,'Annual-CF'!L$9)</f>
        <v>0</v>
      </c>
      <c r="M56" s="714">
        <f ca="1">SUMIFS('Monthly-CF'!$L57:$EA57,'Monthly-CF'!$L$9:$EA$9,'Annual-CF'!M$9)</f>
        <v>0</v>
      </c>
      <c r="N56" s="714">
        <f ca="1">SUMIFS('Monthly-CF'!$L57:$EA57,'Monthly-CF'!$L$9:$EA$9,'Annual-CF'!N$9)</f>
        <v>0</v>
      </c>
      <c r="O56" s="714">
        <f ca="1">SUMIFS('Monthly-CF'!$L57:$EA57,'Monthly-CF'!$L$9:$EA$9,'Annual-CF'!O$9)</f>
        <v>0</v>
      </c>
      <c r="P56" s="714">
        <f ca="1">SUMIFS('Monthly-CF'!$L57:$EA57,'Monthly-CF'!$L$9:$EA$9,'Annual-CF'!P$9)</f>
        <v>0</v>
      </c>
      <c r="Q56" s="714">
        <f ca="1">SUMIFS('Monthly-CF'!$L57:$EA57,'Monthly-CF'!$L$9:$EA$9,'Annual-CF'!Q$9)</f>
        <v>0</v>
      </c>
      <c r="R56" s="714">
        <f ca="1">SUMIFS('Monthly-CF'!$L57:$EA57,'Monthly-CF'!$L$9:$EA$9,'Annual-CF'!R$9)</f>
        <v>0</v>
      </c>
      <c r="S56" s="714">
        <f ca="1">SUMIFS('Monthly-CF'!$L57:$EA57,'Monthly-CF'!$L$9:$EA$9,'Annual-CF'!S$9)</f>
        <v>0</v>
      </c>
      <c r="T56" s="714">
        <f ca="1">SUMIFS('Monthly-CF'!$L57:$EA57,'Monthly-CF'!$L$9:$EA$9,'Annual-CF'!T$9)</f>
        <v>0</v>
      </c>
      <c r="U56" s="714">
        <f ca="1">SUMIFS('Monthly-CF'!$L57:$EA57,'Monthly-CF'!$L$9:$EA$9,'Annual-CF'!U$9)</f>
        <v>0</v>
      </c>
      <c r="V56" s="389"/>
      <c r="W56" s="392" t="s">
        <v>65</v>
      </c>
    </row>
    <row r="57" spans="1:23" s="390" customFormat="1" hidden="1" outlineLevel="1">
      <c r="A57" s="389"/>
      <c r="B57" s="389"/>
      <c r="C57" s="389"/>
      <c r="D57" s="410" t="s">
        <v>568</v>
      </c>
      <c r="E57" s="411"/>
      <c r="F57" s="411"/>
      <c r="G57" s="411"/>
      <c r="H57" s="411"/>
      <c r="I57" s="1003">
        <f t="shared" ca="1" si="6"/>
        <v>0</v>
      </c>
      <c r="J57" s="701"/>
      <c r="K57" s="411"/>
      <c r="L57" s="411">
        <f ca="1">SUM(L55:L56)</f>
        <v>0</v>
      </c>
      <c r="M57" s="411">
        <f t="shared" ref="M57:U57" ca="1" si="9">SUM(M55:M56)</f>
        <v>0</v>
      </c>
      <c r="N57" s="411">
        <f t="shared" ca="1" si="9"/>
        <v>0</v>
      </c>
      <c r="O57" s="411">
        <f t="shared" ca="1" si="9"/>
        <v>0</v>
      </c>
      <c r="P57" s="411">
        <f t="shared" ca="1" si="9"/>
        <v>0</v>
      </c>
      <c r="Q57" s="411">
        <f t="shared" ca="1" si="9"/>
        <v>0</v>
      </c>
      <c r="R57" s="411">
        <f t="shared" ca="1" si="9"/>
        <v>0</v>
      </c>
      <c r="S57" s="411">
        <f t="shared" ca="1" si="9"/>
        <v>0</v>
      </c>
      <c r="T57" s="411">
        <f t="shared" ca="1" si="9"/>
        <v>0</v>
      </c>
      <c r="U57" s="411">
        <f t="shared" ca="1" si="9"/>
        <v>0</v>
      </c>
      <c r="V57" s="389"/>
      <c r="W57" s="392" t="s">
        <v>65</v>
      </c>
    </row>
    <row r="58" spans="1:23" s="390" customFormat="1" collapsed="1">
      <c r="A58" s="389"/>
      <c r="B58" s="389"/>
      <c r="C58" s="389"/>
      <c r="D58" s="403"/>
      <c r="F58" s="700"/>
      <c r="G58" s="700"/>
      <c r="H58" s="700"/>
      <c r="I58" s="792"/>
      <c r="J58" s="700"/>
      <c r="K58" s="404"/>
      <c r="L58" s="750"/>
      <c r="M58" s="750"/>
      <c r="N58" s="750"/>
      <c r="O58" s="1848"/>
      <c r="P58" s="1848"/>
      <c r="Q58" s="1848"/>
      <c r="R58" s="1848"/>
      <c r="S58" s="1848"/>
      <c r="T58" s="1848"/>
      <c r="U58" s="1848"/>
      <c r="V58" s="389"/>
      <c r="W58" s="392" t="s">
        <v>65</v>
      </c>
    </row>
    <row r="59" spans="1:23" s="390" customFormat="1">
      <c r="A59" s="389"/>
      <c r="B59" s="389"/>
      <c r="C59" s="389"/>
      <c r="D59" s="1001" t="s">
        <v>570</v>
      </c>
      <c r="F59" s="700"/>
      <c r="G59" s="700"/>
      <c r="H59" s="700"/>
      <c r="I59" s="792"/>
      <c r="J59" s="700"/>
      <c r="K59" s="404"/>
      <c r="L59" s="750"/>
      <c r="M59" s="750"/>
      <c r="N59" s="750"/>
      <c r="O59" s="1848"/>
      <c r="P59" s="1848"/>
      <c r="Q59" s="1848"/>
      <c r="R59" s="1848"/>
      <c r="S59" s="1848"/>
      <c r="T59" s="1848"/>
      <c r="U59" s="1848"/>
      <c r="V59" s="389"/>
      <c r="W59" s="392" t="s">
        <v>65</v>
      </c>
    </row>
    <row r="60" spans="1:23" s="390" customFormat="1">
      <c r="A60" s="389"/>
      <c r="B60" s="389"/>
      <c r="C60" s="389"/>
      <c r="D60" s="389" t="s">
        <v>73</v>
      </c>
      <c r="E60" s="389"/>
      <c r="F60" s="389"/>
      <c r="G60" s="389"/>
      <c r="H60" s="389"/>
      <c r="I60" s="795"/>
      <c r="J60" s="389"/>
      <c r="K60" s="703"/>
      <c r="L60" s="703">
        <f ca="1">IF(L44&gt;0,L44/Assumptions!$M$55,0)</f>
        <v>0</v>
      </c>
      <c r="M60" s="703">
        <f ca="1">IF(M44&gt;0,M44/Assumptions!$M$55,0)</f>
        <v>13831629.129863467</v>
      </c>
      <c r="N60" s="703">
        <f ca="1">IF(N44&gt;0,N44/Assumptions!$M$55,0)</f>
        <v>63586393.864561923</v>
      </c>
      <c r="O60" s="703">
        <f ca="1">IF(O44&gt;0,O44/Assumptions!$M$55,0)</f>
        <v>82437806.509356081</v>
      </c>
      <c r="P60" s="703">
        <f ca="1">IF(P44&gt;0,P44/Assumptions!$M$55,0)</f>
        <v>83082249.182175398</v>
      </c>
      <c r="Q60" s="703">
        <f ca="1">IF(Q44&gt;0,Q44/Assumptions!$M$55,0)</f>
        <v>83473147.177066803</v>
      </c>
      <c r="R60" s="703">
        <f ca="1">IF(R44&gt;0,R44/Assumptions!$M$55,0)</f>
        <v>84151324.593341932</v>
      </c>
      <c r="S60" s="703">
        <f ca="1">IF(S44&gt;0,S44/Assumptions!$M$55,0)</f>
        <v>86334283.080571294</v>
      </c>
      <c r="T60" s="703">
        <f ca="1">IF(T44&gt;0,T44/Assumptions!$M$55,0)</f>
        <v>84348785.583610177</v>
      </c>
      <c r="U60" s="703">
        <f ca="1">IF(U44&gt;0,U44/Assumptions!$M$55,0)</f>
        <v>86504553.967553675</v>
      </c>
      <c r="V60" s="389"/>
      <c r="W60" s="392" t="s">
        <v>65</v>
      </c>
    </row>
    <row r="61" spans="1:23" s="390" customFormat="1">
      <c r="A61" s="389"/>
      <c r="B61" s="389"/>
      <c r="C61" s="389"/>
      <c r="D61" s="389" t="s">
        <v>136</v>
      </c>
      <c r="E61" s="389"/>
      <c r="F61" s="389"/>
      <c r="G61" s="389"/>
      <c r="H61" s="389"/>
      <c r="I61" s="795">
        <f ca="1">SUM(K61:U61)</f>
        <v>85423247.042959243</v>
      </c>
      <c r="J61" s="389"/>
      <c r="K61" s="703"/>
      <c r="L61" s="703">
        <f>SUMIFS('Monthly-CF'!$L62:$EA62,'Monthly-CF'!$L$9:$EA$9,'Annual-CF'!L$9)</f>
        <v>0</v>
      </c>
      <c r="M61" s="703">
        <f>SUMIFS('Monthly-CF'!$L62:$EA62,'Monthly-CF'!$L$9:$EA$9,'Annual-CF'!M$9)</f>
        <v>0</v>
      </c>
      <c r="N61" s="703">
        <f>SUMIFS('Monthly-CF'!$L62:$EA62,'Monthly-CF'!$L$9:$EA$9,'Annual-CF'!N$9)</f>
        <v>0</v>
      </c>
      <c r="O61" s="703">
        <f>SUMIFS('Monthly-CF'!$L62:$EA62,'Monthly-CF'!$L$9:$EA$9,'Annual-CF'!O$9)</f>
        <v>0</v>
      </c>
      <c r="P61" s="703">
        <f>SUMIFS('Monthly-CF'!$L62:$EA62,'Monthly-CF'!$L$9:$EA$9,'Annual-CF'!P$9)</f>
        <v>0</v>
      </c>
      <c r="Q61" s="703">
        <f>SUMIFS('Monthly-CF'!$L62:$EA62,'Monthly-CF'!$L$9:$EA$9,'Annual-CF'!Q$9)</f>
        <v>0</v>
      </c>
      <c r="R61" s="703">
        <f>SUMIFS('Monthly-CF'!$L62:$EA62,'Monthly-CF'!$L$9:$EA$9,'Annual-CF'!R$9)</f>
        <v>0</v>
      </c>
      <c r="S61" s="703">
        <f>SUMIFS('Monthly-CF'!$L62:$EA62,'Monthly-CF'!$L$9:$EA$9,'Annual-CF'!S$9)</f>
        <v>0</v>
      </c>
      <c r="T61" s="703">
        <f>SUMIFS('Monthly-CF'!$L62:$EA62,'Monthly-CF'!$L$9:$EA$9,'Annual-CF'!T$9)</f>
        <v>0</v>
      </c>
      <c r="U61" s="703">
        <f ca="1">SUMIFS('Monthly-CF'!$L62:$EA62,'Monthly-CF'!$L$9:$EA$9,'Annual-CF'!U$9)</f>
        <v>85423247.042959258</v>
      </c>
      <c r="V61" s="389"/>
      <c r="W61" s="392" t="s">
        <v>65</v>
      </c>
    </row>
    <row r="62" spans="1:23" s="390" customFormat="1">
      <c r="A62" s="389"/>
      <c r="B62" s="389"/>
      <c r="C62" s="389"/>
      <c r="D62" s="389"/>
      <c r="E62" s="389"/>
      <c r="F62" s="389"/>
      <c r="G62" s="389"/>
      <c r="H62" s="389"/>
      <c r="I62" s="795"/>
      <c r="J62" s="389"/>
      <c r="K62" s="703"/>
      <c r="L62" s="703"/>
      <c r="M62" s="703"/>
      <c r="N62" s="703"/>
      <c r="O62" s="703"/>
      <c r="P62" s="703"/>
      <c r="Q62" s="703"/>
      <c r="R62" s="703"/>
      <c r="S62" s="703"/>
      <c r="T62" s="703"/>
      <c r="U62" s="703"/>
      <c r="V62" s="389"/>
      <c r="W62" s="392" t="s">
        <v>65</v>
      </c>
    </row>
    <row r="63" spans="1:23" s="390" customFormat="1">
      <c r="A63" s="389"/>
      <c r="B63" s="389"/>
      <c r="C63" s="389"/>
      <c r="D63" s="1001" t="s">
        <v>262</v>
      </c>
      <c r="E63" s="389"/>
      <c r="F63" s="389"/>
      <c r="G63" s="389"/>
      <c r="H63" s="389"/>
      <c r="I63" s="795"/>
      <c r="J63" s="389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389"/>
      <c r="W63" s="392" t="s">
        <v>65</v>
      </c>
    </row>
    <row r="64" spans="1:23" s="390" customFormat="1">
      <c r="A64" s="389"/>
      <c r="B64" s="389"/>
      <c r="C64" s="389"/>
      <c r="D64" s="389" t="s">
        <v>73</v>
      </c>
      <c r="E64" s="389"/>
      <c r="F64" s="389"/>
      <c r="G64" s="389"/>
      <c r="H64" s="389"/>
      <c r="I64" s="795"/>
      <c r="J64" s="389"/>
      <c r="K64" s="703"/>
      <c r="L64" s="703">
        <f ca="1">_xlfn.MAXIFS('Monthly-CF'!$L65:$EA65,'Monthly-CF'!$L$9:$EA$9,'Annual-CF'!L$9)</f>
        <v>0</v>
      </c>
      <c r="M64" s="703">
        <f ca="1">_xlfn.MAXIFS('Monthly-CF'!$L65:$EA65,'Monthly-CF'!$L$9:$EA$9,'Annual-CF'!M$9)</f>
        <v>0</v>
      </c>
      <c r="N64" s="703">
        <f ca="1">_xlfn.MAXIFS('Monthly-CF'!$L65:$EA65,'Monthly-CF'!$L$9:$EA$9,'Annual-CF'!N$9)</f>
        <v>0</v>
      </c>
      <c r="O64" s="703">
        <f ca="1">_xlfn.MAXIFS('Monthly-CF'!$L65:$EA65,'Monthly-CF'!$L$9:$EA$9,'Annual-CF'!O$9)</f>
        <v>0</v>
      </c>
      <c r="P64" s="703">
        <f ca="1">_xlfn.MAXIFS('Monthly-CF'!$L65:$EA65,'Monthly-CF'!$L$9:$EA$9,'Annual-CF'!P$9)</f>
        <v>0</v>
      </c>
      <c r="Q64" s="703">
        <f ca="1">_xlfn.MAXIFS('Monthly-CF'!$L65:$EA65,'Monthly-CF'!$L$9:$EA$9,'Annual-CF'!Q$9)</f>
        <v>0</v>
      </c>
      <c r="R64" s="703">
        <f ca="1">_xlfn.MAXIFS('Monthly-CF'!$L65:$EA65,'Monthly-CF'!$L$9:$EA$9,'Annual-CF'!R$9)</f>
        <v>0</v>
      </c>
      <c r="S64" s="703">
        <f ca="1">_xlfn.MAXIFS('Monthly-CF'!$L65:$EA65,'Monthly-CF'!$L$9:$EA$9,'Annual-CF'!S$9)</f>
        <v>0</v>
      </c>
      <c r="T64" s="703">
        <f ca="1">_xlfn.MAXIFS('Monthly-CF'!$L65:$EA65,'Monthly-CF'!$L$9:$EA$9,'Annual-CF'!T$9)</f>
        <v>0</v>
      </c>
      <c r="U64" s="703">
        <f ca="1">_xlfn.MAXIFS('Monthly-CF'!$L65:$EA65,'Monthly-CF'!$L$9:$EA$9,'Annual-CF'!U$9)</f>
        <v>0</v>
      </c>
      <c r="V64" s="389"/>
      <c r="W64" s="392" t="s">
        <v>65</v>
      </c>
    </row>
    <row r="65" spans="1:23" s="390" customFormat="1" ht="15" customHeight="1">
      <c r="A65" s="389"/>
      <c r="B65" s="389"/>
      <c r="C65" s="389"/>
      <c r="D65" s="389" t="s">
        <v>136</v>
      </c>
      <c r="E65" s="389"/>
      <c r="F65" s="389"/>
      <c r="G65" s="389"/>
      <c r="H65" s="389"/>
      <c r="I65" s="795">
        <f ca="1">SUM(K65:U65)</f>
        <v>0</v>
      </c>
      <c r="J65" s="389"/>
      <c r="K65" s="389"/>
      <c r="L65" s="703">
        <f>SUMIFS('Monthly-CF'!$L66:$EA66,'Monthly-CF'!$L$9:$EA$9,'Annual-CF'!L$9)</f>
        <v>0</v>
      </c>
      <c r="M65" s="703">
        <f>SUMIFS('Monthly-CF'!$L66:$EA66,'Monthly-CF'!$L$9:$EA$9,'Annual-CF'!M$9)</f>
        <v>0</v>
      </c>
      <c r="N65" s="703">
        <f>SUMIFS('Monthly-CF'!$L66:$EA66,'Monthly-CF'!$L$9:$EA$9,'Annual-CF'!N$9)</f>
        <v>0</v>
      </c>
      <c r="O65" s="703">
        <f>SUMIFS('Monthly-CF'!$L66:$EA66,'Monthly-CF'!$L$9:$EA$9,'Annual-CF'!O$9)</f>
        <v>0</v>
      </c>
      <c r="P65" s="703">
        <f>SUMIFS('Monthly-CF'!$L66:$EA66,'Monthly-CF'!$L$9:$EA$9,'Annual-CF'!P$9)</f>
        <v>0</v>
      </c>
      <c r="Q65" s="703">
        <f>SUMIFS('Monthly-CF'!$L66:$EA66,'Monthly-CF'!$L$9:$EA$9,'Annual-CF'!Q$9)</f>
        <v>0</v>
      </c>
      <c r="R65" s="703">
        <f>SUMIFS('Monthly-CF'!$L66:$EA66,'Monthly-CF'!$L$9:$EA$9,'Annual-CF'!R$9)</f>
        <v>0</v>
      </c>
      <c r="S65" s="703">
        <f>SUMIFS('Monthly-CF'!$L66:$EA66,'Monthly-CF'!$L$9:$EA$9,'Annual-CF'!S$9)</f>
        <v>0</v>
      </c>
      <c r="T65" s="703">
        <f>SUMIFS('Monthly-CF'!$L66:$EA66,'Monthly-CF'!$L$9:$EA$9,'Annual-CF'!T$9)</f>
        <v>0</v>
      </c>
      <c r="U65" s="703">
        <f ca="1">SUMIFS('Monthly-CF'!$L66:$EA66,'Monthly-CF'!$L$9:$EA$9,'Annual-CF'!U$9)</f>
        <v>0</v>
      </c>
      <c r="V65" s="389"/>
      <c r="W65" s="392" t="s">
        <v>65</v>
      </c>
    </row>
    <row r="66" spans="1:23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796"/>
      <c r="J66" s="389"/>
      <c r="K66" s="389"/>
      <c r="L66" s="703"/>
      <c r="M66" s="703"/>
      <c r="N66" s="703"/>
      <c r="O66" s="703"/>
      <c r="P66" s="703"/>
      <c r="Q66" s="703"/>
      <c r="R66" s="703"/>
      <c r="S66" s="703"/>
      <c r="T66" s="703"/>
      <c r="U66" s="703"/>
      <c r="V66" s="389"/>
      <c r="W66" s="392" t="s">
        <v>65</v>
      </c>
    </row>
    <row r="67" spans="1:23" s="390" customFormat="1" ht="15" hidden="1" customHeight="1" outlineLevel="1">
      <c r="A67" s="389"/>
      <c r="B67" s="389"/>
      <c r="C67" s="389"/>
      <c r="D67" s="767" t="s">
        <v>491</v>
      </c>
      <c r="E67" s="768"/>
      <c r="F67" s="768"/>
      <c r="G67" s="768"/>
      <c r="H67" s="768"/>
      <c r="I67" s="801"/>
      <c r="J67" s="389"/>
      <c r="K67" s="777"/>
      <c r="L67" s="776"/>
      <c r="M67" s="776"/>
      <c r="N67" s="776"/>
      <c r="O67" s="776"/>
      <c r="P67" s="776"/>
      <c r="Q67" s="776"/>
      <c r="R67" s="776"/>
      <c r="S67" s="776"/>
      <c r="T67" s="776"/>
      <c r="U67" s="776"/>
      <c r="V67" s="389"/>
      <c r="W67" s="392" t="s">
        <v>65</v>
      </c>
    </row>
    <row r="68" spans="1:23" s="390" customFormat="1" ht="15" hidden="1" customHeight="1" outlineLevel="1">
      <c r="A68" s="389"/>
      <c r="B68" s="389"/>
      <c r="C68" s="389"/>
      <c r="D68" s="769" t="s">
        <v>43</v>
      </c>
      <c r="E68" s="780"/>
      <c r="F68" s="770"/>
      <c r="G68" s="770"/>
      <c r="H68" s="771"/>
      <c r="I68" s="801">
        <f t="shared" ref="I68:I75" si="10">SUM(K68:U68)</f>
        <v>-5200000</v>
      </c>
      <c r="J68" s="389"/>
      <c r="K68" s="776"/>
      <c r="L68" s="776">
        <f>SUMIFS('Monthly-CF'!$L69:$EA69,'Monthly-CF'!$L$9:$EA$9,'Annual-CF'!L$9)</f>
        <v>-5200000</v>
      </c>
      <c r="M68" s="776">
        <f>SUMIFS('Monthly-CF'!$L69:$EA69,'Monthly-CF'!$L$9:$EA$9,'Annual-CF'!M$9)</f>
        <v>0</v>
      </c>
      <c r="N68" s="776">
        <f>SUMIFS('Monthly-CF'!$L69:$EA69,'Monthly-CF'!$L$9:$EA$9,'Annual-CF'!N$9)</f>
        <v>0</v>
      </c>
      <c r="O68" s="776">
        <f>SUMIFS('Monthly-CF'!$L69:$EA69,'Monthly-CF'!$L$9:$EA$9,'Annual-CF'!O$9)</f>
        <v>0</v>
      </c>
      <c r="P68" s="776">
        <f>SUMIFS('Monthly-CF'!$L69:$EA69,'Monthly-CF'!$L$9:$EA$9,'Annual-CF'!P$9)</f>
        <v>0</v>
      </c>
      <c r="Q68" s="776">
        <f>SUMIFS('Monthly-CF'!$L69:$EA69,'Monthly-CF'!$L$9:$EA$9,'Annual-CF'!Q$9)</f>
        <v>0</v>
      </c>
      <c r="R68" s="776">
        <f>SUMIFS('Monthly-CF'!$L69:$EA69,'Monthly-CF'!$L$9:$EA$9,'Annual-CF'!R$9)</f>
        <v>0</v>
      </c>
      <c r="S68" s="776">
        <f>SUMIFS('Monthly-CF'!$L69:$EA69,'Monthly-CF'!$L$9:$EA$9,'Annual-CF'!S$9)</f>
        <v>0</v>
      </c>
      <c r="T68" s="776">
        <f>SUMIFS('Monthly-CF'!$L69:$EA69,'Monthly-CF'!$L$9:$EA$9,'Annual-CF'!T$9)</f>
        <v>0</v>
      </c>
      <c r="U68" s="776">
        <f>SUMIFS('Monthly-CF'!$L69:$EA69,'Monthly-CF'!$L$9:$EA$9,'Annual-CF'!U$9)</f>
        <v>0</v>
      </c>
      <c r="V68" s="389"/>
      <c r="W68" s="392" t="s">
        <v>65</v>
      </c>
    </row>
    <row r="69" spans="1:23" s="390" customFormat="1" ht="15" hidden="1" customHeight="1" outlineLevel="1">
      <c r="A69" s="389"/>
      <c r="B69" s="389"/>
      <c r="C69" s="389"/>
      <c r="D69" s="769" t="s">
        <v>21</v>
      </c>
      <c r="E69" s="780"/>
      <c r="F69" s="770"/>
      <c r="G69" s="770"/>
      <c r="H69" s="771"/>
      <c r="I69" s="802">
        <f t="shared" ca="1" si="10"/>
        <v>-38440297.899999999</v>
      </c>
      <c r="J69" s="389"/>
      <c r="K69" s="776"/>
      <c r="L69" s="776">
        <f ca="1">SUMIFS('Monthly-CF'!$L70:$EA70,'Monthly-CF'!$L$9:$EA$9,'Annual-CF'!L$9)</f>
        <v>-22611939.94117647</v>
      </c>
      <c r="M69" s="776">
        <f ca="1">SUMIFS('Monthly-CF'!$L70:$EA70,'Monthly-CF'!$L$9:$EA$9,'Annual-CF'!M$9)</f>
        <v>-15828357.95882353</v>
      </c>
      <c r="N69" s="776">
        <f>SUMIFS('Monthly-CF'!$L70:$EA70,'Monthly-CF'!$L$9:$EA$9,'Annual-CF'!N$9)</f>
        <v>0</v>
      </c>
      <c r="O69" s="776">
        <f>SUMIFS('Monthly-CF'!$L70:$EA70,'Monthly-CF'!$L$9:$EA$9,'Annual-CF'!O$9)</f>
        <v>0</v>
      </c>
      <c r="P69" s="776">
        <f>SUMIFS('Monthly-CF'!$L70:$EA70,'Monthly-CF'!$L$9:$EA$9,'Annual-CF'!P$9)</f>
        <v>0</v>
      </c>
      <c r="Q69" s="776">
        <f>SUMIFS('Monthly-CF'!$L70:$EA70,'Monthly-CF'!$L$9:$EA$9,'Annual-CF'!Q$9)</f>
        <v>0</v>
      </c>
      <c r="R69" s="776">
        <f>SUMIFS('Monthly-CF'!$L70:$EA70,'Monthly-CF'!$L$9:$EA$9,'Annual-CF'!R$9)</f>
        <v>0</v>
      </c>
      <c r="S69" s="776">
        <f>SUMIFS('Monthly-CF'!$L70:$EA70,'Monthly-CF'!$L$9:$EA$9,'Annual-CF'!S$9)</f>
        <v>0</v>
      </c>
      <c r="T69" s="776">
        <f>SUMIFS('Monthly-CF'!$L70:$EA70,'Monthly-CF'!$L$9:$EA$9,'Annual-CF'!T$9)</f>
        <v>0</v>
      </c>
      <c r="U69" s="776">
        <f>SUMIFS('Monthly-CF'!$L70:$EA70,'Monthly-CF'!$L$9:$EA$9,'Annual-CF'!U$9)</f>
        <v>0</v>
      </c>
      <c r="V69" s="389"/>
      <c r="W69" s="392" t="s">
        <v>65</v>
      </c>
    </row>
    <row r="70" spans="1:23" s="390" customFormat="1" ht="15" hidden="1" customHeight="1" outlineLevel="1">
      <c r="A70" s="389"/>
      <c r="B70" s="389"/>
      <c r="C70" s="389"/>
      <c r="D70" s="769" t="s">
        <v>511</v>
      </c>
      <c r="E70" s="780"/>
      <c r="F70" s="770"/>
      <c r="G70" s="770"/>
      <c r="H70" s="771"/>
      <c r="I70" s="802">
        <f t="shared" ca="1" si="10"/>
        <v>-6649601.1215803158</v>
      </c>
      <c r="J70" s="389"/>
      <c r="K70" s="776"/>
      <c r="L70" s="776">
        <f ca="1">SUMIFS('Monthly-CF'!$L71:$EA71,'Monthly-CF'!$L$9:$EA$9,'Annual-CF'!L$9)</f>
        <v>-4302683.078669616</v>
      </c>
      <c r="M70" s="776">
        <f ca="1">SUMIFS('Monthly-CF'!$L71:$EA71,'Monthly-CF'!$L$9:$EA$9,'Annual-CF'!M$9)</f>
        <v>-2346918.0429106993</v>
      </c>
      <c r="N70" s="776">
        <f>SUMIFS('Monthly-CF'!$L71:$EA71,'Monthly-CF'!$L$9:$EA$9,'Annual-CF'!N$9)</f>
        <v>0</v>
      </c>
      <c r="O70" s="776">
        <f>SUMIFS('Monthly-CF'!$L71:$EA71,'Monthly-CF'!$L$9:$EA$9,'Annual-CF'!O$9)</f>
        <v>0</v>
      </c>
      <c r="P70" s="776">
        <f>SUMIFS('Monthly-CF'!$L71:$EA71,'Monthly-CF'!$L$9:$EA$9,'Annual-CF'!P$9)</f>
        <v>0</v>
      </c>
      <c r="Q70" s="776">
        <f>SUMIFS('Monthly-CF'!$L71:$EA71,'Monthly-CF'!$L$9:$EA$9,'Annual-CF'!Q$9)</f>
        <v>0</v>
      </c>
      <c r="R70" s="776">
        <f>SUMIFS('Monthly-CF'!$L71:$EA71,'Monthly-CF'!$L$9:$EA$9,'Annual-CF'!R$9)</f>
        <v>0</v>
      </c>
      <c r="S70" s="776">
        <f>SUMIFS('Monthly-CF'!$L71:$EA71,'Monthly-CF'!$L$9:$EA$9,'Annual-CF'!S$9)</f>
        <v>0</v>
      </c>
      <c r="T70" s="776">
        <f>SUMIFS('Monthly-CF'!$L71:$EA71,'Monthly-CF'!$L$9:$EA$9,'Annual-CF'!T$9)</f>
        <v>0</v>
      </c>
      <c r="U70" s="776">
        <f>SUMIFS('Monthly-CF'!$L71:$EA71,'Monthly-CF'!$L$9:$EA$9,'Annual-CF'!U$9)</f>
        <v>0</v>
      </c>
      <c r="V70" s="389"/>
      <c r="W70" s="392" t="s">
        <v>65</v>
      </c>
    </row>
    <row r="71" spans="1:23" s="390" customFormat="1" ht="15" hidden="1" customHeight="1" outlineLevel="1">
      <c r="A71" s="389"/>
      <c r="B71" s="389"/>
      <c r="C71" s="389"/>
      <c r="D71" s="769" t="s">
        <v>515</v>
      </c>
      <c r="E71" s="780"/>
      <c r="F71" s="770"/>
      <c r="G71" s="770"/>
      <c r="H71" s="771"/>
      <c r="I71" s="802">
        <f t="shared" ref="I71" ca="1" si="11">SUM(K71:U71)</f>
        <v>-1672635.6365120769</v>
      </c>
      <c r="J71" s="389"/>
      <c r="K71" s="776"/>
      <c r="L71" s="776">
        <f ca="1">SUMIFS('Monthly-CF'!$L72:$EA72,'Monthly-CF'!$L$9:$EA$9,'Annual-CF'!L$9)</f>
        <v>-983903.3155953394</v>
      </c>
      <c r="M71" s="776">
        <f ca="1">SUMIFS('Monthly-CF'!$L72:$EA72,'Monthly-CF'!$L$9:$EA$9,'Annual-CF'!M$9)</f>
        <v>-688732.32091673755</v>
      </c>
      <c r="N71" s="776">
        <f>SUMIFS('Monthly-CF'!$L72:$EA72,'Monthly-CF'!$L$9:$EA$9,'Annual-CF'!N$9)</f>
        <v>0</v>
      </c>
      <c r="O71" s="776">
        <f>SUMIFS('Monthly-CF'!$L72:$EA72,'Monthly-CF'!$L$9:$EA$9,'Annual-CF'!O$9)</f>
        <v>0</v>
      </c>
      <c r="P71" s="776">
        <f>SUMIFS('Monthly-CF'!$L72:$EA72,'Monthly-CF'!$L$9:$EA$9,'Annual-CF'!P$9)</f>
        <v>0</v>
      </c>
      <c r="Q71" s="776">
        <f>SUMIFS('Monthly-CF'!$L72:$EA72,'Monthly-CF'!$L$9:$EA$9,'Annual-CF'!Q$9)</f>
        <v>0</v>
      </c>
      <c r="R71" s="776">
        <f>SUMIFS('Monthly-CF'!$L72:$EA72,'Monthly-CF'!$L$9:$EA$9,'Annual-CF'!R$9)</f>
        <v>0</v>
      </c>
      <c r="S71" s="776">
        <f>SUMIFS('Monthly-CF'!$L72:$EA72,'Monthly-CF'!$L$9:$EA$9,'Annual-CF'!S$9)</f>
        <v>0</v>
      </c>
      <c r="T71" s="776">
        <f>SUMIFS('Monthly-CF'!$L72:$EA72,'Monthly-CF'!$L$9:$EA$9,'Annual-CF'!T$9)</f>
        <v>0</v>
      </c>
      <c r="U71" s="776">
        <f>SUMIFS('Monthly-CF'!$L72:$EA72,'Monthly-CF'!$L$9:$EA$9,'Annual-CF'!U$9)</f>
        <v>0</v>
      </c>
      <c r="V71" s="389"/>
      <c r="W71" s="392" t="s">
        <v>65</v>
      </c>
    </row>
    <row r="72" spans="1:23" s="390" customFormat="1" hidden="1" outlineLevel="1">
      <c r="A72" s="389"/>
      <c r="B72" s="389"/>
      <c r="C72" s="389"/>
      <c r="D72" s="769" t="s">
        <v>485</v>
      </c>
      <c r="E72" s="777"/>
      <c r="F72" s="786"/>
      <c r="G72" s="777"/>
      <c r="H72" s="777"/>
      <c r="I72" s="802">
        <f t="shared" ca="1" si="10"/>
        <v>-247429.14882842259</v>
      </c>
      <c r="J72" s="389"/>
      <c r="K72" s="787"/>
      <c r="L72" s="776">
        <f ca="1">SUMIFS('Monthly-CF'!$L73:$EA73,'Monthly-CF'!$L$9:$EA$9,'Annual-CF'!L$9)</f>
        <v>-247429.14882842259</v>
      </c>
      <c r="M72" s="776">
        <f ca="1">SUMIFS('Monthly-CF'!$L73:$EA73,'Monthly-CF'!$L$9:$EA$9,'Annual-CF'!M$9)</f>
        <v>0</v>
      </c>
      <c r="N72" s="776">
        <f ca="1">SUMIFS('Monthly-CF'!$L73:$EA73,'Monthly-CF'!$L$9:$EA$9,'Annual-CF'!N$9)</f>
        <v>0</v>
      </c>
      <c r="O72" s="776">
        <f ca="1">SUMIFS('Monthly-CF'!$L73:$EA73,'Monthly-CF'!$L$9:$EA$9,'Annual-CF'!O$9)</f>
        <v>0</v>
      </c>
      <c r="P72" s="776">
        <f ca="1">SUMIFS('Monthly-CF'!$L73:$EA73,'Monthly-CF'!$L$9:$EA$9,'Annual-CF'!P$9)</f>
        <v>0</v>
      </c>
      <c r="Q72" s="776">
        <f ca="1">SUMIFS('Monthly-CF'!$L73:$EA73,'Monthly-CF'!$L$9:$EA$9,'Annual-CF'!Q$9)</f>
        <v>0</v>
      </c>
      <c r="R72" s="776">
        <f ca="1">SUMIFS('Monthly-CF'!$L73:$EA73,'Monthly-CF'!$L$9:$EA$9,'Annual-CF'!R$9)</f>
        <v>0</v>
      </c>
      <c r="S72" s="776">
        <f ca="1">SUMIFS('Monthly-CF'!$L73:$EA73,'Monthly-CF'!$L$9:$EA$9,'Annual-CF'!S$9)</f>
        <v>0</v>
      </c>
      <c r="T72" s="776">
        <f ca="1">SUMIFS('Monthly-CF'!$L73:$EA73,'Monthly-CF'!$L$9:$EA$9,'Annual-CF'!T$9)</f>
        <v>0</v>
      </c>
      <c r="U72" s="776">
        <f ca="1">SUMIFS('Monthly-CF'!$L73:$EA73,'Monthly-CF'!$L$9:$EA$9,'Annual-CF'!U$9)</f>
        <v>0</v>
      </c>
      <c r="V72" s="389"/>
      <c r="W72" s="392" t="s">
        <v>65</v>
      </c>
    </row>
    <row r="73" spans="1:23" s="390" customFormat="1" hidden="1" outlineLevel="1">
      <c r="A73" s="389"/>
      <c r="B73" s="389"/>
      <c r="C73" s="389"/>
      <c r="D73" s="769" t="s">
        <v>80</v>
      </c>
      <c r="E73" s="777"/>
      <c r="F73" s="786"/>
      <c r="G73" s="777"/>
      <c r="H73" s="777"/>
      <c r="I73" s="802">
        <f t="shared" ca="1" si="10"/>
        <v>-2474291.488284226</v>
      </c>
      <c r="J73" s="389"/>
      <c r="K73" s="776"/>
      <c r="L73" s="776">
        <f ca="1">SUMIFS('Monthly-CF'!$L74:$EA74,'Monthly-CF'!$L$9:$EA$9,'Annual-CF'!L$9)</f>
        <v>-651129.3390221647</v>
      </c>
      <c r="M73" s="776">
        <f ca="1">SUMIFS('Monthly-CF'!$L74:$EA74,'Monthly-CF'!$L$9:$EA$9,'Annual-CF'!M$9)</f>
        <v>-1562710.4136531956</v>
      </c>
      <c r="N73" s="776">
        <f ca="1">SUMIFS('Monthly-CF'!$L74:$EA74,'Monthly-CF'!$L$9:$EA$9,'Annual-CF'!N$9)</f>
        <v>-260451.73560886589</v>
      </c>
      <c r="O73" s="776">
        <f>SUMIFS('Monthly-CF'!$L74:$EA74,'Monthly-CF'!$L$9:$EA$9,'Annual-CF'!O$9)</f>
        <v>0</v>
      </c>
      <c r="P73" s="776">
        <f>SUMIFS('Monthly-CF'!$L74:$EA74,'Monthly-CF'!$L$9:$EA$9,'Annual-CF'!P$9)</f>
        <v>0</v>
      </c>
      <c r="Q73" s="776">
        <f>SUMIFS('Monthly-CF'!$L74:$EA74,'Monthly-CF'!$L$9:$EA$9,'Annual-CF'!Q$9)</f>
        <v>0</v>
      </c>
      <c r="R73" s="776">
        <f>SUMIFS('Monthly-CF'!$L74:$EA74,'Monthly-CF'!$L$9:$EA$9,'Annual-CF'!R$9)</f>
        <v>0</v>
      </c>
      <c r="S73" s="776">
        <f>SUMIFS('Monthly-CF'!$L74:$EA74,'Monthly-CF'!$L$9:$EA$9,'Annual-CF'!S$9)</f>
        <v>0</v>
      </c>
      <c r="T73" s="776">
        <f>SUMIFS('Monthly-CF'!$L74:$EA74,'Monthly-CF'!$L$9:$EA$9,'Annual-CF'!T$9)</f>
        <v>0</v>
      </c>
      <c r="U73" s="776">
        <f>SUMIFS('Monthly-CF'!$L74:$EA74,'Monthly-CF'!$L$9:$EA$9,'Annual-CF'!U$9)</f>
        <v>0</v>
      </c>
      <c r="V73" s="389"/>
      <c r="W73" s="392" t="s">
        <v>65</v>
      </c>
    </row>
    <row r="74" spans="1:23" s="390" customFormat="1" ht="15" hidden="1" customHeight="1" outlineLevel="1">
      <c r="A74" s="389"/>
      <c r="B74" s="389"/>
      <c r="C74" s="389"/>
      <c r="D74" s="772" t="s">
        <v>196</v>
      </c>
      <c r="E74" s="781"/>
      <c r="F74" s="773"/>
      <c r="G74" s="773"/>
      <c r="H74" s="774"/>
      <c r="I74" s="802">
        <f t="shared" si="10"/>
        <v>-300000</v>
      </c>
      <c r="J74" s="389"/>
      <c r="K74" s="776"/>
      <c r="L74" s="776">
        <f>SUMIFS('Monthly-CF'!$L75:$EA75,'Monthly-CF'!$L$9:$EA$9,'Annual-CF'!L$9)</f>
        <v>0</v>
      </c>
      <c r="M74" s="776">
        <f>SUMIFS('Monthly-CF'!$L75:$EA75,'Monthly-CF'!$L$9:$EA$9,'Annual-CF'!M$9)</f>
        <v>-300000</v>
      </c>
      <c r="N74" s="776">
        <f>SUMIFS('Monthly-CF'!$L75:$EA75,'Monthly-CF'!$L$9:$EA$9,'Annual-CF'!N$9)</f>
        <v>0</v>
      </c>
      <c r="O74" s="776">
        <f>SUMIFS('Monthly-CF'!$L75:$EA75,'Monthly-CF'!$L$9:$EA$9,'Annual-CF'!O$9)</f>
        <v>0</v>
      </c>
      <c r="P74" s="776">
        <f>SUMIFS('Monthly-CF'!$L75:$EA75,'Monthly-CF'!$L$9:$EA$9,'Annual-CF'!P$9)</f>
        <v>0</v>
      </c>
      <c r="Q74" s="776">
        <f>SUMIFS('Monthly-CF'!$L75:$EA75,'Monthly-CF'!$L$9:$EA$9,'Annual-CF'!Q$9)</f>
        <v>0</v>
      </c>
      <c r="R74" s="776">
        <f>SUMIFS('Monthly-CF'!$L75:$EA75,'Monthly-CF'!$L$9:$EA$9,'Annual-CF'!R$9)</f>
        <v>0</v>
      </c>
      <c r="S74" s="776">
        <f>SUMIFS('Monthly-CF'!$L75:$EA75,'Monthly-CF'!$L$9:$EA$9,'Annual-CF'!S$9)</f>
        <v>0</v>
      </c>
      <c r="T74" s="776">
        <f>SUMIFS('Monthly-CF'!$L75:$EA75,'Monthly-CF'!$L$9:$EA$9,'Annual-CF'!T$9)</f>
        <v>0</v>
      </c>
      <c r="U74" s="776">
        <f>SUMIFS('Monthly-CF'!$L75:$EA75,'Monthly-CF'!$L$9:$EA$9,'Annual-CF'!U$9)</f>
        <v>0</v>
      </c>
      <c r="V74" s="389"/>
      <c r="W74" s="392" t="s">
        <v>65</v>
      </c>
    </row>
    <row r="75" spans="1:23" s="390" customFormat="1" ht="15" hidden="1" customHeight="1" outlineLevel="1">
      <c r="A75" s="389"/>
      <c r="B75" s="389"/>
      <c r="C75" s="389"/>
      <c r="D75" s="775" t="s">
        <v>479</v>
      </c>
      <c r="E75" s="782"/>
      <c r="F75" s="776"/>
      <c r="G75" s="776"/>
      <c r="H75" s="777"/>
      <c r="I75" s="803">
        <f t="shared" ca="1" si="10"/>
        <v>-54984255.295205042</v>
      </c>
      <c r="J75" s="389"/>
      <c r="K75" s="779"/>
      <c r="L75" s="779">
        <f t="shared" ref="L75:U75" ca="1" si="12">SUM(L68:L74)</f>
        <v>-33997084.82329201</v>
      </c>
      <c r="M75" s="779">
        <f t="shared" ca="1" si="12"/>
        <v>-20726718.736304164</v>
      </c>
      <c r="N75" s="779">
        <f t="shared" ca="1" si="12"/>
        <v>-260451.73560886589</v>
      </c>
      <c r="O75" s="779">
        <f t="shared" ca="1" si="12"/>
        <v>0</v>
      </c>
      <c r="P75" s="779">
        <f t="shared" ca="1" si="12"/>
        <v>0</v>
      </c>
      <c r="Q75" s="779">
        <f t="shared" ca="1" si="12"/>
        <v>0</v>
      </c>
      <c r="R75" s="779">
        <f t="shared" ca="1" si="12"/>
        <v>0</v>
      </c>
      <c r="S75" s="779">
        <f t="shared" ca="1" si="12"/>
        <v>0</v>
      </c>
      <c r="T75" s="779">
        <f t="shared" ca="1" si="12"/>
        <v>0</v>
      </c>
      <c r="U75" s="779">
        <f t="shared" ca="1" si="12"/>
        <v>0</v>
      </c>
      <c r="V75" s="389"/>
      <c r="W75" s="392" t="s">
        <v>65</v>
      </c>
    </row>
    <row r="76" spans="1:23" s="390" customFormat="1" ht="15" hidden="1" customHeight="1" outlineLevel="1">
      <c r="A76" s="389"/>
      <c r="B76" s="389"/>
      <c r="C76" s="389"/>
      <c r="D76" s="778"/>
      <c r="E76" s="783"/>
      <c r="F76" s="777"/>
      <c r="G76" s="777"/>
      <c r="H76" s="777"/>
      <c r="I76" s="801"/>
      <c r="J76" s="389"/>
      <c r="K76" s="777"/>
      <c r="L76" s="776"/>
      <c r="M76" s="776"/>
      <c r="N76" s="776"/>
      <c r="O76" s="776"/>
      <c r="P76" s="776"/>
      <c r="Q76" s="776"/>
      <c r="R76" s="776"/>
      <c r="S76" s="776"/>
      <c r="T76" s="776"/>
      <c r="U76" s="776"/>
      <c r="V76" s="389"/>
      <c r="W76" s="392" t="s">
        <v>65</v>
      </c>
    </row>
    <row r="77" spans="1:23" s="390" customFormat="1" ht="15" hidden="1" customHeight="1" outlineLevel="1">
      <c r="A77" s="389"/>
      <c r="B77" s="389"/>
      <c r="C77" s="389"/>
      <c r="D77" s="767" t="s">
        <v>492</v>
      </c>
      <c r="E77" s="784"/>
      <c r="F77" s="768"/>
      <c r="G77" s="768"/>
      <c r="H77" s="768"/>
      <c r="I77" s="801"/>
      <c r="J77" s="389"/>
      <c r="K77" s="777"/>
      <c r="L77" s="776"/>
      <c r="M77" s="776"/>
      <c r="N77" s="776"/>
      <c r="O77" s="776"/>
      <c r="P77" s="776"/>
      <c r="Q77" s="776"/>
      <c r="R77" s="776"/>
      <c r="S77" s="776"/>
      <c r="T77" s="776"/>
      <c r="U77" s="776"/>
      <c r="V77" s="389"/>
      <c r="W77" s="392" t="s">
        <v>65</v>
      </c>
    </row>
    <row r="78" spans="1:23" s="390" customFormat="1" ht="15" hidden="1" customHeight="1" outlineLevel="1">
      <c r="A78" s="389"/>
      <c r="B78" s="389"/>
      <c r="C78" s="389"/>
      <c r="D78" s="769" t="s">
        <v>43</v>
      </c>
      <c r="E78" s="780"/>
      <c r="F78" s="770"/>
      <c r="G78" s="770"/>
      <c r="H78" s="771"/>
      <c r="I78" s="801">
        <f t="shared" ref="I78:I85" si="13">SUM(K78:U78)</f>
        <v>0</v>
      </c>
      <c r="J78" s="389"/>
      <c r="K78" s="776"/>
      <c r="L78" s="776">
        <f>SUMIFS('Monthly-CF'!$L79:$EA79,'Monthly-CF'!$L$9:$EA$9,'Annual-CF'!L$9)</f>
        <v>0</v>
      </c>
      <c r="M78" s="776">
        <f>SUMIFS('Monthly-CF'!$L79:$EA79,'Monthly-CF'!$L$9:$EA$9,'Annual-CF'!M$9)</f>
        <v>0</v>
      </c>
      <c r="N78" s="776">
        <f>SUMIFS('Monthly-CF'!$L79:$EA79,'Monthly-CF'!$L$9:$EA$9,'Annual-CF'!N$9)</f>
        <v>0</v>
      </c>
      <c r="O78" s="776">
        <f>SUMIFS('Monthly-CF'!$L79:$EA79,'Monthly-CF'!$L$9:$EA$9,'Annual-CF'!O$9)</f>
        <v>0</v>
      </c>
      <c r="P78" s="776">
        <f>SUMIFS('Monthly-CF'!$L79:$EA79,'Monthly-CF'!$L$9:$EA$9,'Annual-CF'!P$9)</f>
        <v>0</v>
      </c>
      <c r="Q78" s="776">
        <f>SUMIFS('Monthly-CF'!$L79:$EA79,'Monthly-CF'!$L$9:$EA$9,'Annual-CF'!Q$9)</f>
        <v>0</v>
      </c>
      <c r="R78" s="776">
        <f>SUMIFS('Monthly-CF'!$L79:$EA79,'Monthly-CF'!$L$9:$EA$9,'Annual-CF'!R$9)</f>
        <v>0</v>
      </c>
      <c r="S78" s="776">
        <f>SUMIFS('Monthly-CF'!$L79:$EA79,'Monthly-CF'!$L$9:$EA$9,'Annual-CF'!S$9)</f>
        <v>0</v>
      </c>
      <c r="T78" s="776">
        <f>SUMIFS('Monthly-CF'!$L79:$EA79,'Monthly-CF'!$L$9:$EA$9,'Annual-CF'!T$9)</f>
        <v>0</v>
      </c>
      <c r="U78" s="776">
        <f>SUMIFS('Monthly-CF'!$L79:$EA79,'Monthly-CF'!$L$9:$EA$9,'Annual-CF'!U$9)</f>
        <v>0</v>
      </c>
      <c r="V78" s="389"/>
      <c r="W78" s="392" t="s">
        <v>65</v>
      </c>
    </row>
    <row r="79" spans="1:23" s="390" customFormat="1" ht="15" hidden="1" customHeight="1" outlineLevel="1">
      <c r="A79" s="389"/>
      <c r="B79" s="389"/>
      <c r="C79" s="389"/>
      <c r="D79" s="769" t="s">
        <v>21</v>
      </c>
      <c r="E79" s="780"/>
      <c r="F79" s="770"/>
      <c r="G79" s="770"/>
      <c r="H79" s="771"/>
      <c r="I79" s="802">
        <f t="shared" si="13"/>
        <v>0</v>
      </c>
      <c r="J79" s="389"/>
      <c r="K79" s="776"/>
      <c r="L79" s="776">
        <f>SUMIFS('Monthly-CF'!$L80:$EA80,'Monthly-CF'!$L$9:$EA$9,'Annual-CF'!L$9)</f>
        <v>0</v>
      </c>
      <c r="M79" s="776">
        <f>SUMIFS('Monthly-CF'!$L80:$EA80,'Monthly-CF'!$L$9:$EA$9,'Annual-CF'!M$9)</f>
        <v>0</v>
      </c>
      <c r="N79" s="776">
        <f>SUMIFS('Monthly-CF'!$L80:$EA80,'Monthly-CF'!$L$9:$EA$9,'Annual-CF'!N$9)</f>
        <v>0</v>
      </c>
      <c r="O79" s="776">
        <f>SUMIFS('Monthly-CF'!$L80:$EA80,'Monthly-CF'!$L$9:$EA$9,'Annual-CF'!O$9)</f>
        <v>0</v>
      </c>
      <c r="P79" s="776">
        <f>SUMIFS('Monthly-CF'!$L80:$EA80,'Monthly-CF'!$L$9:$EA$9,'Annual-CF'!P$9)</f>
        <v>0</v>
      </c>
      <c r="Q79" s="776">
        <f>SUMIFS('Monthly-CF'!$L80:$EA80,'Monthly-CF'!$L$9:$EA$9,'Annual-CF'!Q$9)</f>
        <v>0</v>
      </c>
      <c r="R79" s="776">
        <f>SUMIFS('Monthly-CF'!$L80:$EA80,'Monthly-CF'!$L$9:$EA$9,'Annual-CF'!R$9)</f>
        <v>0</v>
      </c>
      <c r="S79" s="776">
        <f>SUMIFS('Monthly-CF'!$L80:$EA80,'Monthly-CF'!$L$9:$EA$9,'Annual-CF'!S$9)</f>
        <v>0</v>
      </c>
      <c r="T79" s="776">
        <f>SUMIFS('Monthly-CF'!$L80:$EA80,'Monthly-CF'!$L$9:$EA$9,'Annual-CF'!T$9)</f>
        <v>0</v>
      </c>
      <c r="U79" s="776">
        <f>SUMIFS('Monthly-CF'!$L80:$EA80,'Monthly-CF'!$L$9:$EA$9,'Annual-CF'!U$9)</f>
        <v>0</v>
      </c>
      <c r="V79" s="389"/>
      <c r="W79" s="392" t="s">
        <v>65</v>
      </c>
    </row>
    <row r="80" spans="1:23" s="390" customFormat="1" ht="15" hidden="1" customHeight="1" outlineLevel="1">
      <c r="A80" s="389"/>
      <c r="B80" s="389"/>
      <c r="C80" s="389"/>
      <c r="D80" s="769" t="s">
        <v>511</v>
      </c>
      <c r="E80" s="780"/>
      <c r="F80" s="770"/>
      <c r="G80" s="770"/>
      <c r="H80" s="771"/>
      <c r="I80" s="802">
        <f t="shared" si="13"/>
        <v>0</v>
      </c>
      <c r="J80" s="389"/>
      <c r="K80" s="776"/>
      <c r="L80" s="776">
        <f>SUMIFS('Monthly-CF'!$L81:$EA81,'Monthly-CF'!$L$9:$EA$9,'Annual-CF'!L$9)</f>
        <v>0</v>
      </c>
      <c r="M80" s="776">
        <f>SUMIFS('Monthly-CF'!$L81:$EA81,'Monthly-CF'!$L$9:$EA$9,'Annual-CF'!M$9)</f>
        <v>0</v>
      </c>
      <c r="N80" s="776">
        <f>SUMIFS('Monthly-CF'!$L81:$EA81,'Monthly-CF'!$L$9:$EA$9,'Annual-CF'!N$9)</f>
        <v>0</v>
      </c>
      <c r="O80" s="776">
        <f>SUMIFS('Monthly-CF'!$L81:$EA81,'Monthly-CF'!$L$9:$EA$9,'Annual-CF'!O$9)</f>
        <v>0</v>
      </c>
      <c r="P80" s="776">
        <f>SUMIFS('Monthly-CF'!$L81:$EA81,'Monthly-CF'!$L$9:$EA$9,'Annual-CF'!P$9)</f>
        <v>0</v>
      </c>
      <c r="Q80" s="776">
        <f>SUMIFS('Monthly-CF'!$L81:$EA81,'Monthly-CF'!$L$9:$EA$9,'Annual-CF'!Q$9)</f>
        <v>0</v>
      </c>
      <c r="R80" s="776">
        <f>SUMIFS('Monthly-CF'!$L81:$EA81,'Monthly-CF'!$L$9:$EA$9,'Annual-CF'!R$9)</f>
        <v>0</v>
      </c>
      <c r="S80" s="776">
        <f>SUMIFS('Monthly-CF'!$L81:$EA81,'Monthly-CF'!$L$9:$EA$9,'Annual-CF'!S$9)</f>
        <v>0</v>
      </c>
      <c r="T80" s="776">
        <f>SUMIFS('Monthly-CF'!$L81:$EA81,'Monthly-CF'!$L$9:$EA$9,'Annual-CF'!T$9)</f>
        <v>0</v>
      </c>
      <c r="U80" s="776">
        <f>SUMIFS('Monthly-CF'!$L81:$EA81,'Monthly-CF'!$L$9:$EA$9,'Annual-CF'!U$9)</f>
        <v>0</v>
      </c>
      <c r="V80" s="389"/>
      <c r="W80" s="392" t="s">
        <v>65</v>
      </c>
    </row>
    <row r="81" spans="1:23" s="390" customFormat="1" ht="15" hidden="1" customHeight="1" outlineLevel="1">
      <c r="A81" s="389"/>
      <c r="B81" s="389"/>
      <c r="C81" s="389"/>
      <c r="D81" s="769" t="s">
        <v>515</v>
      </c>
      <c r="E81" s="780"/>
      <c r="F81" s="770"/>
      <c r="G81" s="770"/>
      <c r="H81" s="771"/>
      <c r="I81" s="802">
        <f t="shared" ref="I81" si="14">SUM(K81:U81)</f>
        <v>0</v>
      </c>
      <c r="J81" s="389"/>
      <c r="K81" s="776"/>
      <c r="L81" s="776">
        <f>SUMIFS('Monthly-CF'!$L82:$EA82,'Monthly-CF'!$L$9:$EA$9,'Annual-CF'!L$9)</f>
        <v>0</v>
      </c>
      <c r="M81" s="776">
        <f>SUMIFS('Monthly-CF'!$L82:$EA82,'Monthly-CF'!$L$9:$EA$9,'Annual-CF'!M$9)</f>
        <v>0</v>
      </c>
      <c r="N81" s="776">
        <f>SUMIFS('Monthly-CF'!$L82:$EA82,'Monthly-CF'!$L$9:$EA$9,'Annual-CF'!N$9)</f>
        <v>0</v>
      </c>
      <c r="O81" s="776">
        <f>SUMIFS('Monthly-CF'!$L82:$EA82,'Monthly-CF'!$L$9:$EA$9,'Annual-CF'!O$9)</f>
        <v>0</v>
      </c>
      <c r="P81" s="776">
        <f>SUMIFS('Monthly-CF'!$L82:$EA82,'Monthly-CF'!$L$9:$EA$9,'Annual-CF'!P$9)</f>
        <v>0</v>
      </c>
      <c r="Q81" s="776">
        <f>SUMIFS('Monthly-CF'!$L82:$EA82,'Monthly-CF'!$L$9:$EA$9,'Annual-CF'!Q$9)</f>
        <v>0</v>
      </c>
      <c r="R81" s="776">
        <f>SUMIFS('Monthly-CF'!$L82:$EA82,'Monthly-CF'!$L$9:$EA$9,'Annual-CF'!R$9)</f>
        <v>0</v>
      </c>
      <c r="S81" s="776">
        <f>SUMIFS('Monthly-CF'!$L82:$EA82,'Monthly-CF'!$L$9:$EA$9,'Annual-CF'!S$9)</f>
        <v>0</v>
      </c>
      <c r="T81" s="776">
        <f>SUMIFS('Monthly-CF'!$L82:$EA82,'Monthly-CF'!$L$9:$EA$9,'Annual-CF'!T$9)</f>
        <v>0</v>
      </c>
      <c r="U81" s="776">
        <f>SUMIFS('Monthly-CF'!$L82:$EA82,'Monthly-CF'!$L$9:$EA$9,'Annual-CF'!U$9)</f>
        <v>0</v>
      </c>
      <c r="V81" s="389"/>
      <c r="W81" s="392" t="s">
        <v>65</v>
      </c>
    </row>
    <row r="82" spans="1:23" s="390" customFormat="1" hidden="1" outlineLevel="1">
      <c r="A82" s="389"/>
      <c r="B82" s="389"/>
      <c r="C82" s="389"/>
      <c r="D82" s="769" t="s">
        <v>485</v>
      </c>
      <c r="E82" s="777"/>
      <c r="F82" s="786"/>
      <c r="G82" s="777"/>
      <c r="H82" s="777"/>
      <c r="I82" s="802">
        <f t="shared" ca="1" si="13"/>
        <v>0</v>
      </c>
      <c r="J82" s="389"/>
      <c r="K82" s="787"/>
      <c r="L82" s="776">
        <f ca="1">SUMIFS('Monthly-CF'!$L83:$EA83,'Monthly-CF'!$L$9:$EA$9,'Annual-CF'!L$9)</f>
        <v>0</v>
      </c>
      <c r="M82" s="776">
        <f>SUMIFS('Monthly-CF'!$L83:$EA83,'Monthly-CF'!$L$9:$EA$9,'Annual-CF'!M$9)</f>
        <v>0</v>
      </c>
      <c r="N82" s="776">
        <f>SUMIFS('Monthly-CF'!$L83:$EA83,'Monthly-CF'!$L$9:$EA$9,'Annual-CF'!N$9)</f>
        <v>0</v>
      </c>
      <c r="O82" s="776">
        <f>SUMIFS('Monthly-CF'!$L83:$EA83,'Monthly-CF'!$L$9:$EA$9,'Annual-CF'!O$9)</f>
        <v>0</v>
      </c>
      <c r="P82" s="776">
        <f>SUMIFS('Monthly-CF'!$L83:$EA83,'Monthly-CF'!$L$9:$EA$9,'Annual-CF'!P$9)</f>
        <v>0</v>
      </c>
      <c r="Q82" s="776">
        <f>SUMIFS('Monthly-CF'!$L83:$EA83,'Monthly-CF'!$L$9:$EA$9,'Annual-CF'!Q$9)</f>
        <v>0</v>
      </c>
      <c r="R82" s="776">
        <f>SUMIFS('Monthly-CF'!$L83:$EA83,'Monthly-CF'!$L$9:$EA$9,'Annual-CF'!R$9)</f>
        <v>0</v>
      </c>
      <c r="S82" s="776">
        <f>SUMIFS('Monthly-CF'!$L83:$EA83,'Monthly-CF'!$L$9:$EA$9,'Annual-CF'!S$9)</f>
        <v>0</v>
      </c>
      <c r="T82" s="776">
        <f>SUMIFS('Monthly-CF'!$L83:$EA83,'Monthly-CF'!$L$9:$EA$9,'Annual-CF'!T$9)</f>
        <v>0</v>
      </c>
      <c r="U82" s="776">
        <f>SUMIFS('Monthly-CF'!$L83:$EA83,'Monthly-CF'!$L$9:$EA$9,'Annual-CF'!U$9)</f>
        <v>0</v>
      </c>
      <c r="V82" s="389"/>
      <c r="W82" s="392" t="s">
        <v>65</v>
      </c>
    </row>
    <row r="83" spans="1:23" s="390" customFormat="1" hidden="1" outlineLevel="1">
      <c r="A83" s="389"/>
      <c r="B83" s="389"/>
      <c r="C83" s="389"/>
      <c r="D83" s="769" t="s">
        <v>80</v>
      </c>
      <c r="E83" s="777"/>
      <c r="F83" s="786"/>
      <c r="G83" s="777"/>
      <c r="H83" s="777"/>
      <c r="I83" s="802">
        <f t="shared" si="13"/>
        <v>0</v>
      </c>
      <c r="J83" s="389"/>
      <c r="K83" s="776"/>
      <c r="L83" s="776">
        <f>SUMIFS('Monthly-CF'!$L84:$EA84,'Monthly-CF'!$L$9:$EA$9,'Annual-CF'!L$9)</f>
        <v>0</v>
      </c>
      <c r="M83" s="776">
        <f>SUMIFS('Monthly-CF'!$L84:$EA84,'Monthly-CF'!$L$9:$EA$9,'Annual-CF'!M$9)</f>
        <v>0</v>
      </c>
      <c r="N83" s="776">
        <f>SUMIFS('Monthly-CF'!$L84:$EA84,'Monthly-CF'!$L$9:$EA$9,'Annual-CF'!N$9)</f>
        <v>0</v>
      </c>
      <c r="O83" s="776">
        <f>SUMIFS('Monthly-CF'!$L84:$EA84,'Monthly-CF'!$L$9:$EA$9,'Annual-CF'!O$9)</f>
        <v>0</v>
      </c>
      <c r="P83" s="776">
        <f>SUMIFS('Monthly-CF'!$L84:$EA84,'Monthly-CF'!$L$9:$EA$9,'Annual-CF'!P$9)</f>
        <v>0</v>
      </c>
      <c r="Q83" s="776">
        <f>SUMIFS('Monthly-CF'!$L84:$EA84,'Monthly-CF'!$L$9:$EA$9,'Annual-CF'!Q$9)</f>
        <v>0</v>
      </c>
      <c r="R83" s="776">
        <f>SUMIFS('Monthly-CF'!$L84:$EA84,'Monthly-CF'!$L$9:$EA$9,'Annual-CF'!R$9)</f>
        <v>0</v>
      </c>
      <c r="S83" s="776">
        <f>SUMIFS('Monthly-CF'!$L84:$EA84,'Monthly-CF'!$L$9:$EA$9,'Annual-CF'!S$9)</f>
        <v>0</v>
      </c>
      <c r="T83" s="776">
        <f>SUMIFS('Monthly-CF'!$L84:$EA84,'Monthly-CF'!$L$9:$EA$9,'Annual-CF'!T$9)</f>
        <v>0</v>
      </c>
      <c r="U83" s="776">
        <f>SUMIFS('Monthly-CF'!$L84:$EA84,'Monthly-CF'!$L$9:$EA$9,'Annual-CF'!U$9)</f>
        <v>0</v>
      </c>
      <c r="V83" s="389"/>
      <c r="W83" s="392" t="s">
        <v>65</v>
      </c>
    </row>
    <row r="84" spans="1:23" s="390" customFormat="1" ht="15" hidden="1" customHeight="1" outlineLevel="1">
      <c r="A84" s="389"/>
      <c r="B84" s="389"/>
      <c r="C84" s="389"/>
      <c r="D84" s="772" t="s">
        <v>196</v>
      </c>
      <c r="E84" s="773"/>
      <c r="F84" s="773"/>
      <c r="G84" s="773"/>
      <c r="H84" s="774"/>
      <c r="I84" s="802">
        <f t="shared" si="13"/>
        <v>0</v>
      </c>
      <c r="J84" s="389"/>
      <c r="K84" s="776"/>
      <c r="L84" s="776">
        <f>SUMIFS('Monthly-CF'!$L85:$EA85,'Monthly-CF'!$L$9:$EA$9,'Annual-CF'!L$9)</f>
        <v>0</v>
      </c>
      <c r="M84" s="776">
        <f>SUMIFS('Monthly-CF'!$L85:$EA85,'Monthly-CF'!$L$9:$EA$9,'Annual-CF'!M$9)</f>
        <v>0</v>
      </c>
      <c r="N84" s="776">
        <f>SUMIFS('Monthly-CF'!$L85:$EA85,'Monthly-CF'!$L$9:$EA$9,'Annual-CF'!N$9)</f>
        <v>0</v>
      </c>
      <c r="O84" s="776">
        <f>SUMIFS('Monthly-CF'!$L85:$EA85,'Monthly-CF'!$L$9:$EA$9,'Annual-CF'!O$9)</f>
        <v>0</v>
      </c>
      <c r="P84" s="776">
        <f>SUMIFS('Monthly-CF'!$L85:$EA85,'Monthly-CF'!$L$9:$EA$9,'Annual-CF'!P$9)</f>
        <v>0</v>
      </c>
      <c r="Q84" s="776">
        <f>SUMIFS('Monthly-CF'!$L85:$EA85,'Monthly-CF'!$L$9:$EA$9,'Annual-CF'!Q$9)</f>
        <v>0</v>
      </c>
      <c r="R84" s="776">
        <f>SUMIFS('Monthly-CF'!$L85:$EA85,'Monthly-CF'!$L$9:$EA$9,'Annual-CF'!R$9)</f>
        <v>0</v>
      </c>
      <c r="S84" s="776">
        <f>SUMIFS('Monthly-CF'!$L85:$EA85,'Monthly-CF'!$L$9:$EA$9,'Annual-CF'!S$9)</f>
        <v>0</v>
      </c>
      <c r="T84" s="776">
        <f>SUMIFS('Monthly-CF'!$L85:$EA85,'Monthly-CF'!$L$9:$EA$9,'Annual-CF'!T$9)</f>
        <v>0</v>
      </c>
      <c r="U84" s="776">
        <f>SUMIFS('Monthly-CF'!$L85:$EA85,'Monthly-CF'!$L$9:$EA$9,'Annual-CF'!U$9)</f>
        <v>0</v>
      </c>
      <c r="V84" s="389"/>
      <c r="W84" s="392" t="s">
        <v>65</v>
      </c>
    </row>
    <row r="85" spans="1:23" s="390" customFormat="1" ht="15" hidden="1" customHeight="1" outlineLevel="1">
      <c r="A85" s="389"/>
      <c r="B85" s="389"/>
      <c r="C85" s="389"/>
      <c r="D85" s="775" t="s">
        <v>480</v>
      </c>
      <c r="E85" s="776"/>
      <c r="F85" s="776"/>
      <c r="G85" s="776"/>
      <c r="H85" s="777"/>
      <c r="I85" s="803">
        <f t="shared" ca="1" si="13"/>
        <v>0</v>
      </c>
      <c r="J85" s="389"/>
      <c r="K85" s="779"/>
      <c r="L85" s="779">
        <f t="shared" ref="L85:U85" ca="1" si="15">SUM(L78:L84)</f>
        <v>0</v>
      </c>
      <c r="M85" s="779">
        <f t="shared" si="15"/>
        <v>0</v>
      </c>
      <c r="N85" s="779">
        <f t="shared" si="15"/>
        <v>0</v>
      </c>
      <c r="O85" s="779">
        <f t="shared" si="15"/>
        <v>0</v>
      </c>
      <c r="P85" s="779">
        <f t="shared" si="15"/>
        <v>0</v>
      </c>
      <c r="Q85" s="779">
        <f t="shared" si="15"/>
        <v>0</v>
      </c>
      <c r="R85" s="779">
        <f t="shared" si="15"/>
        <v>0</v>
      </c>
      <c r="S85" s="779">
        <f t="shared" si="15"/>
        <v>0</v>
      </c>
      <c r="T85" s="779">
        <f t="shared" si="15"/>
        <v>0</v>
      </c>
      <c r="U85" s="779">
        <f t="shared" si="15"/>
        <v>0</v>
      </c>
      <c r="V85" s="389"/>
      <c r="W85" s="392" t="s">
        <v>65</v>
      </c>
    </row>
    <row r="86" spans="1:23" s="390" customFormat="1" ht="15" hidden="1" customHeight="1" outlineLevel="1">
      <c r="A86" s="389"/>
      <c r="B86" s="389"/>
      <c r="C86" s="389"/>
      <c r="D86" s="412"/>
      <c r="E86" s="389"/>
      <c r="F86" s="389"/>
      <c r="G86" s="389"/>
      <c r="H86" s="389"/>
      <c r="I86" s="796"/>
      <c r="J86" s="389"/>
      <c r="K86" s="389"/>
      <c r="L86" s="703"/>
      <c r="M86" s="703"/>
      <c r="N86" s="703"/>
      <c r="O86" s="703"/>
      <c r="P86" s="703"/>
      <c r="Q86" s="703"/>
      <c r="R86" s="703"/>
      <c r="S86" s="703"/>
      <c r="T86" s="703"/>
      <c r="U86" s="703"/>
      <c r="V86" s="389"/>
      <c r="W86" s="392" t="s">
        <v>65</v>
      </c>
    </row>
    <row r="87" spans="1:23" s="390" customFormat="1" ht="15" customHeight="1" collapsed="1">
      <c r="A87" s="389"/>
      <c r="B87" s="389"/>
      <c r="C87" s="389"/>
      <c r="D87" s="433" t="s">
        <v>493</v>
      </c>
      <c r="E87" s="711"/>
      <c r="F87" s="711"/>
      <c r="G87" s="711"/>
      <c r="H87" s="389"/>
      <c r="I87" s="796"/>
      <c r="J87" s="389"/>
      <c r="K87" s="389"/>
      <c r="L87" s="705"/>
      <c r="M87" s="705"/>
      <c r="N87" s="705"/>
      <c r="O87" s="705"/>
      <c r="P87" s="705"/>
      <c r="Q87" s="705"/>
      <c r="R87" s="705"/>
      <c r="S87" s="705"/>
      <c r="T87" s="705"/>
      <c r="U87" s="705"/>
      <c r="V87" s="389"/>
      <c r="W87" s="392" t="s">
        <v>65</v>
      </c>
    </row>
    <row r="88" spans="1:23" s="390" customFormat="1" ht="15" customHeight="1">
      <c r="A88" s="389"/>
      <c r="B88" s="389"/>
      <c r="C88" s="389"/>
      <c r="D88" s="403" t="s">
        <v>43</v>
      </c>
      <c r="E88" s="714"/>
      <c r="F88" s="714"/>
      <c r="G88" s="714"/>
      <c r="H88" s="389"/>
      <c r="I88" s="796">
        <f t="shared" ref="I88:I97" si="16">SUM(K88:U88)</f>
        <v>-5200000</v>
      </c>
      <c r="J88" s="389"/>
      <c r="K88" s="705"/>
      <c r="L88" s="705">
        <f t="shared" ref="L88:U88" si="17">L68+L78</f>
        <v>-5200000</v>
      </c>
      <c r="M88" s="705">
        <f t="shared" si="17"/>
        <v>0</v>
      </c>
      <c r="N88" s="705">
        <f t="shared" si="17"/>
        <v>0</v>
      </c>
      <c r="O88" s="705">
        <f t="shared" si="17"/>
        <v>0</v>
      </c>
      <c r="P88" s="705">
        <f t="shared" si="17"/>
        <v>0</v>
      </c>
      <c r="Q88" s="705">
        <f t="shared" si="17"/>
        <v>0</v>
      </c>
      <c r="R88" s="705">
        <f t="shared" si="17"/>
        <v>0</v>
      </c>
      <c r="S88" s="705">
        <f t="shared" si="17"/>
        <v>0</v>
      </c>
      <c r="T88" s="705">
        <f t="shared" si="17"/>
        <v>0</v>
      </c>
      <c r="U88" s="705">
        <f t="shared" si="17"/>
        <v>0</v>
      </c>
      <c r="V88" s="389"/>
      <c r="W88" s="392" t="s">
        <v>65</v>
      </c>
    </row>
    <row r="89" spans="1:23" s="390" customFormat="1" ht="15" customHeight="1">
      <c r="A89" s="389"/>
      <c r="B89" s="389"/>
      <c r="C89" s="389"/>
      <c r="D89" s="403" t="s">
        <v>21</v>
      </c>
      <c r="E89" s="714"/>
      <c r="F89" s="714"/>
      <c r="G89" s="714"/>
      <c r="H89" s="389"/>
      <c r="I89" s="795">
        <f t="shared" ca="1" si="16"/>
        <v>-38440297.899999999</v>
      </c>
      <c r="J89" s="389"/>
      <c r="K89" s="705"/>
      <c r="L89" s="705">
        <f t="shared" ref="L89:U89" ca="1" si="18">L69+L79</f>
        <v>-22611939.94117647</v>
      </c>
      <c r="M89" s="705">
        <f t="shared" ca="1" si="18"/>
        <v>-15828357.95882353</v>
      </c>
      <c r="N89" s="705">
        <f t="shared" si="18"/>
        <v>0</v>
      </c>
      <c r="O89" s="705">
        <f t="shared" si="18"/>
        <v>0</v>
      </c>
      <c r="P89" s="705">
        <f t="shared" si="18"/>
        <v>0</v>
      </c>
      <c r="Q89" s="705">
        <f t="shared" si="18"/>
        <v>0</v>
      </c>
      <c r="R89" s="705">
        <f t="shared" si="18"/>
        <v>0</v>
      </c>
      <c r="S89" s="705">
        <f t="shared" si="18"/>
        <v>0</v>
      </c>
      <c r="T89" s="705">
        <f t="shared" si="18"/>
        <v>0</v>
      </c>
      <c r="U89" s="705">
        <f t="shared" si="18"/>
        <v>0</v>
      </c>
      <c r="V89" s="389"/>
      <c r="W89" s="392" t="s">
        <v>65</v>
      </c>
    </row>
    <row r="90" spans="1:23" s="390" customFormat="1" ht="15" customHeight="1">
      <c r="A90" s="389"/>
      <c r="B90" s="389"/>
      <c r="C90" s="389"/>
      <c r="D90" s="403" t="s">
        <v>20</v>
      </c>
      <c r="E90" s="714"/>
      <c r="F90" s="714"/>
      <c r="G90" s="714"/>
      <c r="H90" s="389"/>
      <c r="I90" s="795">
        <f t="shared" ca="1" si="16"/>
        <v>-6649601.1215803158</v>
      </c>
      <c r="J90" s="389"/>
      <c r="K90" s="705"/>
      <c r="L90" s="705">
        <f t="shared" ref="L90:U91" ca="1" si="19">L70+L80</f>
        <v>-4302683.078669616</v>
      </c>
      <c r="M90" s="705">
        <f t="shared" ca="1" si="19"/>
        <v>-2346918.0429106993</v>
      </c>
      <c r="N90" s="705">
        <f t="shared" si="19"/>
        <v>0</v>
      </c>
      <c r="O90" s="705">
        <f t="shared" si="19"/>
        <v>0</v>
      </c>
      <c r="P90" s="705">
        <f t="shared" si="19"/>
        <v>0</v>
      </c>
      <c r="Q90" s="705">
        <f t="shared" si="19"/>
        <v>0</v>
      </c>
      <c r="R90" s="705">
        <f t="shared" si="19"/>
        <v>0</v>
      </c>
      <c r="S90" s="705">
        <f t="shared" si="19"/>
        <v>0</v>
      </c>
      <c r="T90" s="705">
        <f t="shared" si="19"/>
        <v>0</v>
      </c>
      <c r="U90" s="705">
        <f t="shared" si="19"/>
        <v>0</v>
      </c>
      <c r="V90" s="389"/>
      <c r="W90" s="392" t="s">
        <v>65</v>
      </c>
    </row>
    <row r="91" spans="1:23" s="390" customFormat="1" ht="15" customHeight="1">
      <c r="A91" s="389"/>
      <c r="B91" s="389"/>
      <c r="C91" s="389"/>
      <c r="D91" s="403" t="s">
        <v>515</v>
      </c>
      <c r="E91" s="714"/>
      <c r="F91" s="714"/>
      <c r="G91" s="714"/>
      <c r="H91" s="389"/>
      <c r="I91" s="795">
        <f t="shared" ref="I91" ca="1" si="20">SUM(K91:U91)</f>
        <v>-1672635.6365120769</v>
      </c>
      <c r="J91" s="389"/>
      <c r="K91" s="705"/>
      <c r="L91" s="705">
        <f t="shared" ca="1" si="19"/>
        <v>-983903.3155953394</v>
      </c>
      <c r="M91" s="705">
        <f t="shared" ca="1" si="19"/>
        <v>-688732.32091673755</v>
      </c>
      <c r="N91" s="705">
        <f t="shared" si="19"/>
        <v>0</v>
      </c>
      <c r="O91" s="705">
        <f t="shared" si="19"/>
        <v>0</v>
      </c>
      <c r="P91" s="705">
        <f t="shared" si="19"/>
        <v>0</v>
      </c>
      <c r="Q91" s="705">
        <f t="shared" si="19"/>
        <v>0</v>
      </c>
      <c r="R91" s="705">
        <f t="shared" si="19"/>
        <v>0</v>
      </c>
      <c r="S91" s="705">
        <f t="shared" si="19"/>
        <v>0</v>
      </c>
      <c r="T91" s="705">
        <f t="shared" si="19"/>
        <v>0</v>
      </c>
      <c r="U91" s="705">
        <f t="shared" si="19"/>
        <v>0</v>
      </c>
      <c r="V91" s="389"/>
      <c r="W91" s="392" t="s">
        <v>65</v>
      </c>
    </row>
    <row r="92" spans="1:23" s="390" customFormat="1" ht="15" customHeight="1">
      <c r="A92" s="389"/>
      <c r="B92" s="389"/>
      <c r="C92" s="389"/>
      <c r="D92" s="403" t="s">
        <v>485</v>
      </c>
      <c r="E92" s="714"/>
      <c r="F92" s="714"/>
      <c r="G92" s="714"/>
      <c r="H92" s="389"/>
      <c r="I92" s="795">
        <f t="shared" ca="1" si="16"/>
        <v>-247429.14882842259</v>
      </c>
      <c r="J92" s="389"/>
      <c r="K92" s="705"/>
      <c r="L92" s="705">
        <f t="shared" ref="L92:U92" ca="1" si="21">L72+L82</f>
        <v>-247429.14882842259</v>
      </c>
      <c r="M92" s="705">
        <f t="shared" ca="1" si="21"/>
        <v>0</v>
      </c>
      <c r="N92" s="705">
        <f t="shared" ca="1" si="21"/>
        <v>0</v>
      </c>
      <c r="O92" s="705">
        <f t="shared" ca="1" si="21"/>
        <v>0</v>
      </c>
      <c r="P92" s="705">
        <f t="shared" ca="1" si="21"/>
        <v>0</v>
      </c>
      <c r="Q92" s="705">
        <f t="shared" ca="1" si="21"/>
        <v>0</v>
      </c>
      <c r="R92" s="705">
        <f t="shared" ca="1" si="21"/>
        <v>0</v>
      </c>
      <c r="S92" s="705">
        <f t="shared" ca="1" si="21"/>
        <v>0</v>
      </c>
      <c r="T92" s="705">
        <f t="shared" ca="1" si="21"/>
        <v>0</v>
      </c>
      <c r="U92" s="705">
        <f t="shared" ca="1" si="21"/>
        <v>0</v>
      </c>
      <c r="V92" s="389"/>
      <c r="W92" s="392" t="s">
        <v>65</v>
      </c>
    </row>
    <row r="93" spans="1:23" s="390" customFormat="1" ht="15" customHeight="1">
      <c r="A93" s="389"/>
      <c r="B93" s="389"/>
      <c r="C93" s="389"/>
      <c r="D93" s="403" t="s">
        <v>80</v>
      </c>
      <c r="E93" s="714"/>
      <c r="F93" s="714"/>
      <c r="G93" s="714"/>
      <c r="H93" s="389"/>
      <c r="I93" s="795">
        <f t="shared" ca="1" si="16"/>
        <v>-2474291.488284226</v>
      </c>
      <c r="J93" s="389"/>
      <c r="K93" s="705"/>
      <c r="L93" s="705">
        <f t="shared" ref="L93:U93" ca="1" si="22">L73+L83</f>
        <v>-651129.3390221647</v>
      </c>
      <c r="M93" s="705">
        <f t="shared" ca="1" si="22"/>
        <v>-1562710.4136531956</v>
      </c>
      <c r="N93" s="705">
        <f t="shared" ca="1" si="22"/>
        <v>-260451.73560886589</v>
      </c>
      <c r="O93" s="705">
        <f t="shared" si="22"/>
        <v>0</v>
      </c>
      <c r="P93" s="705">
        <f t="shared" si="22"/>
        <v>0</v>
      </c>
      <c r="Q93" s="705">
        <f t="shared" si="22"/>
        <v>0</v>
      </c>
      <c r="R93" s="705">
        <f t="shared" si="22"/>
        <v>0</v>
      </c>
      <c r="S93" s="705">
        <f t="shared" si="22"/>
        <v>0</v>
      </c>
      <c r="T93" s="705">
        <f t="shared" si="22"/>
        <v>0</v>
      </c>
      <c r="U93" s="705">
        <f t="shared" si="22"/>
        <v>0</v>
      </c>
      <c r="V93" s="389"/>
      <c r="W93" s="392" t="s">
        <v>65</v>
      </c>
    </row>
    <row r="94" spans="1:23" s="390" customFormat="1" ht="15" customHeight="1">
      <c r="A94" s="389"/>
      <c r="B94" s="389"/>
      <c r="C94" s="389"/>
      <c r="D94" s="709" t="s">
        <v>196</v>
      </c>
      <c r="E94" s="715"/>
      <c r="F94" s="715"/>
      <c r="G94" s="715"/>
      <c r="H94" s="457"/>
      <c r="I94" s="795">
        <f t="shared" si="16"/>
        <v>-300000</v>
      </c>
      <c r="J94" s="389"/>
      <c r="K94" s="705"/>
      <c r="L94" s="705">
        <f t="shared" ref="L94:U94" si="23">L74+L84</f>
        <v>0</v>
      </c>
      <c r="M94" s="705">
        <f t="shared" si="23"/>
        <v>-300000</v>
      </c>
      <c r="N94" s="705">
        <f t="shared" si="23"/>
        <v>0</v>
      </c>
      <c r="O94" s="705">
        <f t="shared" si="23"/>
        <v>0</v>
      </c>
      <c r="P94" s="705">
        <f t="shared" si="23"/>
        <v>0</v>
      </c>
      <c r="Q94" s="705">
        <f t="shared" si="23"/>
        <v>0</v>
      </c>
      <c r="R94" s="705">
        <f t="shared" si="23"/>
        <v>0</v>
      </c>
      <c r="S94" s="705">
        <f t="shared" si="23"/>
        <v>0</v>
      </c>
      <c r="T94" s="705">
        <f t="shared" si="23"/>
        <v>0</v>
      </c>
      <c r="U94" s="705">
        <f t="shared" si="23"/>
        <v>0</v>
      </c>
      <c r="V94" s="389"/>
      <c r="W94" s="392" t="s">
        <v>65</v>
      </c>
    </row>
    <row r="95" spans="1:23" s="390" customFormat="1" ht="15" customHeight="1">
      <c r="A95" s="389"/>
      <c r="B95" s="389"/>
      <c r="C95" s="389"/>
      <c r="D95" s="706" t="s">
        <v>507</v>
      </c>
      <c r="E95" s="703"/>
      <c r="F95" s="703"/>
      <c r="G95" s="703"/>
      <c r="H95" s="389"/>
      <c r="I95" s="804">
        <f t="shared" ca="1" si="16"/>
        <v>-54984255.295205042</v>
      </c>
      <c r="J95" s="389"/>
      <c r="K95" s="421"/>
      <c r="L95" s="421">
        <f ca="1">SUM(L88:L94)</f>
        <v>-33997084.82329201</v>
      </c>
      <c r="M95" s="421">
        <f t="shared" ref="M95:U95" ca="1" si="24">SUM(M88:M94)</f>
        <v>-20726718.736304164</v>
      </c>
      <c r="N95" s="421">
        <f t="shared" ca="1" si="24"/>
        <v>-260451.73560886589</v>
      </c>
      <c r="O95" s="421">
        <f t="shared" ca="1" si="24"/>
        <v>0</v>
      </c>
      <c r="P95" s="421">
        <f t="shared" ca="1" si="24"/>
        <v>0</v>
      </c>
      <c r="Q95" s="421">
        <f t="shared" ca="1" si="24"/>
        <v>0</v>
      </c>
      <c r="R95" s="421">
        <f t="shared" ca="1" si="24"/>
        <v>0</v>
      </c>
      <c r="S95" s="421">
        <f t="shared" ca="1" si="24"/>
        <v>0</v>
      </c>
      <c r="T95" s="421">
        <f t="shared" ca="1" si="24"/>
        <v>0</v>
      </c>
      <c r="U95" s="421">
        <f t="shared" ca="1" si="24"/>
        <v>0</v>
      </c>
      <c r="V95" s="389"/>
      <c r="W95" s="392" t="s">
        <v>65</v>
      </c>
    </row>
    <row r="96" spans="1:23" s="390" customFormat="1" ht="15" customHeight="1">
      <c r="A96" s="389"/>
      <c r="B96" s="389"/>
      <c r="C96" s="389"/>
      <c r="D96" s="709" t="s">
        <v>342</v>
      </c>
      <c r="E96" s="713"/>
      <c r="F96" s="713"/>
      <c r="G96" s="713"/>
      <c r="H96" s="457"/>
      <c r="I96" s="795">
        <f t="shared" si="16"/>
        <v>0</v>
      </c>
      <c r="J96" s="389"/>
      <c r="K96" s="705"/>
      <c r="L96" s="705"/>
      <c r="M96" s="705"/>
      <c r="N96" s="705"/>
      <c r="O96" s="705"/>
      <c r="P96" s="705"/>
      <c r="Q96" s="705"/>
      <c r="R96" s="705"/>
      <c r="S96" s="705"/>
      <c r="T96" s="705"/>
      <c r="U96" s="705"/>
      <c r="V96" s="389"/>
      <c r="W96" s="392" t="s">
        <v>65</v>
      </c>
    </row>
    <row r="97" spans="1:23" s="390" customFormat="1" ht="15" customHeight="1">
      <c r="A97" s="389"/>
      <c r="B97" s="389"/>
      <c r="C97" s="389"/>
      <c r="D97" s="422" t="s">
        <v>343</v>
      </c>
      <c r="E97" s="422"/>
      <c r="F97" s="422"/>
      <c r="G97" s="422"/>
      <c r="H97" s="788">
        <f ca="1">I97-'Monthly-CF'!I98</f>
        <v>0</v>
      </c>
      <c r="I97" s="805">
        <f t="shared" ca="1" si="16"/>
        <v>65495875.834879503</v>
      </c>
      <c r="J97" s="422"/>
      <c r="K97" s="424"/>
      <c r="L97" s="424">
        <f ca="1">L37+L95+L61+L57+L65+L44</f>
        <v>-33997084.82329201</v>
      </c>
      <c r="M97" s="424">
        <f t="shared" ref="M97:U97" ca="1" si="25">M37+M95+M61+M57+M65+M44</f>
        <v>-20000558.20698633</v>
      </c>
      <c r="N97" s="424">
        <f t="shared" ca="1" si="25"/>
        <v>3077833.9422806348</v>
      </c>
      <c r="O97" s="424">
        <f t="shared" ca="1" si="25"/>
        <v>4327984.841741194</v>
      </c>
      <c r="P97" s="424">
        <f t="shared" ca="1" si="25"/>
        <v>4361818.0820642086</v>
      </c>
      <c r="Q97" s="424">
        <f t="shared" ca="1" si="25"/>
        <v>4382340.2267960068</v>
      </c>
      <c r="R97" s="424">
        <f t="shared" ca="1" si="25"/>
        <v>4417944.5411504516</v>
      </c>
      <c r="S97" s="424">
        <f t="shared" ca="1" si="25"/>
        <v>4532549.8617299926</v>
      </c>
      <c r="T97" s="424">
        <f t="shared" ca="1" si="25"/>
        <v>4428311.2431395343</v>
      </c>
      <c r="U97" s="424">
        <f t="shared" ca="1" si="25"/>
        <v>89964736.126255825</v>
      </c>
      <c r="V97" s="389"/>
      <c r="W97" s="392" t="s">
        <v>65</v>
      </c>
    </row>
    <row r="98" spans="1:23" s="390" customFormat="1" ht="3" customHeight="1">
      <c r="A98" s="389"/>
      <c r="B98" s="389"/>
      <c r="C98" s="389"/>
      <c r="D98" s="422"/>
      <c r="E98" s="397"/>
      <c r="F98" s="814"/>
      <c r="G98" s="397"/>
      <c r="H98" s="397"/>
      <c r="I98" s="796"/>
      <c r="J98" s="397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92" t="s">
        <v>65</v>
      </c>
    </row>
    <row r="99" spans="1:23" s="390" customFormat="1" ht="3" customHeight="1">
      <c r="A99" s="389"/>
      <c r="B99" s="389"/>
      <c r="C99" s="389"/>
      <c r="D99" s="422"/>
      <c r="E99" s="573"/>
      <c r="F99" s="573"/>
      <c r="G99" s="573"/>
      <c r="H99" s="573"/>
      <c r="I99" s="796"/>
      <c r="J99" s="573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92" t="s">
        <v>65</v>
      </c>
    </row>
    <row r="100" spans="1:23" s="390" customFormat="1" ht="3" customHeight="1">
      <c r="A100" s="389"/>
      <c r="B100" s="389"/>
      <c r="C100" s="389"/>
      <c r="D100" s="416"/>
      <c r="E100" s="389"/>
      <c r="F100" s="389"/>
      <c r="G100" s="389"/>
      <c r="H100" s="389"/>
      <c r="I100" s="798"/>
      <c r="J100" s="389"/>
      <c r="K100" s="420"/>
      <c r="L100" s="420"/>
      <c r="M100" s="420"/>
      <c r="N100" s="420"/>
      <c r="O100" s="420"/>
      <c r="P100" s="420"/>
      <c r="Q100" s="420"/>
      <c r="R100" s="420"/>
      <c r="S100" s="420"/>
      <c r="T100" s="420"/>
      <c r="U100" s="420"/>
      <c r="V100" s="389"/>
      <c r="W100" s="392" t="s">
        <v>65</v>
      </c>
    </row>
    <row r="101" spans="1:23" s="390" customFormat="1" ht="15" customHeight="1">
      <c r="A101" s="389"/>
      <c r="B101" s="389"/>
      <c r="C101" s="389"/>
      <c r="D101" s="433" t="s">
        <v>346</v>
      </c>
      <c r="E101" s="710"/>
      <c r="F101" s="710"/>
      <c r="G101" s="389"/>
      <c r="H101" s="389"/>
      <c r="I101" s="796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92" t="s">
        <v>65</v>
      </c>
    </row>
    <row r="102" spans="1:23" s="390" customFormat="1">
      <c r="A102" s="389"/>
      <c r="B102" s="389"/>
      <c r="C102" s="389"/>
      <c r="D102" s="389" t="s">
        <v>494</v>
      </c>
      <c r="E102" s="725"/>
      <c r="F102" s="703"/>
      <c r="G102" s="389"/>
      <c r="H102" s="788">
        <f ca="1">I102-'Monthly-CF'!I103</f>
        <v>0</v>
      </c>
      <c r="I102" s="796">
        <f ca="1">SUM(K102:U102)</f>
        <v>21993702.118082017</v>
      </c>
      <c r="J102" s="389"/>
      <c r="K102" s="703"/>
      <c r="L102" s="703">
        <f ca="1">SUMIFS('Monthly-CF'!$L103:$EA103,'Monthly-CF'!$L$9:$EA$9,'Annual-CF'!L$9)</f>
        <v>21993702.118082017</v>
      </c>
      <c r="M102" s="703">
        <f ca="1">SUMIFS('Monthly-CF'!$L103:$EA103,'Monthly-CF'!$L$9:$EA$9,'Annual-CF'!M$9)</f>
        <v>0</v>
      </c>
      <c r="N102" s="703">
        <f ca="1">SUMIFS('Monthly-CF'!$L103:$EA103,'Monthly-CF'!$L$9:$EA$9,'Annual-CF'!N$9)</f>
        <v>0</v>
      </c>
      <c r="O102" s="703">
        <f ca="1">SUMIFS('Monthly-CF'!$L103:$EA103,'Monthly-CF'!$L$9:$EA$9,'Annual-CF'!O$9)</f>
        <v>0</v>
      </c>
      <c r="P102" s="703">
        <f ca="1">SUMIFS('Monthly-CF'!$L103:$EA103,'Monthly-CF'!$L$9:$EA$9,'Annual-CF'!P$9)</f>
        <v>0</v>
      </c>
      <c r="Q102" s="703">
        <f ca="1">SUMIFS('Monthly-CF'!$L103:$EA103,'Monthly-CF'!$L$9:$EA$9,'Annual-CF'!Q$9)</f>
        <v>0</v>
      </c>
      <c r="R102" s="703">
        <f ca="1">SUMIFS('Monthly-CF'!$L103:$EA103,'Monthly-CF'!$L$9:$EA$9,'Annual-CF'!R$9)</f>
        <v>0</v>
      </c>
      <c r="S102" s="703">
        <f ca="1">SUMIFS('Monthly-CF'!$L103:$EA103,'Monthly-CF'!$L$9:$EA$9,'Annual-CF'!S$9)</f>
        <v>0</v>
      </c>
      <c r="T102" s="703">
        <f ca="1">SUMIFS('Monthly-CF'!$L103:$EA103,'Monthly-CF'!$L$9:$EA$9,'Annual-CF'!T$9)</f>
        <v>0</v>
      </c>
      <c r="U102" s="703">
        <f ca="1">SUMIFS('Monthly-CF'!$L103:$EA103,'Monthly-CF'!$L$9:$EA$9,'Annual-CF'!U$9)</f>
        <v>0</v>
      </c>
      <c r="V102" s="389"/>
      <c r="W102" s="392" t="s">
        <v>65</v>
      </c>
    </row>
    <row r="103" spans="1:23" s="390" customFormat="1">
      <c r="A103" s="389"/>
      <c r="B103" s="389"/>
      <c r="C103" s="389"/>
      <c r="D103" s="389" t="s">
        <v>495</v>
      </c>
      <c r="E103" s="725"/>
      <c r="F103" s="703"/>
      <c r="G103" s="389"/>
      <c r="H103" s="788">
        <f ca="1">I103-'Monthly-CF'!I104</f>
        <v>0</v>
      </c>
      <c r="I103" s="796">
        <f ca="1">SUM(K103:U103)</f>
        <v>0</v>
      </c>
      <c r="J103" s="389"/>
      <c r="K103" s="703"/>
      <c r="L103" s="703">
        <f ca="1">SUMIFS('Monthly-CF'!$L104:$EA104,'Monthly-CF'!$L$9:$EA$9,'Annual-CF'!L$9)</f>
        <v>0</v>
      </c>
      <c r="M103" s="703">
        <f>SUMIFS('Monthly-CF'!$L104:$EA104,'Monthly-CF'!$L$9:$EA$9,'Annual-CF'!M$9)</f>
        <v>0</v>
      </c>
      <c r="N103" s="703">
        <f>SUMIFS('Monthly-CF'!$L104:$EA104,'Monthly-CF'!$L$9:$EA$9,'Annual-CF'!N$9)</f>
        <v>0</v>
      </c>
      <c r="O103" s="703">
        <f>SUMIFS('Monthly-CF'!$L104:$EA104,'Monthly-CF'!$L$9:$EA$9,'Annual-CF'!O$9)</f>
        <v>0</v>
      </c>
      <c r="P103" s="703">
        <f>SUMIFS('Monthly-CF'!$L104:$EA104,'Monthly-CF'!$L$9:$EA$9,'Annual-CF'!P$9)</f>
        <v>0</v>
      </c>
      <c r="Q103" s="703">
        <f>SUMIFS('Monthly-CF'!$L104:$EA104,'Monthly-CF'!$L$9:$EA$9,'Annual-CF'!Q$9)</f>
        <v>0</v>
      </c>
      <c r="R103" s="703">
        <f>SUMIFS('Monthly-CF'!$L104:$EA104,'Monthly-CF'!$L$9:$EA$9,'Annual-CF'!R$9)</f>
        <v>0</v>
      </c>
      <c r="S103" s="703">
        <f>SUMIFS('Monthly-CF'!$L104:$EA104,'Monthly-CF'!$L$9:$EA$9,'Annual-CF'!S$9)</f>
        <v>0</v>
      </c>
      <c r="T103" s="703">
        <f>SUMIFS('Monthly-CF'!$L104:$EA104,'Monthly-CF'!$L$9:$EA$9,'Annual-CF'!T$9)</f>
        <v>0</v>
      </c>
      <c r="U103" s="703">
        <f>SUMIFS('Monthly-CF'!$L104:$EA104,'Monthly-CF'!$L$9:$EA$9,'Annual-CF'!U$9)</f>
        <v>0</v>
      </c>
      <c r="V103" s="389"/>
      <c r="W103" s="392" t="s">
        <v>65</v>
      </c>
    </row>
    <row r="104" spans="1:23" s="390" customFormat="1">
      <c r="A104" s="389"/>
      <c r="B104" s="389"/>
      <c r="C104" s="389"/>
      <c r="D104" s="389"/>
      <c r="E104" s="725"/>
      <c r="F104" s="703"/>
      <c r="G104" s="389"/>
      <c r="H104" s="389"/>
      <c r="I104" s="796"/>
      <c r="J104" s="389"/>
      <c r="K104" s="700"/>
      <c r="L104" s="718"/>
      <c r="M104" s="718"/>
      <c r="N104" s="718"/>
      <c r="O104" s="704"/>
      <c r="P104" s="704"/>
      <c r="Q104" s="704"/>
      <c r="R104" s="704"/>
      <c r="S104" s="704"/>
      <c r="T104" s="704"/>
      <c r="U104" s="704"/>
      <c r="V104" s="389"/>
      <c r="W104" s="392" t="s">
        <v>65</v>
      </c>
    </row>
    <row r="105" spans="1:23" s="390" customFormat="1" ht="4.5" customHeight="1">
      <c r="A105" s="389"/>
      <c r="B105" s="389"/>
      <c r="C105" s="389"/>
      <c r="D105" s="389"/>
      <c r="E105" s="725"/>
      <c r="F105" s="703"/>
      <c r="G105" s="389"/>
      <c r="H105" s="389"/>
      <c r="I105" s="796"/>
      <c r="J105" s="389"/>
      <c r="K105" s="700"/>
      <c r="L105" s="718"/>
      <c r="M105" s="718"/>
      <c r="N105" s="718"/>
      <c r="O105" s="704"/>
      <c r="P105" s="704"/>
      <c r="Q105" s="704"/>
      <c r="R105" s="704"/>
      <c r="S105" s="704"/>
      <c r="T105" s="704"/>
      <c r="U105" s="704"/>
      <c r="V105" s="389"/>
      <c r="W105" s="392" t="s">
        <v>65</v>
      </c>
    </row>
    <row r="106" spans="1:23" s="390" customFormat="1">
      <c r="A106" s="389"/>
      <c r="B106" s="389"/>
      <c r="C106" s="389"/>
      <c r="D106" s="764" t="s">
        <v>496</v>
      </c>
      <c r="E106" s="389"/>
      <c r="F106" s="389"/>
      <c r="G106" s="389"/>
      <c r="H106" s="389"/>
      <c r="I106" s="796"/>
      <c r="J106" s="389"/>
      <c r="K106" s="389"/>
      <c r="L106" s="763"/>
      <c r="M106" s="763"/>
      <c r="N106" s="763"/>
      <c r="O106" s="763"/>
      <c r="P106" s="763"/>
      <c r="Q106" s="763"/>
      <c r="R106" s="763"/>
      <c r="S106" s="763"/>
      <c r="T106" s="763"/>
      <c r="U106" s="763"/>
      <c r="V106" s="389"/>
      <c r="W106" s="392" t="s">
        <v>65</v>
      </c>
    </row>
    <row r="107" spans="1:23" s="390" customFormat="1">
      <c r="A107" s="389"/>
      <c r="B107" s="389"/>
      <c r="C107" s="389"/>
      <c r="D107" s="707" t="s">
        <v>133</v>
      </c>
      <c r="E107" s="389"/>
      <c r="F107" s="389"/>
      <c r="G107" s="389"/>
      <c r="H107" s="389"/>
      <c r="I107" s="795">
        <v>0</v>
      </c>
      <c r="J107" s="389"/>
      <c r="K107" s="712"/>
      <c r="L107" s="712">
        <f>K110</f>
        <v>0</v>
      </c>
      <c r="M107" s="712">
        <f t="shared" ref="M107:U107" ca="1" si="26">L110</f>
        <v>12003382.705209989</v>
      </c>
      <c r="N107" s="712">
        <f t="shared" ca="1" si="26"/>
        <v>32730101.441514149</v>
      </c>
      <c r="O107" s="703">
        <f t="shared" ca="1" si="26"/>
        <v>0</v>
      </c>
      <c r="P107" s="703">
        <f t="shared" ca="1" si="26"/>
        <v>0</v>
      </c>
      <c r="Q107" s="703">
        <f t="shared" ca="1" si="26"/>
        <v>0</v>
      </c>
      <c r="R107" s="703">
        <f t="shared" ca="1" si="26"/>
        <v>0</v>
      </c>
      <c r="S107" s="703">
        <f t="shared" ca="1" si="26"/>
        <v>0</v>
      </c>
      <c r="T107" s="703">
        <f t="shared" ca="1" si="26"/>
        <v>0</v>
      </c>
      <c r="U107" s="703">
        <f t="shared" ca="1" si="26"/>
        <v>0</v>
      </c>
      <c r="V107" s="389"/>
      <c r="W107" s="392" t="s">
        <v>65</v>
      </c>
    </row>
    <row r="108" spans="1:23" s="390" customFormat="1">
      <c r="A108" s="389"/>
      <c r="B108" s="389"/>
      <c r="C108" s="389"/>
      <c r="D108" s="708" t="s">
        <v>137</v>
      </c>
      <c r="E108" s="389"/>
      <c r="F108" s="389"/>
      <c r="G108" s="389"/>
      <c r="H108" s="389"/>
      <c r="I108" s="795">
        <f ca="1">SUM(K108:U108)</f>
        <v>32990553.177123014</v>
      </c>
      <c r="J108" s="389"/>
      <c r="K108" s="712"/>
      <c r="L108" s="712">
        <f ca="1">SUMIFS('Monthly-CF'!$L109:$EA109,'Monthly-CF'!$L$9:$EA$9,'Annual-CF'!L$9)</f>
        <v>12003382.705209989</v>
      </c>
      <c r="M108" s="712">
        <f ca="1">SUMIFS('Monthly-CF'!$L109:$EA109,'Monthly-CF'!$L$9:$EA$9,'Annual-CF'!M$9)</f>
        <v>20726718.73630416</v>
      </c>
      <c r="N108" s="712">
        <f ca="1">SUMIFS('Monthly-CF'!$L109:$EA109,'Monthly-CF'!$L$9:$EA$9,'Annual-CF'!N$9)</f>
        <v>260451.73560886589</v>
      </c>
      <c r="O108" s="703">
        <f ca="1">SUMIFS('Monthly-CF'!$L109:$EA109,'Monthly-CF'!$L$9:$EA$9,'Annual-CF'!O$9)</f>
        <v>0</v>
      </c>
      <c r="P108" s="703">
        <f ca="1">SUMIFS('Monthly-CF'!$L109:$EA109,'Monthly-CF'!$L$9:$EA$9,'Annual-CF'!P$9)</f>
        <v>0</v>
      </c>
      <c r="Q108" s="703">
        <f ca="1">SUMIFS('Monthly-CF'!$L109:$EA109,'Monthly-CF'!$L$9:$EA$9,'Annual-CF'!Q$9)</f>
        <v>0</v>
      </c>
      <c r="R108" s="703">
        <f ca="1">SUMIFS('Monthly-CF'!$L109:$EA109,'Monthly-CF'!$L$9:$EA$9,'Annual-CF'!R$9)</f>
        <v>0</v>
      </c>
      <c r="S108" s="703">
        <f ca="1">SUMIFS('Monthly-CF'!$L109:$EA109,'Monthly-CF'!$L$9:$EA$9,'Annual-CF'!S$9)</f>
        <v>0</v>
      </c>
      <c r="T108" s="703">
        <f ca="1">SUMIFS('Monthly-CF'!$L109:$EA109,'Monthly-CF'!$L$9:$EA$9,'Annual-CF'!T$9)</f>
        <v>0</v>
      </c>
      <c r="U108" s="703">
        <f ca="1">SUMIFS('Monthly-CF'!$L109:$EA109,'Monthly-CF'!$L$9:$EA$9,'Annual-CF'!U$9)</f>
        <v>0</v>
      </c>
      <c r="V108" s="389"/>
      <c r="W108" s="392" t="s">
        <v>65</v>
      </c>
    </row>
    <row r="109" spans="1:23" s="390" customFormat="1">
      <c r="A109" s="389"/>
      <c r="B109" s="389"/>
      <c r="C109" s="389"/>
      <c r="D109" s="708" t="s">
        <v>82</v>
      </c>
      <c r="E109" s="389"/>
      <c r="F109" s="389"/>
      <c r="G109" s="389"/>
      <c r="H109" s="389"/>
      <c r="I109" s="795">
        <f ca="1">SUM(K109:U109)</f>
        <v>-32990553.177123014</v>
      </c>
      <c r="J109" s="389"/>
      <c r="K109" s="712"/>
      <c r="L109" s="712">
        <f>SUMIFS('Monthly-CF'!$L110:$EA110,'Monthly-CF'!$L$9:$EA$9,'Annual-CF'!L$9)</f>
        <v>0</v>
      </c>
      <c r="M109" s="712">
        <f>SUMIFS('Monthly-CF'!$L110:$EA110,'Monthly-CF'!$L$9:$EA$9,'Annual-CF'!M$9)</f>
        <v>0</v>
      </c>
      <c r="N109" s="712">
        <f ca="1">SUMIFS('Monthly-CF'!$L110:$EA110,'Monthly-CF'!$L$9:$EA$9,'Annual-CF'!N$9)</f>
        <v>-32990553.177123014</v>
      </c>
      <c r="O109" s="703">
        <f>SUMIFS('Monthly-CF'!$L110:$EA110,'Monthly-CF'!$L$9:$EA$9,'Annual-CF'!O$9)</f>
        <v>0</v>
      </c>
      <c r="P109" s="703">
        <f>SUMIFS('Monthly-CF'!$L110:$EA110,'Monthly-CF'!$L$9:$EA$9,'Annual-CF'!P$9)</f>
        <v>0</v>
      </c>
      <c r="Q109" s="703">
        <f>SUMIFS('Monthly-CF'!$L110:$EA110,'Monthly-CF'!$L$9:$EA$9,'Annual-CF'!Q$9)</f>
        <v>0</v>
      </c>
      <c r="R109" s="703">
        <f>SUMIFS('Monthly-CF'!$L110:$EA110,'Monthly-CF'!$L$9:$EA$9,'Annual-CF'!R$9)</f>
        <v>0</v>
      </c>
      <c r="S109" s="703">
        <f>SUMIFS('Monthly-CF'!$L110:$EA110,'Monthly-CF'!$L$9:$EA$9,'Annual-CF'!S$9)</f>
        <v>0</v>
      </c>
      <c r="T109" s="703">
        <f>SUMIFS('Monthly-CF'!$L110:$EA110,'Monthly-CF'!$L$9:$EA$9,'Annual-CF'!T$9)</f>
        <v>0</v>
      </c>
      <c r="U109" s="703">
        <f>SUMIFS('Monthly-CF'!$L110:$EA110,'Monthly-CF'!$L$9:$EA$9,'Annual-CF'!U$9)</f>
        <v>0</v>
      </c>
      <c r="V109" s="389"/>
      <c r="W109" s="392" t="s">
        <v>65</v>
      </c>
    </row>
    <row r="110" spans="1:23" s="390" customFormat="1" ht="15" customHeight="1">
      <c r="A110" s="389"/>
      <c r="B110" s="389"/>
      <c r="C110" s="389"/>
      <c r="D110" s="429" t="s">
        <v>134</v>
      </c>
      <c r="E110" s="411"/>
      <c r="F110" s="411"/>
      <c r="G110" s="411"/>
      <c r="H110" s="411"/>
      <c r="I110" s="797">
        <f t="shared" ref="I110:U110" ca="1" si="27">I108+I107+I109</f>
        <v>0</v>
      </c>
      <c r="J110" s="389"/>
      <c r="K110" s="717"/>
      <c r="L110" s="717">
        <f t="shared" ca="1" si="27"/>
        <v>12003382.705209989</v>
      </c>
      <c r="M110" s="717">
        <f t="shared" ca="1" si="27"/>
        <v>32730101.441514149</v>
      </c>
      <c r="N110" s="717">
        <f t="shared" ca="1" si="27"/>
        <v>0</v>
      </c>
      <c r="O110" s="411">
        <f t="shared" ca="1" si="27"/>
        <v>0</v>
      </c>
      <c r="P110" s="411">
        <f t="shared" ca="1" si="27"/>
        <v>0</v>
      </c>
      <c r="Q110" s="411">
        <f t="shared" ca="1" si="27"/>
        <v>0</v>
      </c>
      <c r="R110" s="411">
        <f t="shared" ca="1" si="27"/>
        <v>0</v>
      </c>
      <c r="S110" s="411">
        <f t="shared" ca="1" si="27"/>
        <v>0</v>
      </c>
      <c r="T110" s="411">
        <f t="shared" ca="1" si="27"/>
        <v>0</v>
      </c>
      <c r="U110" s="411">
        <f t="shared" ca="1" si="27"/>
        <v>0</v>
      </c>
      <c r="V110" s="389"/>
      <c r="W110" s="392" t="s">
        <v>65</v>
      </c>
    </row>
    <row r="111" spans="1:23" s="390" customFormat="1" ht="15" customHeight="1">
      <c r="A111" s="389"/>
      <c r="B111" s="389"/>
      <c r="C111" s="389"/>
      <c r="D111" s="416" t="s">
        <v>571</v>
      </c>
      <c r="E111" s="413"/>
      <c r="F111" s="413"/>
      <c r="G111" s="413"/>
      <c r="H111" s="413"/>
      <c r="I111" s="795">
        <f ca="1">SUM(K111:U111)</f>
        <v>0</v>
      </c>
      <c r="J111" s="703"/>
      <c r="K111" s="507"/>
      <c r="L111" s="507">
        <f ca="1">SUMIFS('Monthly-CF'!$L112:$EA112,'Monthly-CF'!$L$9:$EA$9,'Annual-CF'!L$9)</f>
        <v>0</v>
      </c>
      <c r="M111" s="507">
        <f>SUMIFS('Monthly-CF'!$L112:$EA112,'Monthly-CF'!$L$9:$EA$9,'Annual-CF'!M$9)</f>
        <v>0</v>
      </c>
      <c r="N111" s="507">
        <f>SUMIFS('Monthly-CF'!$L112:$EA112,'Monthly-CF'!$L$9:$EA$9,'Annual-CF'!N$9)</f>
        <v>0</v>
      </c>
      <c r="O111" s="507">
        <f>SUMIFS('Monthly-CF'!$L112:$EA112,'Monthly-CF'!$L$9:$EA$9,'Annual-CF'!O$9)</f>
        <v>0</v>
      </c>
      <c r="P111" s="507">
        <f>SUMIFS('Monthly-CF'!$L112:$EA112,'Monthly-CF'!$L$9:$EA$9,'Annual-CF'!P$9)</f>
        <v>0</v>
      </c>
      <c r="Q111" s="507">
        <f>SUMIFS('Monthly-CF'!$L112:$EA112,'Monthly-CF'!$L$9:$EA$9,'Annual-CF'!Q$9)</f>
        <v>0</v>
      </c>
      <c r="R111" s="507">
        <f>SUMIFS('Monthly-CF'!$L112:$EA112,'Monthly-CF'!$L$9:$EA$9,'Annual-CF'!R$9)</f>
        <v>0</v>
      </c>
      <c r="S111" s="507">
        <f>SUMIFS('Monthly-CF'!$L112:$EA112,'Monthly-CF'!$L$9:$EA$9,'Annual-CF'!S$9)</f>
        <v>0</v>
      </c>
      <c r="T111" s="507">
        <f>SUMIFS('Monthly-CF'!$L112:$EA112,'Monthly-CF'!$L$9:$EA$9,'Annual-CF'!T$9)</f>
        <v>0</v>
      </c>
      <c r="U111" s="507">
        <f>SUMIFS('Monthly-CF'!$L112:$EA112,'Monthly-CF'!$L$9:$EA$9,'Annual-CF'!U$9)</f>
        <v>0</v>
      </c>
      <c r="V111" s="389"/>
      <c r="W111" s="392" t="s">
        <v>65</v>
      </c>
    </row>
    <row r="112" spans="1:23" s="390" customFormat="1">
      <c r="A112" s="389"/>
      <c r="B112" s="389"/>
      <c r="C112" s="389"/>
      <c r="D112" s="403"/>
      <c r="E112" s="389"/>
      <c r="F112" s="389"/>
      <c r="G112" s="389"/>
      <c r="H112" s="389"/>
      <c r="I112" s="796"/>
      <c r="J112" s="389"/>
      <c r="K112" s="389"/>
      <c r="L112" s="712"/>
      <c r="M112" s="712"/>
      <c r="N112" s="712"/>
      <c r="O112" s="703"/>
      <c r="P112" s="703"/>
      <c r="Q112" s="703"/>
      <c r="R112" s="703"/>
      <c r="S112" s="703"/>
      <c r="T112" s="703"/>
      <c r="U112" s="703"/>
      <c r="V112" s="389"/>
      <c r="W112" s="392" t="s">
        <v>65</v>
      </c>
    </row>
    <row r="113" spans="1:23" s="390" customFormat="1">
      <c r="A113" s="389"/>
      <c r="B113" s="389"/>
      <c r="C113" s="389"/>
      <c r="D113" s="764" t="s">
        <v>505</v>
      </c>
      <c r="E113" s="389"/>
      <c r="F113" s="389"/>
      <c r="G113" s="389"/>
      <c r="H113" s="389"/>
      <c r="I113" s="796"/>
      <c r="J113" s="389"/>
      <c r="K113" s="389"/>
      <c r="L113" s="763"/>
      <c r="M113" s="763"/>
      <c r="N113" s="763"/>
      <c r="O113" s="763"/>
      <c r="P113" s="763"/>
      <c r="Q113" s="763"/>
      <c r="R113" s="763"/>
      <c r="S113" s="763"/>
      <c r="T113" s="763"/>
      <c r="U113" s="763"/>
      <c r="V113" s="389"/>
      <c r="W113" s="392" t="s">
        <v>65</v>
      </c>
    </row>
    <row r="114" spans="1:23" s="390" customFormat="1">
      <c r="A114" s="389"/>
      <c r="B114" s="389"/>
      <c r="C114" s="389"/>
      <c r="D114" s="707" t="s">
        <v>133</v>
      </c>
      <c r="E114" s="389"/>
      <c r="F114" s="389"/>
      <c r="G114" s="389"/>
      <c r="H114" s="389"/>
      <c r="I114" s="795">
        <v>0</v>
      </c>
      <c r="J114" s="389"/>
      <c r="K114" s="712"/>
      <c r="L114" s="712">
        <f>K117</f>
        <v>0</v>
      </c>
      <c r="M114" s="712">
        <f t="shared" ref="M114:U114" ca="1" si="28">L117</f>
        <v>0</v>
      </c>
      <c r="N114" s="712">
        <f t="shared" ca="1" si="28"/>
        <v>0</v>
      </c>
      <c r="O114" s="703">
        <f t="shared" ca="1" si="28"/>
        <v>0</v>
      </c>
      <c r="P114" s="703">
        <f t="shared" ca="1" si="28"/>
        <v>0</v>
      </c>
      <c r="Q114" s="703">
        <f t="shared" ca="1" si="28"/>
        <v>0</v>
      </c>
      <c r="R114" s="703">
        <f t="shared" ca="1" si="28"/>
        <v>0</v>
      </c>
      <c r="S114" s="703">
        <f t="shared" ca="1" si="28"/>
        <v>0</v>
      </c>
      <c r="T114" s="703">
        <f t="shared" ca="1" si="28"/>
        <v>0</v>
      </c>
      <c r="U114" s="703">
        <f t="shared" ca="1" si="28"/>
        <v>0</v>
      </c>
      <c r="V114" s="389"/>
      <c r="W114" s="392" t="s">
        <v>65</v>
      </c>
    </row>
    <row r="115" spans="1:23" s="390" customFormat="1">
      <c r="A115" s="389"/>
      <c r="B115" s="389"/>
      <c r="C115" s="389"/>
      <c r="D115" s="708" t="s">
        <v>137</v>
      </c>
      <c r="E115" s="389"/>
      <c r="F115" s="389"/>
      <c r="G115" s="389"/>
      <c r="H115" s="389"/>
      <c r="I115" s="795">
        <f ca="1">SUM(K115:U115)</f>
        <v>0</v>
      </c>
      <c r="J115" s="389"/>
      <c r="K115" s="712"/>
      <c r="L115" s="712">
        <f ca="1">SUMIFS('Monthly-CF'!$L116:$EA116,'Monthly-CF'!$L$9:$EA$9,'Annual-CF'!L$9)</f>
        <v>0</v>
      </c>
      <c r="M115" s="712">
        <f>SUMIFS('Monthly-CF'!$L116:$EA116,'Monthly-CF'!$L$9:$EA$9,'Annual-CF'!M$9)</f>
        <v>0</v>
      </c>
      <c r="N115" s="712">
        <f>SUMIFS('Monthly-CF'!$L116:$EA116,'Monthly-CF'!$L$9:$EA$9,'Annual-CF'!N$9)</f>
        <v>0</v>
      </c>
      <c r="O115" s="703">
        <f>SUMIFS('Monthly-CF'!$L116:$EA116,'Monthly-CF'!$L$9:$EA$9,'Annual-CF'!O$9)</f>
        <v>0</v>
      </c>
      <c r="P115" s="703">
        <f>SUMIFS('Monthly-CF'!$L116:$EA116,'Monthly-CF'!$L$9:$EA$9,'Annual-CF'!P$9)</f>
        <v>0</v>
      </c>
      <c r="Q115" s="703">
        <f>SUMIFS('Monthly-CF'!$L116:$EA116,'Monthly-CF'!$L$9:$EA$9,'Annual-CF'!Q$9)</f>
        <v>0</v>
      </c>
      <c r="R115" s="703">
        <f>SUMIFS('Monthly-CF'!$L116:$EA116,'Monthly-CF'!$L$9:$EA$9,'Annual-CF'!R$9)</f>
        <v>0</v>
      </c>
      <c r="S115" s="703">
        <f>SUMIFS('Monthly-CF'!$L116:$EA116,'Monthly-CF'!$L$9:$EA$9,'Annual-CF'!S$9)</f>
        <v>0</v>
      </c>
      <c r="T115" s="703">
        <f>SUMIFS('Monthly-CF'!$L116:$EA116,'Monthly-CF'!$L$9:$EA$9,'Annual-CF'!T$9)</f>
        <v>0</v>
      </c>
      <c r="U115" s="703">
        <f>SUMIFS('Monthly-CF'!$L116:$EA116,'Monthly-CF'!$L$9:$EA$9,'Annual-CF'!U$9)</f>
        <v>0</v>
      </c>
      <c r="V115" s="389"/>
      <c r="W115" s="392" t="s">
        <v>65</v>
      </c>
    </row>
    <row r="116" spans="1:23" s="390" customFormat="1">
      <c r="A116" s="389"/>
      <c r="B116" s="389"/>
      <c r="C116" s="389"/>
      <c r="D116" s="708" t="s">
        <v>82</v>
      </c>
      <c r="E116" s="389"/>
      <c r="F116" s="389"/>
      <c r="G116" s="389"/>
      <c r="H116" s="389"/>
      <c r="I116" s="795">
        <f ca="1">SUM(K116:U116)</f>
        <v>0</v>
      </c>
      <c r="J116" s="389"/>
      <c r="K116" s="712"/>
      <c r="L116" s="712">
        <f>SUMIFS('Monthly-CF'!$L117:$EA117,'Monthly-CF'!$L$9:$EA$9,'Annual-CF'!L$9)</f>
        <v>0</v>
      </c>
      <c r="M116" s="712">
        <f>SUMIFS('Monthly-CF'!$L117:$EA117,'Monthly-CF'!$L$9:$EA$9,'Annual-CF'!M$9)</f>
        <v>0</v>
      </c>
      <c r="N116" s="712">
        <f ca="1">SUMIFS('Monthly-CF'!$L117:$EA117,'Monthly-CF'!$L$9:$EA$9,'Annual-CF'!N$9)</f>
        <v>0</v>
      </c>
      <c r="O116" s="703">
        <f>SUMIFS('Monthly-CF'!$L117:$EA117,'Monthly-CF'!$L$9:$EA$9,'Annual-CF'!O$9)</f>
        <v>0</v>
      </c>
      <c r="P116" s="703">
        <f>SUMIFS('Monthly-CF'!$L117:$EA117,'Monthly-CF'!$L$9:$EA$9,'Annual-CF'!P$9)</f>
        <v>0</v>
      </c>
      <c r="Q116" s="703">
        <f>SUMIFS('Monthly-CF'!$L117:$EA117,'Monthly-CF'!$L$9:$EA$9,'Annual-CF'!Q$9)</f>
        <v>0</v>
      </c>
      <c r="R116" s="703">
        <f>SUMIFS('Monthly-CF'!$L117:$EA117,'Monthly-CF'!$L$9:$EA$9,'Annual-CF'!R$9)</f>
        <v>0</v>
      </c>
      <c r="S116" s="703">
        <f>SUMIFS('Monthly-CF'!$L117:$EA117,'Monthly-CF'!$L$9:$EA$9,'Annual-CF'!S$9)</f>
        <v>0</v>
      </c>
      <c r="T116" s="703">
        <f>SUMIFS('Monthly-CF'!$L117:$EA117,'Monthly-CF'!$L$9:$EA$9,'Annual-CF'!T$9)</f>
        <v>0</v>
      </c>
      <c r="U116" s="703">
        <f>SUMIFS('Monthly-CF'!$L117:$EA117,'Monthly-CF'!$L$9:$EA$9,'Annual-CF'!U$9)</f>
        <v>0</v>
      </c>
      <c r="V116" s="389"/>
      <c r="W116" s="392" t="s">
        <v>65</v>
      </c>
    </row>
    <row r="117" spans="1:23" s="390" customFormat="1" ht="15" customHeight="1">
      <c r="A117" s="389"/>
      <c r="B117" s="389"/>
      <c r="C117" s="389"/>
      <c r="D117" s="429" t="s">
        <v>134</v>
      </c>
      <c r="E117" s="411"/>
      <c r="F117" s="411"/>
      <c r="G117" s="411"/>
      <c r="H117" s="411"/>
      <c r="I117" s="797">
        <f t="shared" ref="I117:U117" ca="1" si="29">I115+I114+I116</f>
        <v>0</v>
      </c>
      <c r="J117" s="389"/>
      <c r="K117" s="717"/>
      <c r="L117" s="717">
        <f t="shared" ca="1" si="29"/>
        <v>0</v>
      </c>
      <c r="M117" s="717">
        <f t="shared" ca="1" si="29"/>
        <v>0</v>
      </c>
      <c r="N117" s="717">
        <f t="shared" ca="1" si="29"/>
        <v>0</v>
      </c>
      <c r="O117" s="411">
        <f t="shared" ca="1" si="29"/>
        <v>0</v>
      </c>
      <c r="P117" s="411">
        <f t="shared" ca="1" si="29"/>
        <v>0</v>
      </c>
      <c r="Q117" s="411">
        <f t="shared" ca="1" si="29"/>
        <v>0</v>
      </c>
      <c r="R117" s="411">
        <f t="shared" ca="1" si="29"/>
        <v>0</v>
      </c>
      <c r="S117" s="411">
        <f t="shared" ca="1" si="29"/>
        <v>0</v>
      </c>
      <c r="T117" s="411">
        <f t="shared" ca="1" si="29"/>
        <v>0</v>
      </c>
      <c r="U117" s="411">
        <f t="shared" ca="1" si="29"/>
        <v>0</v>
      </c>
      <c r="V117" s="389"/>
      <c r="W117" s="392" t="s">
        <v>65</v>
      </c>
    </row>
    <row r="118" spans="1:23" s="390" customFormat="1">
      <c r="A118" s="389"/>
      <c r="B118" s="389"/>
      <c r="C118" s="389"/>
      <c r="D118" s="403"/>
      <c r="E118" s="389"/>
      <c r="F118" s="389"/>
      <c r="G118" s="389"/>
      <c r="H118" s="389"/>
      <c r="I118" s="796"/>
      <c r="J118" s="389"/>
      <c r="K118" s="389"/>
      <c r="L118" s="712"/>
      <c r="M118" s="712"/>
      <c r="N118" s="712"/>
      <c r="O118" s="703"/>
      <c r="P118" s="703"/>
      <c r="Q118" s="703"/>
      <c r="R118" s="703"/>
      <c r="S118" s="703"/>
      <c r="T118" s="703"/>
      <c r="U118" s="703"/>
      <c r="V118" s="389"/>
      <c r="W118" s="392" t="s">
        <v>65</v>
      </c>
    </row>
    <row r="119" spans="1:23" s="390" customFormat="1">
      <c r="A119" s="389"/>
      <c r="B119" s="389"/>
      <c r="C119" s="389"/>
      <c r="D119" s="764" t="s">
        <v>135</v>
      </c>
      <c r="E119" s="389"/>
      <c r="F119" s="389"/>
      <c r="G119" s="389"/>
      <c r="H119" s="389"/>
      <c r="I119" s="795"/>
      <c r="J119" s="389"/>
      <c r="K119" s="703"/>
      <c r="L119" s="712"/>
      <c r="M119" s="712"/>
      <c r="N119" s="712"/>
      <c r="O119" s="703"/>
      <c r="P119" s="703"/>
      <c r="Q119" s="703"/>
      <c r="R119" s="703"/>
      <c r="S119" s="703"/>
      <c r="T119" s="703"/>
      <c r="U119" s="703"/>
      <c r="V119" s="389"/>
      <c r="W119" s="392" t="s">
        <v>65</v>
      </c>
    </row>
    <row r="120" spans="1:23" s="390" customFormat="1">
      <c r="A120" s="389"/>
      <c r="B120" s="389"/>
      <c r="C120" s="389"/>
      <c r="D120" s="707" t="s">
        <v>133</v>
      </c>
      <c r="E120" s="389"/>
      <c r="F120" s="389"/>
      <c r="G120" s="389"/>
      <c r="H120" s="389"/>
      <c r="I120" s="795">
        <v>0</v>
      </c>
      <c r="J120" s="389"/>
      <c r="K120" s="719"/>
      <c r="L120" s="719">
        <v>0</v>
      </c>
      <c r="M120" s="719">
        <f t="shared" ref="M120:U120" si="30">L124</f>
        <v>0</v>
      </c>
      <c r="N120" s="719">
        <f t="shared" si="30"/>
        <v>0</v>
      </c>
      <c r="O120" s="507">
        <f t="shared" ca="1" si="30"/>
        <v>40877334.963324547</v>
      </c>
      <c r="P120" s="507">
        <f t="shared" ca="1" si="30"/>
        <v>40043843.538230635</v>
      </c>
      <c r="Q120" s="507">
        <f t="shared" ca="1" si="30"/>
        <v>39163336.645197488</v>
      </c>
      <c r="R120" s="507">
        <f t="shared" ca="1" si="30"/>
        <v>38233162.242273629</v>
      </c>
      <c r="S120" s="507">
        <f t="shared" ca="1" si="30"/>
        <v>37250518.691495441</v>
      </c>
      <c r="T120" s="507">
        <f t="shared" ca="1" si="30"/>
        <v>36212446.320496209</v>
      </c>
      <c r="U120" s="507">
        <f t="shared" ca="1" si="30"/>
        <v>35115818.508123569</v>
      </c>
      <c r="V120" s="389"/>
      <c r="W120" s="392" t="s">
        <v>65</v>
      </c>
    </row>
    <row r="121" spans="1:23" s="390" customFormat="1">
      <c r="A121" s="389"/>
      <c r="B121" s="389"/>
      <c r="C121" s="389"/>
      <c r="D121" s="708" t="s">
        <v>137</v>
      </c>
      <c r="E121" s="389"/>
      <c r="F121" s="389"/>
      <c r="G121" s="389"/>
      <c r="H121" s="389"/>
      <c r="I121" s="795">
        <f ca="1">SUM(K121:U121)</f>
        <v>41537811.792025082</v>
      </c>
      <c r="J121" s="389"/>
      <c r="K121" s="712"/>
      <c r="L121" s="712">
        <f>SUMIFS('Monthly-CF'!$L122:$EA122,'Monthly-CF'!$L$9:$EA$9,'Annual-CF'!L$9)</f>
        <v>0</v>
      </c>
      <c r="M121" s="712">
        <f>SUMIFS('Monthly-CF'!$L122:$EA122,'Monthly-CF'!$L$9:$EA$9,'Annual-CF'!M$9)</f>
        <v>0</v>
      </c>
      <c r="N121" s="712">
        <f ca="1">SUMIFS('Monthly-CF'!$L122:$EA122,'Monthly-CF'!$L$9:$EA$9,'Annual-CF'!N$9)</f>
        <v>41537811.792025082</v>
      </c>
      <c r="O121" s="703">
        <f>SUMIFS('Monthly-CF'!$L122:$EA122,'Monthly-CF'!$L$9:$EA$9,'Annual-CF'!O$9)</f>
        <v>0</v>
      </c>
      <c r="P121" s="703">
        <f>SUMIFS('Monthly-CF'!$L122:$EA122,'Monthly-CF'!$L$9:$EA$9,'Annual-CF'!P$9)</f>
        <v>0</v>
      </c>
      <c r="Q121" s="703">
        <f>SUMIFS('Monthly-CF'!$L122:$EA122,'Monthly-CF'!$L$9:$EA$9,'Annual-CF'!Q$9)</f>
        <v>0</v>
      </c>
      <c r="R121" s="703">
        <f>SUMIFS('Monthly-CF'!$L122:$EA122,'Monthly-CF'!$L$9:$EA$9,'Annual-CF'!R$9)</f>
        <v>0</v>
      </c>
      <c r="S121" s="703">
        <f>SUMIFS('Monthly-CF'!$L122:$EA122,'Monthly-CF'!$L$9:$EA$9,'Annual-CF'!S$9)</f>
        <v>0</v>
      </c>
      <c r="T121" s="703">
        <f>SUMIFS('Monthly-CF'!$L122:$EA122,'Monthly-CF'!$L$9:$EA$9,'Annual-CF'!T$9)</f>
        <v>0</v>
      </c>
      <c r="U121" s="703">
        <f>SUMIFS('Monthly-CF'!$L122:$EA122,'Monthly-CF'!$L$9:$EA$9,'Annual-CF'!U$9)</f>
        <v>0</v>
      </c>
      <c r="V121" s="389"/>
      <c r="W121" s="392" t="s">
        <v>65</v>
      </c>
    </row>
    <row r="122" spans="1:23" s="390" customFormat="1">
      <c r="A122" s="389"/>
      <c r="B122" s="389"/>
      <c r="C122" s="389"/>
      <c r="D122" s="708" t="s">
        <v>68</v>
      </c>
      <c r="E122" s="389"/>
      <c r="F122" s="700">
        <f>Assumptions!$E$69</f>
        <v>25</v>
      </c>
      <c r="G122" s="389"/>
      <c r="H122" s="389"/>
      <c r="I122" s="795">
        <f ca="1">SUM(K122:U122)</f>
        <v>-7580479.5248093717</v>
      </c>
      <c r="J122" s="389"/>
      <c r="K122" s="703"/>
      <c r="L122" s="703">
        <f>SUMIFS('Monthly-CF'!$L123:$EA123,'Monthly-CF'!$L$9:$EA$9,'Annual-CF'!L$9)</f>
        <v>0</v>
      </c>
      <c r="M122" s="703">
        <f>SUMIFS('Monthly-CF'!$L123:$EA123,'Monthly-CF'!$L$9:$EA$9,'Annual-CF'!M$9)</f>
        <v>0</v>
      </c>
      <c r="N122" s="703">
        <f ca="1">SUMIFS('Monthly-CF'!$L123:$EA123,'Monthly-CF'!$L$9:$EA$9,'Annual-CF'!N$9)</f>
        <v>-660476.82870053581</v>
      </c>
      <c r="O122" s="703">
        <f ca="1">SUMIFS('Monthly-CF'!$L123:$EA123,'Monthly-CF'!$L$9:$EA$9,'Annual-CF'!O$9)</f>
        <v>-833491.42509390949</v>
      </c>
      <c r="P122" s="703">
        <f ca="1">SUMIFS('Monthly-CF'!$L123:$EA123,'Monthly-CF'!$L$9:$EA$9,'Annual-CF'!P$9)</f>
        <v>-880506.89303314779</v>
      </c>
      <c r="Q122" s="703">
        <f ca="1">SUMIFS('Monthly-CF'!$L123:$EA123,'Monthly-CF'!$L$9:$EA$9,'Annual-CF'!Q$9)</f>
        <v>-930174.4029238628</v>
      </c>
      <c r="R122" s="703">
        <f ca="1">SUMIFS('Monthly-CF'!$L123:$EA123,'Monthly-CF'!$L$9:$EA$9,'Annual-CF'!R$9)</f>
        <v>-982643.55077819095</v>
      </c>
      <c r="S122" s="703">
        <f ca="1">SUMIFS('Monthly-CF'!$L123:$EA123,'Monthly-CF'!$L$9:$EA$9,'Annual-CF'!S$9)</f>
        <v>-1038072.3709992338</v>
      </c>
      <c r="T122" s="703">
        <f ca="1">SUMIFS('Monthly-CF'!$L123:$EA123,'Monthly-CF'!$L$9:$EA$9,'Annual-CF'!T$9)</f>
        <v>-1096627.8123726402</v>
      </c>
      <c r="U122" s="703">
        <f ca="1">SUMIFS('Monthly-CF'!$L123:$EA123,'Monthly-CF'!$L$9:$EA$9,'Annual-CF'!U$9)</f>
        <v>-1158486.2409078511</v>
      </c>
      <c r="V122" s="389"/>
      <c r="W122" s="392" t="s">
        <v>65</v>
      </c>
    </row>
    <row r="123" spans="1:23" s="390" customFormat="1">
      <c r="A123" s="389"/>
      <c r="B123" s="389"/>
      <c r="C123" s="389"/>
      <c r="D123" s="708" t="s">
        <v>82</v>
      </c>
      <c r="E123" s="389"/>
      <c r="F123" s="389"/>
      <c r="G123" s="389"/>
      <c r="H123" s="389"/>
      <c r="I123" s="795">
        <f ca="1">SUM(K123:U123)</f>
        <v>-33957332.267215736</v>
      </c>
      <c r="J123" s="389"/>
      <c r="K123" s="703"/>
      <c r="L123" s="703">
        <f>SUMIFS('Monthly-CF'!$L124:$EA124,'Monthly-CF'!$L$9:$EA$9,'Annual-CF'!L$9)</f>
        <v>0</v>
      </c>
      <c r="M123" s="703">
        <f>SUMIFS('Monthly-CF'!$L124:$EA124,'Monthly-CF'!$L$9:$EA$9,'Annual-CF'!M$9)</f>
        <v>0</v>
      </c>
      <c r="N123" s="703">
        <f ca="1">SUMIFS('Monthly-CF'!$L124:$EA124,'Monthly-CF'!$L$9:$EA$9,'Annual-CF'!N$9)</f>
        <v>0</v>
      </c>
      <c r="O123" s="703">
        <f ca="1">SUMIFS('Monthly-CF'!$L124:$EA124,'Monthly-CF'!$L$9:$EA$9,'Annual-CF'!O$9)</f>
        <v>0</v>
      </c>
      <c r="P123" s="703">
        <f ca="1">SUMIFS('Monthly-CF'!$L124:$EA124,'Monthly-CF'!$L$9:$EA$9,'Annual-CF'!P$9)</f>
        <v>0</v>
      </c>
      <c r="Q123" s="703">
        <f ca="1">SUMIFS('Monthly-CF'!$L124:$EA124,'Monthly-CF'!$L$9:$EA$9,'Annual-CF'!Q$9)</f>
        <v>0</v>
      </c>
      <c r="R123" s="703">
        <f ca="1">SUMIFS('Monthly-CF'!$L124:$EA124,'Monthly-CF'!$L$9:$EA$9,'Annual-CF'!R$9)</f>
        <v>0</v>
      </c>
      <c r="S123" s="703">
        <f ca="1">SUMIFS('Monthly-CF'!$L124:$EA124,'Monthly-CF'!$L$9:$EA$9,'Annual-CF'!S$9)</f>
        <v>0</v>
      </c>
      <c r="T123" s="703">
        <f ca="1">SUMIFS('Monthly-CF'!$L124:$EA124,'Monthly-CF'!$L$9:$EA$9,'Annual-CF'!T$9)</f>
        <v>0</v>
      </c>
      <c r="U123" s="703">
        <f ca="1">SUMIFS('Monthly-CF'!$L124:$EA124,'Monthly-CF'!$L$9:$EA$9,'Annual-CF'!U$9)</f>
        <v>-33957332.267215736</v>
      </c>
      <c r="V123" s="389"/>
      <c r="W123" s="392" t="s">
        <v>65</v>
      </c>
    </row>
    <row r="124" spans="1:23" s="390" customFormat="1" ht="15" customHeight="1">
      <c r="A124" s="389"/>
      <c r="B124" s="389"/>
      <c r="C124" s="389"/>
      <c r="D124" s="429" t="s">
        <v>134</v>
      </c>
      <c r="E124" s="411"/>
      <c r="F124" s="411"/>
      <c r="G124" s="411"/>
      <c r="H124" s="411"/>
      <c r="I124" s="797">
        <f t="shared" ref="I124:U124" ca="1" si="31">SUM(I120:I123)</f>
        <v>0</v>
      </c>
      <c r="J124" s="389"/>
      <c r="K124" s="411"/>
      <c r="L124" s="411">
        <f t="shared" si="31"/>
        <v>0</v>
      </c>
      <c r="M124" s="411">
        <f t="shared" si="31"/>
        <v>0</v>
      </c>
      <c r="N124" s="411">
        <f t="shared" ca="1" si="31"/>
        <v>40877334.963324547</v>
      </c>
      <c r="O124" s="411">
        <f t="shared" ca="1" si="31"/>
        <v>40043843.538230635</v>
      </c>
      <c r="P124" s="411">
        <f t="shared" ca="1" si="31"/>
        <v>39163336.645197488</v>
      </c>
      <c r="Q124" s="411">
        <f t="shared" ca="1" si="31"/>
        <v>38233162.242273629</v>
      </c>
      <c r="R124" s="411">
        <f t="shared" ca="1" si="31"/>
        <v>37250518.691495441</v>
      </c>
      <c r="S124" s="411">
        <f t="shared" ca="1" si="31"/>
        <v>36212446.320496209</v>
      </c>
      <c r="T124" s="411">
        <f t="shared" ca="1" si="31"/>
        <v>35115818.508123569</v>
      </c>
      <c r="U124" s="411">
        <f t="shared" ca="1" si="31"/>
        <v>0</v>
      </c>
      <c r="V124" s="389"/>
      <c r="W124" s="392" t="s">
        <v>65</v>
      </c>
    </row>
    <row r="125" spans="1:23" s="390" customFormat="1">
      <c r="A125" s="389"/>
      <c r="B125" s="389"/>
      <c r="C125" s="389"/>
      <c r="E125" s="389"/>
      <c r="F125" s="389"/>
      <c r="G125" s="389"/>
      <c r="H125" s="389"/>
      <c r="I125" s="795"/>
      <c r="J125" s="389"/>
      <c r="K125" s="703"/>
      <c r="L125" s="703"/>
      <c r="M125" s="703"/>
      <c r="N125" s="703" t="s">
        <v>255</v>
      </c>
      <c r="O125" s="703"/>
      <c r="P125" s="703"/>
      <c r="Q125" s="703"/>
      <c r="R125" s="703"/>
      <c r="S125" s="703"/>
      <c r="T125" s="703"/>
      <c r="U125" s="703"/>
      <c r="V125" s="389"/>
      <c r="W125" s="392" t="s">
        <v>65</v>
      </c>
    </row>
    <row r="126" spans="1:23" s="390" customFormat="1">
      <c r="A126" s="389"/>
      <c r="B126" s="389"/>
      <c r="C126" s="389"/>
      <c r="D126" s="707" t="s">
        <v>80</v>
      </c>
      <c r="E126" s="389"/>
      <c r="F126" s="785">
        <f>Assumptions!$E$68</f>
        <v>5.5E-2</v>
      </c>
      <c r="G126" s="389"/>
      <c r="H126" s="389"/>
      <c r="I126" s="795">
        <f ca="1">SUM(K126:U126)</f>
        <v>-16396900.112721531</v>
      </c>
      <c r="J126" s="389"/>
      <c r="K126" s="703"/>
      <c r="L126" s="703">
        <f>SUMIFS('Monthly-CF'!$L127:$EA127,'Monthly-CF'!$L$9:$EA$9,'Annual-CF'!L$9)</f>
        <v>0</v>
      </c>
      <c r="M126" s="703">
        <f>SUMIFS('Monthly-CF'!$L127:$EA127,'Monthly-CF'!$L$9:$EA$9,'Annual-CF'!M$9)</f>
        <v>0</v>
      </c>
      <c r="N126" s="703">
        <f ca="1">SUMIFS('Monthly-CF'!$L127:$EA127,'Monthly-CF'!$L$9:$EA$9,'Annual-CF'!N$9)</f>
        <v>-1890308.2391219011</v>
      </c>
      <c r="O126" s="703">
        <f ca="1">SUMIFS('Monthly-CF'!$L127:$EA127,'Monthly-CF'!$L$9:$EA$9,'Annual-CF'!O$9)</f>
        <v>-2227450.656293015</v>
      </c>
      <c r="P126" s="703">
        <f ca="1">SUMIFS('Monthly-CF'!$L127:$EA127,'Monthly-CF'!$L$9:$EA$9,'Annual-CF'!P$9)</f>
        <v>-2180435.188353776</v>
      </c>
      <c r="Q126" s="703">
        <f ca="1">SUMIFS('Monthly-CF'!$L127:$EA127,'Monthly-CF'!$L$9:$EA$9,'Annual-CF'!Q$9)</f>
        <v>-2130767.6784630609</v>
      </c>
      <c r="R126" s="703">
        <f ca="1">SUMIFS('Monthly-CF'!$L127:$EA127,'Monthly-CF'!$L$9:$EA$9,'Annual-CF'!R$9)</f>
        <v>-2078298.530608733</v>
      </c>
      <c r="S126" s="703">
        <f ca="1">SUMIFS('Monthly-CF'!$L127:$EA127,'Monthly-CF'!$L$9:$EA$9,'Annual-CF'!S$9)</f>
        <v>-2022869.71038769</v>
      </c>
      <c r="T126" s="703">
        <f ca="1">SUMIFS('Monthly-CF'!$L127:$EA127,'Monthly-CF'!$L$9:$EA$9,'Annual-CF'!T$9)</f>
        <v>-1964314.2690142838</v>
      </c>
      <c r="U126" s="703">
        <f ca="1">SUMIFS('Monthly-CF'!$L127:$EA127,'Monthly-CF'!$L$9:$EA$9,'Annual-CF'!U$9)</f>
        <v>-1902455.8404790726</v>
      </c>
      <c r="V126" s="389"/>
      <c r="W126" s="392" t="s">
        <v>65</v>
      </c>
    </row>
    <row r="127" spans="1:23" s="390" customFormat="1">
      <c r="A127" s="389"/>
      <c r="B127" s="389"/>
      <c r="C127" s="389"/>
      <c r="D127" s="901" t="s">
        <v>521</v>
      </c>
      <c r="E127" s="457"/>
      <c r="F127" s="389"/>
      <c r="G127" s="389"/>
      <c r="H127" s="389"/>
      <c r="I127" s="795"/>
      <c r="J127" s="389"/>
      <c r="K127" s="703"/>
      <c r="L127" s="900">
        <f t="shared" ref="L127:N127" ca="1" si="32">IFERROR((L97-L61)/-L126,0)</f>
        <v>0</v>
      </c>
      <c r="M127" s="900">
        <f t="shared" ca="1" si="32"/>
        <v>0</v>
      </c>
      <c r="N127" s="900">
        <f t="shared" ca="1" si="32"/>
        <v>1.6282180221096487</v>
      </c>
      <c r="O127" s="900">
        <f ca="1">IFERROR((O97-O61)/-O126,0)</f>
        <v>1.9430216465238992</v>
      </c>
      <c r="P127" s="900">
        <f t="shared" ref="P127:U127" ca="1" si="33">IFERROR((P97-P61)/-P126,0)</f>
        <v>2.0004346404615547</v>
      </c>
      <c r="Q127" s="900">
        <f t="shared" ca="1" si="33"/>
        <v>2.0566954675964593</v>
      </c>
      <c r="R127" s="900">
        <f t="shared" ca="1" si="33"/>
        <v>2.125750692734425</v>
      </c>
      <c r="S127" s="900">
        <f t="shared" ca="1" si="33"/>
        <v>2.2406533838807214</v>
      </c>
      <c r="T127" s="900">
        <f t="shared" ca="1" si="33"/>
        <v>2.2543802246886457</v>
      </c>
      <c r="U127" s="900">
        <f t="shared" ca="1" si="33"/>
        <v>2.3871718789293626</v>
      </c>
      <c r="V127" s="389"/>
      <c r="W127" s="392" t="s">
        <v>65</v>
      </c>
    </row>
    <row r="128" spans="1:23" s="390" customFormat="1">
      <c r="A128" s="389"/>
      <c r="B128" s="389"/>
      <c r="C128" s="389"/>
      <c r="D128" s="423" t="s">
        <v>111</v>
      </c>
      <c r="F128" s="431"/>
      <c r="G128" s="431"/>
      <c r="H128" s="431">
        <f ca="1">I128-'Monthly-CF'!I129</f>
        <v>0</v>
      </c>
      <c r="I128" s="806">
        <f ca="1">SUM(K128:U128)</f>
        <v>49098975.72215794</v>
      </c>
      <c r="J128" s="431"/>
      <c r="K128" s="751"/>
      <c r="L128" s="751">
        <f ca="1">L97+L108+L109+L115+L116+L121+L122+L123+L126+L111</f>
        <v>-21993702.11808202</v>
      </c>
      <c r="M128" s="751">
        <f t="shared" ref="M128:U128" ca="1" si="34">M97+M108+M109+M115+M116+M121+M122+M123+M126+M111</f>
        <v>726160.52931782976</v>
      </c>
      <c r="N128" s="751">
        <f t="shared" ca="1" si="34"/>
        <v>9334759.2249691319</v>
      </c>
      <c r="O128" s="751">
        <f t="shared" ca="1" si="34"/>
        <v>1267042.7603542693</v>
      </c>
      <c r="P128" s="751">
        <f t="shared" ca="1" si="34"/>
        <v>1300876.0006772848</v>
      </c>
      <c r="Q128" s="751">
        <f t="shared" ca="1" si="34"/>
        <v>1321398.145409083</v>
      </c>
      <c r="R128" s="751">
        <f t="shared" ca="1" si="34"/>
        <v>1357002.4597635276</v>
      </c>
      <c r="S128" s="751">
        <f t="shared" ca="1" si="34"/>
        <v>1471607.7803430688</v>
      </c>
      <c r="T128" s="751">
        <f t="shared" ca="1" si="34"/>
        <v>1367369.1617526102</v>
      </c>
      <c r="U128" s="751">
        <f t="shared" ca="1" si="34"/>
        <v>52946461.777653165</v>
      </c>
      <c r="V128" s="389"/>
      <c r="W128" s="392" t="s">
        <v>65</v>
      </c>
    </row>
    <row r="129" spans="1:23" s="390" customFormat="1">
      <c r="A129" s="389"/>
      <c r="B129" s="389"/>
      <c r="C129" s="389"/>
      <c r="D129" s="389"/>
      <c r="E129" s="573"/>
      <c r="F129" s="573"/>
      <c r="G129" s="573"/>
      <c r="H129" s="573"/>
      <c r="I129" s="902"/>
      <c r="J129" s="573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92" t="s">
        <v>65</v>
      </c>
    </row>
    <row r="130" spans="1:23" s="390" customFormat="1">
      <c r="A130" s="389"/>
      <c r="B130" s="389"/>
      <c r="C130" s="389"/>
      <c r="D130" s="389"/>
      <c r="I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92" t="s">
        <v>65</v>
      </c>
    </row>
    <row r="131" spans="1:23" s="390" customFormat="1">
      <c r="A131" s="389"/>
      <c r="B131" s="389"/>
      <c r="C131" s="389"/>
      <c r="D131" s="389"/>
      <c r="E131" s="389"/>
      <c r="F131" s="389"/>
      <c r="G131" s="389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92" t="s">
        <v>65</v>
      </c>
    </row>
    <row r="132" spans="1:23" s="390" customFormat="1">
      <c r="A132" s="389"/>
      <c r="B132" s="389"/>
      <c r="C132" s="389"/>
      <c r="D132" s="389" t="s">
        <v>519</v>
      </c>
      <c r="E132" s="389"/>
      <c r="F132" s="389"/>
      <c r="G132" s="389"/>
      <c r="H132" s="389"/>
      <c r="I132" s="408">
        <f ca="1">SUM(K132:U132)</f>
        <v>49098975.722157955</v>
      </c>
      <c r="J132" s="408"/>
      <c r="K132" s="408"/>
      <c r="L132" s="408">
        <f ca="1">SUMIFS('Monthly-CF'!$L$129:$EA$129,'Monthly-CF'!$L$9:$EA$9,'Annual-CF'!L9)</f>
        <v>-21993702.118082017</v>
      </c>
      <c r="M132" s="408">
        <f ca="1">SUMIFS('Monthly-CF'!$L$129:$EA$129,'Monthly-CF'!$L$9:$EA$9,'Annual-CF'!M9)</f>
        <v>726160.52931783197</v>
      </c>
      <c r="N132" s="408">
        <f ca="1">SUMIFS('Monthly-CF'!$L$129:$EA$129,'Monthly-CF'!$L$9:$EA$9,'Annual-CF'!N9)</f>
        <v>9334759.2249691356</v>
      </c>
      <c r="O132" s="408">
        <f ca="1">SUMIFS('Monthly-CF'!$L$129:$EA$129,'Monthly-CF'!$L$9:$EA$9,'Annual-CF'!O9)</f>
        <v>1267042.7603542707</v>
      </c>
      <c r="P132" s="408">
        <f ca="1">SUMIFS('Monthly-CF'!$L$129:$EA$129,'Monthly-CF'!$L$9:$EA$9,'Annual-CF'!P9)</f>
        <v>1300876.0006772841</v>
      </c>
      <c r="Q132" s="408">
        <f ca="1">SUMIFS('Monthly-CF'!$L$129:$EA$129,'Monthly-CF'!$L$9:$EA$9,'Annual-CF'!Q9)</f>
        <v>1321398.1454090823</v>
      </c>
      <c r="R132" s="408">
        <f ca="1">SUMIFS('Monthly-CF'!$L$129:$EA$129,'Monthly-CF'!$L$9:$EA$9,'Annual-CF'!R9)</f>
        <v>1357002.4597635269</v>
      </c>
      <c r="S132" s="408">
        <f ca="1">SUMIFS('Monthly-CF'!$L$129:$EA$129,'Monthly-CF'!$L$9:$EA$9,'Annual-CF'!S9)</f>
        <v>1471607.7803430681</v>
      </c>
      <c r="T132" s="408">
        <f ca="1">SUMIFS('Monthly-CF'!$L$129:$EA$129,'Monthly-CF'!$L$9:$EA$9,'Annual-CF'!T9)</f>
        <v>1367369.1617526102</v>
      </c>
      <c r="U132" s="408">
        <f ca="1">SUMIFS('Monthly-CF'!$L$129:$EA$129,'Monthly-CF'!$L$9:$EA$9,'Annual-CF'!U9)</f>
        <v>52946461.777653173</v>
      </c>
      <c r="V132" s="389"/>
      <c r="W132" s="392" t="s">
        <v>65</v>
      </c>
    </row>
    <row r="133" spans="1:23" s="390" customFormat="1">
      <c r="A133" s="389"/>
      <c r="B133" s="389"/>
      <c r="C133" s="389"/>
      <c r="D133" s="389" t="s">
        <v>128</v>
      </c>
      <c r="E133" s="389"/>
      <c r="F133" s="389"/>
      <c r="G133" s="389"/>
      <c r="H133" s="389"/>
      <c r="I133" s="408">
        <f ca="1">I128-I132</f>
        <v>0</v>
      </c>
      <c r="J133" s="408"/>
      <c r="K133" s="408"/>
      <c r="L133" s="408">
        <f t="shared" ref="L133:U133" ca="1" si="35">L128-L132</f>
        <v>0</v>
      </c>
      <c r="M133" s="408">
        <f t="shared" ca="1" si="35"/>
        <v>-2.2118911147117615E-9</v>
      </c>
      <c r="N133" s="408">
        <f t="shared" ca="1" si="35"/>
        <v>0</v>
      </c>
      <c r="O133" s="408">
        <f t="shared" ca="1" si="35"/>
        <v>0</v>
      </c>
      <c r="P133" s="408">
        <f t="shared" ca="1" si="35"/>
        <v>0</v>
      </c>
      <c r="Q133" s="408">
        <f t="shared" ca="1" si="35"/>
        <v>0</v>
      </c>
      <c r="R133" s="408">
        <f t="shared" ca="1" si="35"/>
        <v>0</v>
      </c>
      <c r="S133" s="408">
        <f t="shared" ca="1" si="35"/>
        <v>0</v>
      </c>
      <c r="T133" s="408">
        <f t="shared" ca="1" si="35"/>
        <v>0</v>
      </c>
      <c r="U133" s="408">
        <f t="shared" ca="1" si="35"/>
        <v>0</v>
      </c>
      <c r="V133" s="389"/>
      <c r="W133" s="392" t="s">
        <v>65</v>
      </c>
    </row>
    <row r="134" spans="1:23" s="390" customFormat="1">
      <c r="A134" s="389"/>
      <c r="B134" s="389"/>
      <c r="C134" s="389"/>
      <c r="D134" s="389"/>
      <c r="E134" s="389"/>
      <c r="F134" s="389"/>
      <c r="G134" s="389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92" t="s">
        <v>65</v>
      </c>
    </row>
    <row r="135" spans="1:23" s="390" customFormat="1">
      <c r="A135" s="389"/>
      <c r="B135" s="389"/>
      <c r="C135" s="389"/>
      <c r="D135" s="389"/>
      <c r="E135" s="389"/>
      <c r="F135" s="389"/>
      <c r="G135" s="389"/>
      <c r="H135" s="389"/>
      <c r="I135" s="389"/>
      <c r="J135" s="389"/>
      <c r="K135" s="389"/>
      <c r="L135" s="389"/>
      <c r="M135" s="389"/>
      <c r="N135" s="1451">
        <f ca="1">N128/Dashboard!$D$43</f>
        <v>0.42442873759277683</v>
      </c>
      <c r="O135" s="1451">
        <f ca="1">O128/Dashboard!$D$43</f>
        <v>5.7609344418308554E-2</v>
      </c>
      <c r="P135" s="1451">
        <f ca="1">P128/Dashboard!$D$43</f>
        <v>5.9147659347799197E-2</v>
      </c>
      <c r="Q135" s="1451">
        <f ca="1">Q128/Dashboard!$D$43</f>
        <v>6.0080751222082882E-2</v>
      </c>
      <c r="R135" s="1451">
        <f ca="1">R128/Dashboard!$D$43</f>
        <v>6.1699592568723323E-2</v>
      </c>
      <c r="S135" s="1451">
        <f ca="1">S128/Dashboard!$D$43</f>
        <v>6.6910417011294951E-2</v>
      </c>
      <c r="T135" s="1451">
        <f ca="1">T128/Dashboard!$D$43</f>
        <v>6.2170941227235876E-2</v>
      </c>
      <c r="U135" s="389"/>
      <c r="V135" s="389"/>
      <c r="W135" s="392" t="s">
        <v>65</v>
      </c>
    </row>
    <row r="136" spans="1:23" s="390" customFormat="1">
      <c r="A136" s="389"/>
      <c r="B136" s="389"/>
      <c r="C136" s="389"/>
      <c r="D136" s="389"/>
      <c r="E136" s="389"/>
      <c r="F136" s="389"/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92" t="s">
        <v>65</v>
      </c>
    </row>
    <row r="137" spans="1:23" s="390" customFormat="1">
      <c r="A137" s="389"/>
      <c r="B137" s="389"/>
      <c r="C137" s="389"/>
      <c r="D137" s="389"/>
      <c r="E137" s="389"/>
      <c r="F137" s="389"/>
      <c r="G137" s="389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92" t="s">
        <v>65</v>
      </c>
    </row>
    <row r="138" spans="1:23" s="390" customFormat="1">
      <c r="A138" s="389"/>
      <c r="B138" s="389"/>
      <c r="C138" s="389"/>
      <c r="D138" s="389"/>
      <c r="E138" s="389"/>
      <c r="F138" s="389"/>
      <c r="G138" s="389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92" t="s">
        <v>65</v>
      </c>
    </row>
    <row r="139" spans="1:23" s="390" customFormat="1">
      <c r="A139" s="389"/>
      <c r="B139" s="389"/>
      <c r="C139" s="389"/>
      <c r="D139" s="389"/>
      <c r="E139" s="389"/>
      <c r="F139" s="389"/>
      <c r="G139" s="389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92" t="s">
        <v>65</v>
      </c>
    </row>
    <row r="140" spans="1:23" s="390" customFormat="1">
      <c r="A140" s="389"/>
      <c r="B140" s="389"/>
      <c r="C140" s="389"/>
      <c r="D140" s="389"/>
      <c r="E140" s="389"/>
      <c r="F140" s="389"/>
      <c r="G140" s="389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92" t="s">
        <v>65</v>
      </c>
    </row>
    <row r="141" spans="1:23" s="390" customFormat="1">
      <c r="A141" s="389"/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92"/>
    </row>
    <row r="142" spans="1:23" s="390" customFormat="1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92"/>
    </row>
    <row r="143" spans="1:23" s="390" customFormat="1">
      <c r="A143" s="389"/>
      <c r="B143" s="389"/>
      <c r="C143" s="389"/>
      <c r="D143" s="389"/>
      <c r="E143" s="389"/>
      <c r="F143" s="389"/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92"/>
    </row>
    <row r="144" spans="1:23" s="390" customFormat="1">
      <c r="A144" s="389"/>
      <c r="B144" s="389"/>
      <c r="C144" s="389"/>
      <c r="D144" s="389"/>
      <c r="E144" s="389"/>
      <c r="F144" s="389"/>
      <c r="G144" s="389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92"/>
    </row>
  </sheetData>
  <pageMargins left="0.7" right="0.7" top="0.75" bottom="0.75" header="0.3" footer="0.3"/>
  <pageSetup scale="1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F7C2-2B57-45A3-8746-2E9E7A01A5F6}">
  <sheetPr>
    <tabColor rgb="FF1C476E"/>
  </sheetPr>
  <dimension ref="A1:EP212"/>
  <sheetViews>
    <sheetView showGridLines="0" zoomScale="85" zoomScaleNormal="80" zoomScaleSheetLayoutView="85" workbookViewId="0">
      <pane xSplit="10" ySplit="10" topLeftCell="R11" activePane="bottomRight" state="frozen"/>
      <selection activeCell="Q43" sqref="Q43"/>
      <selection pane="topRight" activeCell="Q43" sqref="Q43"/>
      <selection pane="bottomLeft" activeCell="Q43" sqref="Q43"/>
      <selection pane="bottomRight" activeCell="AF37" sqref="AF37"/>
    </sheetView>
  </sheetViews>
  <sheetFormatPr defaultColWidth="8.85546875" defaultRowHeight="12.75" outlineLevelRow="1"/>
  <cols>
    <col min="1" max="1" width="1.7109375" style="462" customWidth="1"/>
    <col min="2" max="2" width="3.42578125" style="462" customWidth="1"/>
    <col min="3" max="3" width="3.140625" style="462" customWidth="1"/>
    <col min="4" max="4" width="28.7109375" style="462" customWidth="1"/>
    <col min="5" max="5" width="20" style="462" customWidth="1"/>
    <col min="6" max="6" width="17" style="462" bestFit="1" customWidth="1"/>
    <col min="7" max="7" width="13.7109375" style="462" customWidth="1"/>
    <col min="8" max="8" width="11.42578125" style="462" customWidth="1"/>
    <col min="9" max="9" width="17.42578125" style="462" customWidth="1"/>
    <col min="10" max="10" width="1.5703125" style="389" customWidth="1"/>
    <col min="11" max="46" width="14.42578125" style="462" customWidth="1"/>
    <col min="47" max="47" width="15.140625" style="462" bestFit="1" customWidth="1"/>
    <col min="48" max="131" width="14.42578125" style="462" customWidth="1"/>
    <col min="132" max="132" width="4.42578125" style="462" customWidth="1"/>
    <col min="133" max="133" width="16.7109375" style="392" customWidth="1"/>
    <col min="134" max="134" width="13.140625" style="392" bestFit="1" customWidth="1"/>
    <col min="135" max="16384" width="8.85546875" style="392"/>
  </cols>
  <sheetData>
    <row r="1" spans="1:146" s="390" customFormat="1">
      <c r="A1" s="389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  <c r="BS1" s="389"/>
      <c r="BT1" s="389"/>
      <c r="BU1" s="389"/>
      <c r="BV1" s="389"/>
      <c r="BW1" s="389"/>
      <c r="BX1" s="389"/>
      <c r="BY1" s="389"/>
      <c r="BZ1" s="389"/>
      <c r="CA1" s="389"/>
      <c r="CB1" s="389"/>
      <c r="CC1" s="389"/>
      <c r="CD1" s="389"/>
      <c r="CE1" s="389"/>
      <c r="CF1" s="389"/>
      <c r="CG1" s="389"/>
      <c r="CH1" s="389"/>
      <c r="CI1" s="389"/>
      <c r="CJ1" s="389"/>
      <c r="CK1" s="389"/>
      <c r="CL1" s="389"/>
      <c r="CM1" s="389"/>
      <c r="CN1" s="389"/>
      <c r="CO1" s="389"/>
      <c r="CP1" s="389"/>
      <c r="CQ1" s="389"/>
      <c r="CR1" s="389"/>
      <c r="CS1" s="389"/>
      <c r="CT1" s="389"/>
      <c r="CU1" s="389"/>
      <c r="CV1" s="389"/>
      <c r="CW1" s="389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DH1" s="389"/>
      <c r="DI1" s="389"/>
      <c r="DJ1" s="389"/>
      <c r="DK1" s="389"/>
      <c r="DL1" s="389"/>
      <c r="DM1" s="389"/>
      <c r="DN1" s="389"/>
      <c r="DO1" s="389"/>
      <c r="DP1" s="389"/>
      <c r="DQ1" s="389"/>
      <c r="DR1" s="389"/>
      <c r="DS1" s="389"/>
      <c r="DT1" s="389"/>
      <c r="DU1" s="389"/>
      <c r="DV1" s="389"/>
      <c r="DW1" s="389"/>
      <c r="DX1" s="389"/>
      <c r="DY1" s="389"/>
      <c r="DZ1" s="389"/>
      <c r="EA1" s="389"/>
      <c r="EB1" s="389"/>
      <c r="EC1" s="392" t="s">
        <v>65</v>
      </c>
    </row>
    <row r="2" spans="1:146" s="390" customForma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  <c r="AQ2" s="389"/>
      <c r="AR2" s="389"/>
      <c r="AS2" s="389"/>
      <c r="AT2" s="389"/>
      <c r="AU2" s="389"/>
      <c r="AV2" s="389"/>
      <c r="AW2" s="389"/>
      <c r="AX2" s="389"/>
      <c r="AY2" s="389"/>
      <c r="AZ2" s="389"/>
      <c r="BA2" s="389"/>
      <c r="BB2" s="389"/>
      <c r="BC2" s="389"/>
      <c r="BD2" s="389"/>
      <c r="BE2" s="389"/>
      <c r="BF2" s="389"/>
      <c r="BG2" s="389"/>
      <c r="BH2" s="389"/>
      <c r="BI2" s="389"/>
      <c r="BJ2" s="389"/>
      <c r="BK2" s="389"/>
      <c r="BL2" s="389"/>
      <c r="BM2" s="389"/>
      <c r="BN2" s="389"/>
      <c r="BO2" s="389"/>
      <c r="BP2" s="389"/>
      <c r="BQ2" s="389"/>
      <c r="BR2" s="389"/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89"/>
      <c r="CD2" s="389"/>
      <c r="CE2" s="389"/>
      <c r="CF2" s="389"/>
      <c r="CG2" s="389"/>
      <c r="CH2" s="389"/>
      <c r="CI2" s="389"/>
      <c r="CJ2" s="389"/>
      <c r="CK2" s="389"/>
      <c r="CL2" s="389"/>
      <c r="CM2" s="389"/>
      <c r="CN2" s="389"/>
      <c r="CO2" s="389"/>
      <c r="CP2" s="389"/>
      <c r="CQ2" s="389"/>
      <c r="CR2" s="389"/>
      <c r="CS2" s="389"/>
      <c r="CT2" s="389"/>
      <c r="CU2" s="389"/>
      <c r="CV2" s="389"/>
      <c r="CW2" s="389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DH2" s="389"/>
      <c r="DI2" s="389"/>
      <c r="DJ2" s="389"/>
      <c r="DK2" s="389"/>
      <c r="DL2" s="389"/>
      <c r="DM2" s="389"/>
      <c r="DN2" s="389"/>
      <c r="DO2" s="389"/>
      <c r="DP2" s="389"/>
      <c r="DQ2" s="389"/>
      <c r="DR2" s="389"/>
      <c r="DS2" s="389"/>
      <c r="DT2" s="389"/>
      <c r="DU2" s="389"/>
      <c r="DV2" s="389"/>
      <c r="DW2" s="389"/>
      <c r="DX2" s="389"/>
      <c r="DY2" s="389"/>
      <c r="DZ2" s="389"/>
      <c r="EA2" s="389"/>
      <c r="EB2" s="389"/>
      <c r="EC2" s="392" t="s">
        <v>65</v>
      </c>
    </row>
    <row r="3" spans="1:146" s="390" customFormat="1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389"/>
      <c r="BW3" s="389"/>
      <c r="BX3" s="389"/>
      <c r="BY3" s="389"/>
      <c r="BZ3" s="389"/>
      <c r="CA3" s="389"/>
      <c r="CB3" s="389"/>
      <c r="CC3" s="389"/>
      <c r="CD3" s="389"/>
      <c r="CE3" s="389"/>
      <c r="CF3" s="389"/>
      <c r="CG3" s="389"/>
      <c r="CH3" s="389"/>
      <c r="CI3" s="389"/>
      <c r="CJ3" s="389"/>
      <c r="CK3" s="389"/>
      <c r="CL3" s="389"/>
      <c r="CM3" s="389"/>
      <c r="CN3" s="389"/>
      <c r="CO3" s="389"/>
      <c r="CP3" s="389"/>
      <c r="CQ3" s="389"/>
      <c r="CR3" s="389"/>
      <c r="CS3" s="389"/>
      <c r="CT3" s="389"/>
      <c r="CU3" s="389"/>
      <c r="CV3" s="389"/>
      <c r="CW3" s="389"/>
      <c r="CX3" s="389"/>
      <c r="CY3" s="389"/>
      <c r="CZ3" s="389"/>
      <c r="DA3" s="389"/>
      <c r="DB3" s="389"/>
      <c r="DC3" s="389"/>
      <c r="DD3" s="389"/>
      <c r="DE3" s="389"/>
      <c r="DF3" s="389"/>
      <c r="DG3" s="389"/>
      <c r="DH3" s="389"/>
      <c r="DI3" s="389"/>
      <c r="DJ3" s="389"/>
      <c r="DK3" s="389"/>
      <c r="DL3" s="389"/>
      <c r="DM3" s="389"/>
      <c r="DN3" s="389"/>
      <c r="DO3" s="389"/>
      <c r="DP3" s="389"/>
      <c r="DQ3" s="389"/>
      <c r="DR3" s="389"/>
      <c r="DS3" s="389"/>
      <c r="DT3" s="389"/>
      <c r="DU3" s="389"/>
      <c r="DV3" s="389"/>
      <c r="DW3" s="389"/>
      <c r="DX3" s="389"/>
      <c r="DY3" s="389"/>
      <c r="DZ3" s="389"/>
      <c r="EA3" s="389"/>
      <c r="EB3" s="389"/>
      <c r="EC3" s="392" t="s">
        <v>65</v>
      </c>
    </row>
    <row r="4" spans="1:146" s="390" customForma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  <c r="BF4" s="389"/>
      <c r="BG4" s="389"/>
      <c r="BH4" s="389"/>
      <c r="BI4" s="389"/>
      <c r="BJ4" s="389"/>
      <c r="BK4" s="389"/>
      <c r="BL4" s="389"/>
      <c r="BM4" s="389"/>
      <c r="BN4" s="389"/>
      <c r="BO4" s="389"/>
      <c r="BP4" s="389"/>
      <c r="BQ4" s="389"/>
      <c r="BR4" s="389"/>
      <c r="BS4" s="389"/>
      <c r="BT4" s="389"/>
      <c r="BU4" s="389"/>
      <c r="BV4" s="389"/>
      <c r="BW4" s="389"/>
      <c r="BX4" s="389"/>
      <c r="BY4" s="389"/>
      <c r="BZ4" s="389"/>
      <c r="CA4" s="389"/>
      <c r="CB4" s="389"/>
      <c r="CC4" s="389"/>
      <c r="CD4" s="389"/>
      <c r="CE4" s="389"/>
      <c r="CF4" s="389"/>
      <c r="CG4" s="389"/>
      <c r="CH4" s="389"/>
      <c r="CI4" s="389"/>
      <c r="CJ4" s="389"/>
      <c r="CK4" s="389"/>
      <c r="CL4" s="389"/>
      <c r="CM4" s="389"/>
      <c r="CN4" s="389"/>
      <c r="CO4" s="389"/>
      <c r="CP4" s="389"/>
      <c r="CQ4" s="389"/>
      <c r="CR4" s="389"/>
      <c r="CS4" s="389"/>
      <c r="CT4" s="389"/>
      <c r="CU4" s="389"/>
      <c r="CV4" s="389"/>
      <c r="CW4" s="389"/>
      <c r="CX4" s="389"/>
      <c r="CY4" s="389"/>
      <c r="CZ4" s="389"/>
      <c r="DA4" s="389"/>
      <c r="DB4" s="389"/>
      <c r="DC4" s="389"/>
      <c r="DD4" s="389"/>
      <c r="DE4" s="389"/>
      <c r="DF4" s="389"/>
      <c r="DG4" s="389"/>
      <c r="DH4" s="389"/>
      <c r="DI4" s="389"/>
      <c r="DJ4" s="389"/>
      <c r="DK4" s="389"/>
      <c r="DL4" s="389"/>
      <c r="DM4" s="389"/>
      <c r="DN4" s="389"/>
      <c r="DO4" s="389"/>
      <c r="DP4" s="389"/>
      <c r="DQ4" s="389"/>
      <c r="DR4" s="389"/>
      <c r="DS4" s="389"/>
      <c r="DT4" s="389"/>
      <c r="DU4" s="389"/>
      <c r="DV4" s="389"/>
      <c r="DW4" s="389"/>
      <c r="DX4" s="389"/>
      <c r="DY4" s="389"/>
      <c r="DZ4" s="389"/>
      <c r="EA4" s="389"/>
      <c r="EB4" s="389"/>
      <c r="EC4" s="392" t="s">
        <v>65</v>
      </c>
    </row>
    <row r="5" spans="1:146">
      <c r="A5" s="391"/>
      <c r="B5" s="391"/>
      <c r="C5" s="697" t="s">
        <v>484</v>
      </c>
      <c r="D5" s="697"/>
      <c r="E5" s="697"/>
      <c r="F5" s="697"/>
      <c r="G5" s="697"/>
      <c r="H5" s="697"/>
      <c r="I5" s="697"/>
      <c r="J5" s="1839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  <c r="Y5" s="697"/>
      <c r="Z5" s="697"/>
      <c r="AA5" s="697"/>
      <c r="AB5" s="697"/>
      <c r="AC5" s="697"/>
      <c r="AD5" s="697"/>
      <c r="AE5" s="697"/>
      <c r="AF5" s="697"/>
      <c r="AG5" s="697"/>
      <c r="AH5" s="697"/>
      <c r="AI5" s="697"/>
      <c r="AJ5" s="697"/>
      <c r="AK5" s="697"/>
      <c r="AL5" s="697"/>
      <c r="AM5" s="697"/>
      <c r="AN5" s="697"/>
      <c r="AO5" s="697"/>
      <c r="AP5" s="697"/>
      <c r="AQ5" s="697"/>
      <c r="AR5" s="697"/>
      <c r="AS5" s="697"/>
      <c r="AT5" s="697"/>
      <c r="AU5" s="697"/>
      <c r="AV5" s="697"/>
      <c r="AW5" s="697"/>
      <c r="AX5" s="697"/>
      <c r="AY5" s="697"/>
      <c r="AZ5" s="697"/>
      <c r="BA5" s="697"/>
      <c r="BB5" s="697"/>
      <c r="BC5" s="697"/>
      <c r="BD5" s="697"/>
      <c r="BE5" s="697"/>
      <c r="BF5" s="697"/>
      <c r="BG5" s="697"/>
      <c r="BH5" s="697"/>
      <c r="BI5" s="697"/>
      <c r="BJ5" s="697"/>
      <c r="BK5" s="697"/>
      <c r="BL5" s="697"/>
      <c r="BM5" s="697"/>
      <c r="BN5" s="697"/>
      <c r="BO5" s="697"/>
      <c r="BP5" s="697"/>
      <c r="BQ5" s="697"/>
      <c r="BR5" s="697"/>
      <c r="BS5" s="697"/>
      <c r="BT5" s="697"/>
      <c r="BU5" s="697"/>
      <c r="BV5" s="697"/>
      <c r="BW5" s="697"/>
      <c r="BX5" s="697"/>
      <c r="BY5" s="697"/>
      <c r="BZ5" s="697"/>
      <c r="CA5" s="697"/>
      <c r="CB5" s="697"/>
      <c r="CC5" s="697"/>
      <c r="CD5" s="697"/>
      <c r="CE5" s="697"/>
      <c r="CF5" s="697"/>
      <c r="CG5" s="697"/>
      <c r="CH5" s="697"/>
      <c r="CI5" s="697"/>
      <c r="CJ5" s="697"/>
      <c r="CK5" s="697"/>
      <c r="CL5" s="697"/>
      <c r="CM5" s="697"/>
      <c r="CN5" s="697"/>
      <c r="CO5" s="697"/>
      <c r="CP5" s="697"/>
      <c r="CQ5" s="697"/>
      <c r="CR5" s="697"/>
      <c r="CS5" s="697"/>
      <c r="CT5" s="697"/>
      <c r="CU5" s="697"/>
      <c r="CV5" s="697"/>
      <c r="CW5" s="697"/>
      <c r="CX5" s="697"/>
      <c r="CY5" s="697"/>
      <c r="CZ5" s="697"/>
      <c r="DA5" s="697"/>
      <c r="DB5" s="697"/>
      <c r="DC5" s="697"/>
      <c r="DD5" s="697"/>
      <c r="DE5" s="697"/>
      <c r="DF5" s="697"/>
      <c r="DG5" s="697"/>
      <c r="DH5" s="697"/>
      <c r="DI5" s="697"/>
      <c r="DJ5" s="697"/>
      <c r="DK5" s="697"/>
      <c r="DL5" s="697"/>
      <c r="DM5" s="697"/>
      <c r="DN5" s="697"/>
      <c r="DO5" s="697"/>
      <c r="DP5" s="697"/>
      <c r="DQ5" s="697"/>
      <c r="DR5" s="697"/>
      <c r="DS5" s="697"/>
      <c r="DT5" s="697"/>
      <c r="DU5" s="697"/>
      <c r="DV5" s="697"/>
      <c r="DW5" s="697"/>
      <c r="DX5" s="697"/>
      <c r="DY5" s="697"/>
      <c r="DZ5" s="697"/>
      <c r="EA5" s="697"/>
      <c r="EB5" s="697"/>
      <c r="EC5" s="392" t="s">
        <v>65</v>
      </c>
    </row>
    <row r="6" spans="1:146" s="390" customFormat="1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393"/>
      <c r="BT6" s="393"/>
      <c r="BU6" s="393"/>
      <c r="BV6" s="393"/>
      <c r="BW6" s="393"/>
      <c r="BX6" s="393"/>
      <c r="BY6" s="393"/>
      <c r="BZ6" s="393"/>
      <c r="CA6" s="393"/>
      <c r="CB6" s="393"/>
      <c r="CC6" s="393"/>
      <c r="CD6" s="393"/>
      <c r="CE6" s="393"/>
      <c r="CF6" s="393"/>
      <c r="CG6" s="393"/>
      <c r="CH6" s="393"/>
      <c r="CI6" s="393"/>
      <c r="CJ6" s="393"/>
      <c r="CK6" s="393"/>
      <c r="CL6" s="393"/>
      <c r="CM6" s="393"/>
      <c r="CN6" s="393"/>
      <c r="CO6" s="393"/>
      <c r="CP6" s="393"/>
      <c r="CQ6" s="393"/>
      <c r="CR6" s="393"/>
      <c r="CS6" s="393"/>
      <c r="CT6" s="393"/>
      <c r="CU6" s="393"/>
      <c r="CV6" s="393"/>
      <c r="CW6" s="393"/>
      <c r="CX6" s="393"/>
      <c r="CY6" s="393"/>
      <c r="CZ6" s="393"/>
      <c r="DA6" s="393"/>
      <c r="DB6" s="393"/>
      <c r="DC6" s="393"/>
      <c r="DD6" s="393"/>
      <c r="DE6" s="393"/>
      <c r="DF6" s="393"/>
      <c r="DG6" s="393"/>
      <c r="DH6" s="393"/>
      <c r="DI6" s="393"/>
      <c r="DJ6" s="393"/>
      <c r="DK6" s="393"/>
      <c r="DL6" s="393"/>
      <c r="DM6" s="393"/>
      <c r="DN6" s="393"/>
      <c r="DO6" s="393"/>
      <c r="DP6" s="393"/>
      <c r="DQ6" s="393"/>
      <c r="DR6" s="393"/>
      <c r="DS6" s="393"/>
      <c r="DT6" s="393"/>
      <c r="DU6" s="393"/>
      <c r="DV6" s="393"/>
      <c r="DW6" s="393"/>
      <c r="DX6" s="393"/>
      <c r="DY6" s="393"/>
      <c r="DZ6" s="393"/>
      <c r="EA6" s="393"/>
      <c r="EB6" s="389"/>
      <c r="EC6" s="392" t="s">
        <v>65</v>
      </c>
    </row>
    <row r="7" spans="1:146" ht="15">
      <c r="A7" s="389"/>
      <c r="B7" s="389"/>
      <c r="C7" s="392"/>
      <c r="D7" s="392"/>
      <c r="E7" s="392"/>
      <c r="F7" s="392"/>
      <c r="G7" s="392"/>
      <c r="H7" s="392"/>
      <c r="I7" s="392"/>
      <c r="J7" s="390"/>
      <c r="K7" s="392"/>
      <c r="L7" s="392"/>
      <c r="M7" s="392"/>
      <c r="N7" s="392"/>
      <c r="O7" s="389"/>
      <c r="P7" s="389"/>
      <c r="Q7" s="389"/>
      <c r="R7" s="389"/>
      <c r="S7" s="392"/>
      <c r="T7" s="392"/>
      <c r="U7" s="392"/>
      <c r="V7" s="392"/>
      <c r="W7" s="389"/>
      <c r="X7" s="76"/>
      <c r="Y7" s="76"/>
      <c r="Z7" s="602"/>
      <c r="AA7" s="603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  <c r="AM7" s="389"/>
      <c r="AN7" s="389"/>
      <c r="AO7" s="389"/>
      <c r="AP7" s="389"/>
      <c r="AQ7" s="389"/>
      <c r="AR7" s="389"/>
      <c r="AS7" s="389"/>
      <c r="AT7" s="389"/>
      <c r="AU7" s="389"/>
      <c r="AV7" s="389"/>
      <c r="AW7" s="389"/>
      <c r="AX7" s="389"/>
      <c r="AY7" s="389"/>
      <c r="AZ7" s="389"/>
      <c r="BA7" s="389"/>
      <c r="BB7" s="389"/>
      <c r="BC7" s="389"/>
      <c r="BD7" s="389"/>
      <c r="BE7" s="389"/>
      <c r="BF7" s="389"/>
      <c r="BG7" s="389"/>
      <c r="BH7" s="389"/>
      <c r="BI7" s="389"/>
      <c r="BJ7" s="389"/>
      <c r="BK7" s="389"/>
      <c r="BL7" s="389"/>
      <c r="BM7" s="389"/>
      <c r="BN7" s="389"/>
      <c r="BO7" s="389"/>
      <c r="BP7" s="389"/>
      <c r="BQ7" s="389"/>
      <c r="BR7" s="389"/>
      <c r="BS7" s="389"/>
      <c r="BT7" s="389"/>
      <c r="BU7" s="389"/>
      <c r="BV7" s="389"/>
      <c r="BW7" s="389"/>
      <c r="BX7" s="389"/>
      <c r="BY7" s="389"/>
      <c r="BZ7" s="389"/>
      <c r="CA7" s="389"/>
      <c r="CB7" s="389"/>
      <c r="CC7" s="389"/>
      <c r="CD7" s="389"/>
      <c r="CE7" s="389"/>
      <c r="CF7" s="389"/>
      <c r="CG7" s="389"/>
      <c r="CH7" s="389"/>
      <c r="CI7" s="389"/>
      <c r="CJ7" s="389"/>
      <c r="CK7" s="389"/>
      <c r="CL7" s="389"/>
      <c r="CM7" s="389"/>
      <c r="CN7" s="389"/>
      <c r="CO7" s="389"/>
      <c r="CP7" s="389"/>
      <c r="CQ7" s="389"/>
      <c r="CR7" s="389"/>
      <c r="CS7" s="389"/>
      <c r="CT7" s="389"/>
      <c r="CU7" s="389"/>
      <c r="CV7" s="389"/>
      <c r="CW7" s="389"/>
      <c r="CX7" s="389"/>
      <c r="CY7" s="389"/>
      <c r="CZ7" s="389"/>
      <c r="DA7" s="389"/>
      <c r="DB7" s="389"/>
      <c r="DC7" s="389"/>
      <c r="DD7" s="389"/>
      <c r="DE7" s="389"/>
      <c r="DF7" s="389"/>
      <c r="DG7" s="389"/>
      <c r="DH7" s="389"/>
      <c r="DI7" s="389"/>
      <c r="DJ7" s="389"/>
      <c r="DK7" s="389"/>
      <c r="DL7" s="389"/>
      <c r="DM7" s="389"/>
      <c r="DN7" s="389"/>
      <c r="DO7" s="389"/>
      <c r="DP7" s="389"/>
      <c r="DQ7" s="389"/>
      <c r="DR7" s="389"/>
      <c r="DS7" s="389"/>
      <c r="DT7" s="389"/>
      <c r="DU7" s="389"/>
      <c r="DV7" s="389"/>
      <c r="DW7" s="389"/>
      <c r="DX7" s="389"/>
      <c r="DY7" s="389"/>
      <c r="DZ7" s="389"/>
      <c r="EA7" s="389"/>
      <c r="EB7" s="389"/>
      <c r="EC7" s="392" t="s">
        <v>65</v>
      </c>
      <c r="ED7" s="390"/>
      <c r="EE7" s="390"/>
      <c r="EF7" s="390"/>
      <c r="EG7" s="390"/>
      <c r="EH7" s="390"/>
      <c r="EI7" s="390"/>
      <c r="EJ7" s="390"/>
      <c r="EK7" s="390"/>
      <c r="EL7" s="390"/>
      <c r="EM7" s="390"/>
      <c r="EN7" s="390"/>
      <c r="EO7" s="390"/>
      <c r="EP7" s="390"/>
    </row>
    <row r="8" spans="1:146" s="390" customFormat="1">
      <c r="A8" s="389"/>
      <c r="B8" s="389"/>
      <c r="C8" s="389"/>
      <c r="D8" s="389"/>
      <c r="E8" s="389"/>
      <c r="F8" s="389"/>
      <c r="G8" s="389"/>
      <c r="H8" s="389"/>
      <c r="I8" s="389"/>
      <c r="J8" s="389"/>
      <c r="K8" s="811"/>
      <c r="L8" s="887">
        <v>45107</v>
      </c>
      <c r="M8" s="698">
        <f t="shared" ref="M8" si="0">EOMONTH(L8,1)</f>
        <v>45138</v>
      </c>
      <c r="N8" s="698">
        <f t="shared" ref="N8" si="1">EOMONTH(M8,1)</f>
        <v>45169</v>
      </c>
      <c r="O8" s="698">
        <f t="shared" ref="O8:BY8" si="2">EOMONTH(N8,1)</f>
        <v>45199</v>
      </c>
      <c r="P8" s="698">
        <f t="shared" si="2"/>
        <v>45230</v>
      </c>
      <c r="Q8" s="698">
        <f t="shared" si="2"/>
        <v>45260</v>
      </c>
      <c r="R8" s="698">
        <f t="shared" si="2"/>
        <v>45291</v>
      </c>
      <c r="S8" s="698">
        <f t="shared" si="2"/>
        <v>45322</v>
      </c>
      <c r="T8" s="698">
        <f t="shared" si="2"/>
        <v>45351</v>
      </c>
      <c r="U8" s="698">
        <f t="shared" si="2"/>
        <v>45382</v>
      </c>
      <c r="V8" s="698">
        <f t="shared" si="2"/>
        <v>45412</v>
      </c>
      <c r="W8" s="698">
        <f t="shared" si="2"/>
        <v>45443</v>
      </c>
      <c r="X8" s="698">
        <f t="shared" si="2"/>
        <v>45473</v>
      </c>
      <c r="Y8" s="698">
        <f t="shared" si="2"/>
        <v>45504</v>
      </c>
      <c r="Z8" s="698">
        <f t="shared" si="2"/>
        <v>45535</v>
      </c>
      <c r="AA8" s="698">
        <f t="shared" si="2"/>
        <v>45565</v>
      </c>
      <c r="AB8" s="698">
        <f t="shared" si="2"/>
        <v>45596</v>
      </c>
      <c r="AC8" s="698">
        <f t="shared" si="2"/>
        <v>45626</v>
      </c>
      <c r="AD8" s="698">
        <f t="shared" si="2"/>
        <v>45657</v>
      </c>
      <c r="AE8" s="698">
        <f t="shared" si="2"/>
        <v>45688</v>
      </c>
      <c r="AF8" s="698">
        <f t="shared" si="2"/>
        <v>45716</v>
      </c>
      <c r="AG8" s="698">
        <f t="shared" si="2"/>
        <v>45747</v>
      </c>
      <c r="AH8" s="698">
        <f t="shared" si="2"/>
        <v>45777</v>
      </c>
      <c r="AI8" s="698">
        <f t="shared" si="2"/>
        <v>45808</v>
      </c>
      <c r="AJ8" s="698">
        <f t="shared" si="2"/>
        <v>45838</v>
      </c>
      <c r="AK8" s="698">
        <f t="shared" si="2"/>
        <v>45869</v>
      </c>
      <c r="AL8" s="698">
        <f t="shared" si="2"/>
        <v>45900</v>
      </c>
      <c r="AM8" s="698">
        <f t="shared" si="2"/>
        <v>45930</v>
      </c>
      <c r="AN8" s="698">
        <f t="shared" si="2"/>
        <v>45961</v>
      </c>
      <c r="AO8" s="698">
        <f t="shared" si="2"/>
        <v>45991</v>
      </c>
      <c r="AP8" s="698">
        <f t="shared" si="2"/>
        <v>46022</v>
      </c>
      <c r="AQ8" s="698">
        <f t="shared" si="2"/>
        <v>46053</v>
      </c>
      <c r="AR8" s="698">
        <f t="shared" si="2"/>
        <v>46081</v>
      </c>
      <c r="AS8" s="698">
        <f t="shared" si="2"/>
        <v>46112</v>
      </c>
      <c r="AT8" s="698">
        <f t="shared" si="2"/>
        <v>46142</v>
      </c>
      <c r="AU8" s="698">
        <f t="shared" si="2"/>
        <v>46173</v>
      </c>
      <c r="AV8" s="698">
        <f t="shared" si="2"/>
        <v>46203</v>
      </c>
      <c r="AW8" s="698">
        <f t="shared" si="2"/>
        <v>46234</v>
      </c>
      <c r="AX8" s="698">
        <f t="shared" si="2"/>
        <v>46265</v>
      </c>
      <c r="AY8" s="698">
        <f t="shared" si="2"/>
        <v>46295</v>
      </c>
      <c r="AZ8" s="698">
        <f t="shared" si="2"/>
        <v>46326</v>
      </c>
      <c r="BA8" s="698">
        <f t="shared" si="2"/>
        <v>46356</v>
      </c>
      <c r="BB8" s="698">
        <f t="shared" si="2"/>
        <v>46387</v>
      </c>
      <c r="BC8" s="698">
        <f t="shared" si="2"/>
        <v>46418</v>
      </c>
      <c r="BD8" s="698">
        <f t="shared" si="2"/>
        <v>46446</v>
      </c>
      <c r="BE8" s="698">
        <f t="shared" si="2"/>
        <v>46477</v>
      </c>
      <c r="BF8" s="698">
        <f t="shared" si="2"/>
        <v>46507</v>
      </c>
      <c r="BG8" s="698">
        <f t="shared" si="2"/>
        <v>46538</v>
      </c>
      <c r="BH8" s="698">
        <f t="shared" si="2"/>
        <v>46568</v>
      </c>
      <c r="BI8" s="698">
        <f t="shared" si="2"/>
        <v>46599</v>
      </c>
      <c r="BJ8" s="698">
        <f t="shared" si="2"/>
        <v>46630</v>
      </c>
      <c r="BK8" s="698">
        <f t="shared" si="2"/>
        <v>46660</v>
      </c>
      <c r="BL8" s="698">
        <f t="shared" si="2"/>
        <v>46691</v>
      </c>
      <c r="BM8" s="698">
        <f t="shared" si="2"/>
        <v>46721</v>
      </c>
      <c r="BN8" s="698">
        <f t="shared" si="2"/>
        <v>46752</v>
      </c>
      <c r="BO8" s="698">
        <f t="shared" si="2"/>
        <v>46783</v>
      </c>
      <c r="BP8" s="698">
        <f t="shared" si="2"/>
        <v>46812</v>
      </c>
      <c r="BQ8" s="698">
        <f t="shared" si="2"/>
        <v>46843</v>
      </c>
      <c r="BR8" s="698">
        <f t="shared" si="2"/>
        <v>46873</v>
      </c>
      <c r="BS8" s="698">
        <f t="shared" si="2"/>
        <v>46904</v>
      </c>
      <c r="BT8" s="698">
        <f t="shared" si="2"/>
        <v>46934</v>
      </c>
      <c r="BU8" s="698">
        <f t="shared" si="2"/>
        <v>46965</v>
      </c>
      <c r="BV8" s="698">
        <f t="shared" si="2"/>
        <v>46996</v>
      </c>
      <c r="BW8" s="698">
        <f t="shared" si="2"/>
        <v>47026</v>
      </c>
      <c r="BX8" s="698">
        <f t="shared" si="2"/>
        <v>47057</v>
      </c>
      <c r="BY8" s="698">
        <f t="shared" si="2"/>
        <v>47087</v>
      </c>
      <c r="BZ8" s="698">
        <f t="shared" ref="BZ8:EA8" si="3">EOMONTH(BY8,1)</f>
        <v>47118</v>
      </c>
      <c r="CA8" s="698">
        <f t="shared" si="3"/>
        <v>47149</v>
      </c>
      <c r="CB8" s="698">
        <f t="shared" si="3"/>
        <v>47177</v>
      </c>
      <c r="CC8" s="698">
        <f t="shared" si="3"/>
        <v>47208</v>
      </c>
      <c r="CD8" s="698">
        <f t="shared" si="3"/>
        <v>47238</v>
      </c>
      <c r="CE8" s="698">
        <f t="shared" si="3"/>
        <v>47269</v>
      </c>
      <c r="CF8" s="698">
        <f t="shared" si="3"/>
        <v>47299</v>
      </c>
      <c r="CG8" s="698">
        <f t="shared" si="3"/>
        <v>47330</v>
      </c>
      <c r="CH8" s="698">
        <f t="shared" si="3"/>
        <v>47361</v>
      </c>
      <c r="CI8" s="698">
        <f t="shared" si="3"/>
        <v>47391</v>
      </c>
      <c r="CJ8" s="698">
        <f t="shared" si="3"/>
        <v>47422</v>
      </c>
      <c r="CK8" s="698">
        <f t="shared" si="3"/>
        <v>47452</v>
      </c>
      <c r="CL8" s="698">
        <f t="shared" si="3"/>
        <v>47483</v>
      </c>
      <c r="CM8" s="698">
        <f t="shared" si="3"/>
        <v>47514</v>
      </c>
      <c r="CN8" s="698">
        <f t="shared" si="3"/>
        <v>47542</v>
      </c>
      <c r="CO8" s="698">
        <f t="shared" si="3"/>
        <v>47573</v>
      </c>
      <c r="CP8" s="698">
        <f t="shared" si="3"/>
        <v>47603</v>
      </c>
      <c r="CQ8" s="698">
        <f t="shared" si="3"/>
        <v>47634</v>
      </c>
      <c r="CR8" s="698">
        <f t="shared" si="3"/>
        <v>47664</v>
      </c>
      <c r="CS8" s="698">
        <f t="shared" si="3"/>
        <v>47695</v>
      </c>
      <c r="CT8" s="698">
        <f t="shared" si="3"/>
        <v>47726</v>
      </c>
      <c r="CU8" s="698">
        <f t="shared" si="3"/>
        <v>47756</v>
      </c>
      <c r="CV8" s="698">
        <f t="shared" si="3"/>
        <v>47787</v>
      </c>
      <c r="CW8" s="698">
        <f t="shared" si="3"/>
        <v>47817</v>
      </c>
      <c r="CX8" s="698">
        <f t="shared" si="3"/>
        <v>47848</v>
      </c>
      <c r="CY8" s="698">
        <f t="shared" si="3"/>
        <v>47879</v>
      </c>
      <c r="CZ8" s="698">
        <f t="shared" si="3"/>
        <v>47907</v>
      </c>
      <c r="DA8" s="698">
        <f t="shared" si="3"/>
        <v>47938</v>
      </c>
      <c r="DB8" s="698">
        <f t="shared" si="3"/>
        <v>47968</v>
      </c>
      <c r="DC8" s="698">
        <f t="shared" si="3"/>
        <v>47999</v>
      </c>
      <c r="DD8" s="698">
        <f t="shared" si="3"/>
        <v>48029</v>
      </c>
      <c r="DE8" s="698">
        <f t="shared" si="3"/>
        <v>48060</v>
      </c>
      <c r="DF8" s="698">
        <f t="shared" si="3"/>
        <v>48091</v>
      </c>
      <c r="DG8" s="698">
        <f t="shared" si="3"/>
        <v>48121</v>
      </c>
      <c r="DH8" s="698">
        <f t="shared" si="3"/>
        <v>48152</v>
      </c>
      <c r="DI8" s="698">
        <f t="shared" si="3"/>
        <v>48182</v>
      </c>
      <c r="DJ8" s="698">
        <f t="shared" si="3"/>
        <v>48213</v>
      </c>
      <c r="DK8" s="698">
        <f t="shared" si="3"/>
        <v>48244</v>
      </c>
      <c r="DL8" s="698">
        <f t="shared" si="3"/>
        <v>48273</v>
      </c>
      <c r="DM8" s="698">
        <f t="shared" si="3"/>
        <v>48304</v>
      </c>
      <c r="DN8" s="698">
        <f t="shared" si="3"/>
        <v>48334</v>
      </c>
      <c r="DO8" s="698">
        <f t="shared" si="3"/>
        <v>48365</v>
      </c>
      <c r="DP8" s="698">
        <f t="shared" si="3"/>
        <v>48395</v>
      </c>
      <c r="DQ8" s="698">
        <f t="shared" si="3"/>
        <v>48426</v>
      </c>
      <c r="DR8" s="698">
        <f t="shared" si="3"/>
        <v>48457</v>
      </c>
      <c r="DS8" s="698">
        <f t="shared" si="3"/>
        <v>48487</v>
      </c>
      <c r="DT8" s="698">
        <f t="shared" si="3"/>
        <v>48518</v>
      </c>
      <c r="DU8" s="698">
        <f t="shared" si="3"/>
        <v>48548</v>
      </c>
      <c r="DV8" s="698">
        <f t="shared" si="3"/>
        <v>48579</v>
      </c>
      <c r="DW8" s="698">
        <f t="shared" si="3"/>
        <v>48610</v>
      </c>
      <c r="DX8" s="698">
        <f t="shared" si="3"/>
        <v>48638</v>
      </c>
      <c r="DY8" s="698">
        <f t="shared" si="3"/>
        <v>48669</v>
      </c>
      <c r="DZ8" s="698">
        <f t="shared" si="3"/>
        <v>48699</v>
      </c>
      <c r="EA8" s="698">
        <f t="shared" si="3"/>
        <v>48730</v>
      </c>
      <c r="EB8" s="389"/>
      <c r="EC8" s="392" t="s">
        <v>65</v>
      </c>
    </row>
    <row r="9" spans="1:146" s="390" customFormat="1">
      <c r="A9" s="389"/>
      <c r="B9" s="389"/>
      <c r="C9" s="389"/>
      <c r="D9" s="389"/>
      <c r="E9" s="389"/>
      <c r="F9" s="389"/>
      <c r="G9" s="389"/>
      <c r="H9" s="389"/>
      <c r="I9" s="389"/>
      <c r="J9" s="389"/>
      <c r="K9" s="389"/>
      <c r="L9" s="710">
        <f>ROUNDUP(L10/12,0)</f>
        <v>1</v>
      </c>
      <c r="M9" s="710">
        <f t="shared" ref="M9:BX9" si="4">ROUNDUP(M10/12,0)</f>
        <v>1</v>
      </c>
      <c r="N9" s="710">
        <f t="shared" si="4"/>
        <v>1</v>
      </c>
      <c r="O9" s="710">
        <f t="shared" si="4"/>
        <v>1</v>
      </c>
      <c r="P9" s="710">
        <f t="shared" si="4"/>
        <v>1</v>
      </c>
      <c r="Q9" s="710">
        <f t="shared" si="4"/>
        <v>1</v>
      </c>
      <c r="R9" s="710">
        <f t="shared" si="4"/>
        <v>1</v>
      </c>
      <c r="S9" s="710">
        <f t="shared" si="4"/>
        <v>1</v>
      </c>
      <c r="T9" s="710">
        <f t="shared" si="4"/>
        <v>1</v>
      </c>
      <c r="U9" s="710">
        <f t="shared" si="4"/>
        <v>1</v>
      </c>
      <c r="V9" s="710">
        <f t="shared" si="4"/>
        <v>1</v>
      </c>
      <c r="W9" s="710">
        <f t="shared" si="4"/>
        <v>1</v>
      </c>
      <c r="X9" s="710">
        <f t="shared" si="4"/>
        <v>2</v>
      </c>
      <c r="Y9" s="710">
        <f t="shared" si="4"/>
        <v>2</v>
      </c>
      <c r="Z9" s="710">
        <f t="shared" si="4"/>
        <v>2</v>
      </c>
      <c r="AA9" s="710">
        <f t="shared" si="4"/>
        <v>2</v>
      </c>
      <c r="AB9" s="710">
        <f t="shared" si="4"/>
        <v>2</v>
      </c>
      <c r="AC9" s="710">
        <f t="shared" si="4"/>
        <v>2</v>
      </c>
      <c r="AD9" s="710">
        <f t="shared" si="4"/>
        <v>2</v>
      </c>
      <c r="AE9" s="710">
        <f t="shared" si="4"/>
        <v>2</v>
      </c>
      <c r="AF9" s="710">
        <f t="shared" si="4"/>
        <v>2</v>
      </c>
      <c r="AG9" s="710">
        <f t="shared" si="4"/>
        <v>2</v>
      </c>
      <c r="AH9" s="710">
        <f t="shared" si="4"/>
        <v>2</v>
      </c>
      <c r="AI9" s="710">
        <f t="shared" si="4"/>
        <v>2</v>
      </c>
      <c r="AJ9" s="710">
        <f t="shared" si="4"/>
        <v>3</v>
      </c>
      <c r="AK9" s="710">
        <f t="shared" si="4"/>
        <v>3</v>
      </c>
      <c r="AL9" s="710">
        <f t="shared" si="4"/>
        <v>3</v>
      </c>
      <c r="AM9" s="710">
        <f t="shared" si="4"/>
        <v>3</v>
      </c>
      <c r="AN9" s="710">
        <f t="shared" si="4"/>
        <v>3</v>
      </c>
      <c r="AO9" s="710">
        <f t="shared" si="4"/>
        <v>3</v>
      </c>
      <c r="AP9" s="710">
        <f t="shared" si="4"/>
        <v>3</v>
      </c>
      <c r="AQ9" s="710">
        <f t="shared" si="4"/>
        <v>3</v>
      </c>
      <c r="AR9" s="710">
        <f t="shared" si="4"/>
        <v>3</v>
      </c>
      <c r="AS9" s="710">
        <f t="shared" si="4"/>
        <v>3</v>
      </c>
      <c r="AT9" s="710">
        <f t="shared" si="4"/>
        <v>3</v>
      </c>
      <c r="AU9" s="710">
        <f t="shared" si="4"/>
        <v>3</v>
      </c>
      <c r="AV9" s="710">
        <f t="shared" si="4"/>
        <v>4</v>
      </c>
      <c r="AW9" s="710">
        <f t="shared" si="4"/>
        <v>4</v>
      </c>
      <c r="AX9" s="710">
        <f t="shared" si="4"/>
        <v>4</v>
      </c>
      <c r="AY9" s="710">
        <f t="shared" si="4"/>
        <v>4</v>
      </c>
      <c r="AZ9" s="710">
        <f t="shared" si="4"/>
        <v>4</v>
      </c>
      <c r="BA9" s="710">
        <f t="shared" si="4"/>
        <v>4</v>
      </c>
      <c r="BB9" s="710">
        <f t="shared" si="4"/>
        <v>4</v>
      </c>
      <c r="BC9" s="710">
        <f t="shared" si="4"/>
        <v>4</v>
      </c>
      <c r="BD9" s="710">
        <f t="shared" si="4"/>
        <v>4</v>
      </c>
      <c r="BE9" s="710">
        <f t="shared" si="4"/>
        <v>4</v>
      </c>
      <c r="BF9" s="710">
        <f t="shared" si="4"/>
        <v>4</v>
      </c>
      <c r="BG9" s="710">
        <f t="shared" si="4"/>
        <v>4</v>
      </c>
      <c r="BH9" s="710">
        <f t="shared" si="4"/>
        <v>5</v>
      </c>
      <c r="BI9" s="710">
        <f t="shared" si="4"/>
        <v>5</v>
      </c>
      <c r="BJ9" s="710">
        <f t="shared" si="4"/>
        <v>5</v>
      </c>
      <c r="BK9" s="710">
        <f t="shared" si="4"/>
        <v>5</v>
      </c>
      <c r="BL9" s="710">
        <f t="shared" si="4"/>
        <v>5</v>
      </c>
      <c r="BM9" s="710">
        <f t="shared" si="4"/>
        <v>5</v>
      </c>
      <c r="BN9" s="710">
        <f t="shared" si="4"/>
        <v>5</v>
      </c>
      <c r="BO9" s="710">
        <f t="shared" si="4"/>
        <v>5</v>
      </c>
      <c r="BP9" s="710">
        <f t="shared" si="4"/>
        <v>5</v>
      </c>
      <c r="BQ9" s="710">
        <f t="shared" si="4"/>
        <v>5</v>
      </c>
      <c r="BR9" s="710">
        <f t="shared" si="4"/>
        <v>5</v>
      </c>
      <c r="BS9" s="710">
        <f t="shared" si="4"/>
        <v>5</v>
      </c>
      <c r="BT9" s="710">
        <f t="shared" si="4"/>
        <v>6</v>
      </c>
      <c r="BU9" s="710">
        <f t="shared" si="4"/>
        <v>6</v>
      </c>
      <c r="BV9" s="710">
        <f t="shared" si="4"/>
        <v>6</v>
      </c>
      <c r="BW9" s="710">
        <f t="shared" si="4"/>
        <v>6</v>
      </c>
      <c r="BX9" s="710">
        <f t="shared" si="4"/>
        <v>6</v>
      </c>
      <c r="BY9" s="710">
        <f t="shared" ref="BY9:EA9" si="5">ROUNDUP(BY10/12,0)</f>
        <v>6</v>
      </c>
      <c r="BZ9" s="710">
        <f t="shared" si="5"/>
        <v>6</v>
      </c>
      <c r="CA9" s="710">
        <f t="shared" si="5"/>
        <v>6</v>
      </c>
      <c r="CB9" s="710">
        <f t="shared" si="5"/>
        <v>6</v>
      </c>
      <c r="CC9" s="710">
        <f t="shared" si="5"/>
        <v>6</v>
      </c>
      <c r="CD9" s="710">
        <f t="shared" si="5"/>
        <v>6</v>
      </c>
      <c r="CE9" s="710">
        <f t="shared" si="5"/>
        <v>6</v>
      </c>
      <c r="CF9" s="710">
        <f t="shared" si="5"/>
        <v>7</v>
      </c>
      <c r="CG9" s="710">
        <f t="shared" si="5"/>
        <v>7</v>
      </c>
      <c r="CH9" s="710">
        <f t="shared" si="5"/>
        <v>7</v>
      </c>
      <c r="CI9" s="710">
        <f t="shared" si="5"/>
        <v>7</v>
      </c>
      <c r="CJ9" s="710">
        <f t="shared" si="5"/>
        <v>7</v>
      </c>
      <c r="CK9" s="710">
        <f t="shared" si="5"/>
        <v>7</v>
      </c>
      <c r="CL9" s="710">
        <f t="shared" si="5"/>
        <v>7</v>
      </c>
      <c r="CM9" s="710">
        <f t="shared" si="5"/>
        <v>7</v>
      </c>
      <c r="CN9" s="710">
        <f t="shared" si="5"/>
        <v>7</v>
      </c>
      <c r="CO9" s="710">
        <f t="shared" si="5"/>
        <v>7</v>
      </c>
      <c r="CP9" s="710">
        <f t="shared" si="5"/>
        <v>7</v>
      </c>
      <c r="CQ9" s="710">
        <f t="shared" si="5"/>
        <v>7</v>
      </c>
      <c r="CR9" s="710">
        <f t="shared" si="5"/>
        <v>8</v>
      </c>
      <c r="CS9" s="710">
        <f t="shared" si="5"/>
        <v>8</v>
      </c>
      <c r="CT9" s="710">
        <f t="shared" si="5"/>
        <v>8</v>
      </c>
      <c r="CU9" s="710">
        <f t="shared" si="5"/>
        <v>8</v>
      </c>
      <c r="CV9" s="710">
        <f t="shared" si="5"/>
        <v>8</v>
      </c>
      <c r="CW9" s="710">
        <f t="shared" si="5"/>
        <v>8</v>
      </c>
      <c r="CX9" s="710">
        <f t="shared" si="5"/>
        <v>8</v>
      </c>
      <c r="CY9" s="710">
        <f t="shared" si="5"/>
        <v>8</v>
      </c>
      <c r="CZ9" s="710">
        <f t="shared" si="5"/>
        <v>8</v>
      </c>
      <c r="DA9" s="710">
        <f t="shared" si="5"/>
        <v>8</v>
      </c>
      <c r="DB9" s="710">
        <f t="shared" si="5"/>
        <v>8</v>
      </c>
      <c r="DC9" s="710">
        <f t="shared" si="5"/>
        <v>8</v>
      </c>
      <c r="DD9" s="710">
        <f t="shared" si="5"/>
        <v>9</v>
      </c>
      <c r="DE9" s="710">
        <f t="shared" si="5"/>
        <v>9</v>
      </c>
      <c r="DF9" s="710">
        <f t="shared" si="5"/>
        <v>9</v>
      </c>
      <c r="DG9" s="710">
        <f t="shared" si="5"/>
        <v>9</v>
      </c>
      <c r="DH9" s="710">
        <f t="shared" si="5"/>
        <v>9</v>
      </c>
      <c r="DI9" s="710">
        <f t="shared" si="5"/>
        <v>9</v>
      </c>
      <c r="DJ9" s="710">
        <f t="shared" si="5"/>
        <v>9</v>
      </c>
      <c r="DK9" s="710">
        <f t="shared" si="5"/>
        <v>9</v>
      </c>
      <c r="DL9" s="710">
        <f t="shared" si="5"/>
        <v>9</v>
      </c>
      <c r="DM9" s="710">
        <f t="shared" si="5"/>
        <v>9</v>
      </c>
      <c r="DN9" s="710">
        <f t="shared" si="5"/>
        <v>9</v>
      </c>
      <c r="DO9" s="710">
        <f t="shared" si="5"/>
        <v>9</v>
      </c>
      <c r="DP9" s="710">
        <f t="shared" si="5"/>
        <v>10</v>
      </c>
      <c r="DQ9" s="710">
        <f t="shared" si="5"/>
        <v>10</v>
      </c>
      <c r="DR9" s="710">
        <f t="shared" si="5"/>
        <v>10</v>
      </c>
      <c r="DS9" s="710">
        <f t="shared" si="5"/>
        <v>10</v>
      </c>
      <c r="DT9" s="710">
        <f t="shared" si="5"/>
        <v>10</v>
      </c>
      <c r="DU9" s="710">
        <f t="shared" si="5"/>
        <v>10</v>
      </c>
      <c r="DV9" s="710">
        <f t="shared" si="5"/>
        <v>10</v>
      </c>
      <c r="DW9" s="710">
        <f t="shared" si="5"/>
        <v>10</v>
      </c>
      <c r="DX9" s="710">
        <f t="shared" si="5"/>
        <v>10</v>
      </c>
      <c r="DY9" s="710">
        <f t="shared" si="5"/>
        <v>10</v>
      </c>
      <c r="DZ9" s="710">
        <f t="shared" si="5"/>
        <v>10</v>
      </c>
      <c r="EA9" s="710">
        <f t="shared" si="5"/>
        <v>10</v>
      </c>
      <c r="EB9" s="389"/>
      <c r="EC9" s="392" t="s">
        <v>65</v>
      </c>
    </row>
    <row r="10" spans="1:146" s="390" customFormat="1">
      <c r="A10" s="389"/>
      <c r="B10" s="389"/>
      <c r="C10" s="389"/>
      <c r="D10" s="389"/>
      <c r="E10" s="389"/>
      <c r="F10" s="389"/>
      <c r="G10" s="389"/>
      <c r="H10" s="389"/>
      <c r="I10" s="790" t="s">
        <v>11</v>
      </c>
      <c r="J10" s="699"/>
      <c r="K10" s="756" t="s">
        <v>110</v>
      </c>
      <c r="L10" s="757">
        <v>1</v>
      </c>
      <c r="M10" s="757">
        <f>L10+1</f>
        <v>2</v>
      </c>
      <c r="N10" s="757">
        <f t="shared" ref="N10:BY10" si="6">M10+1</f>
        <v>3</v>
      </c>
      <c r="O10" s="757">
        <f t="shared" si="6"/>
        <v>4</v>
      </c>
      <c r="P10" s="757">
        <f t="shared" si="6"/>
        <v>5</v>
      </c>
      <c r="Q10" s="757">
        <f t="shared" si="6"/>
        <v>6</v>
      </c>
      <c r="R10" s="757">
        <f t="shared" si="6"/>
        <v>7</v>
      </c>
      <c r="S10" s="757">
        <f t="shared" si="6"/>
        <v>8</v>
      </c>
      <c r="T10" s="757">
        <f t="shared" si="6"/>
        <v>9</v>
      </c>
      <c r="U10" s="757">
        <f t="shared" si="6"/>
        <v>10</v>
      </c>
      <c r="V10" s="757">
        <f t="shared" si="6"/>
        <v>11</v>
      </c>
      <c r="W10" s="757">
        <f t="shared" si="6"/>
        <v>12</v>
      </c>
      <c r="X10" s="757">
        <f t="shared" si="6"/>
        <v>13</v>
      </c>
      <c r="Y10" s="757">
        <f t="shared" si="6"/>
        <v>14</v>
      </c>
      <c r="Z10" s="757">
        <f t="shared" si="6"/>
        <v>15</v>
      </c>
      <c r="AA10" s="757">
        <f t="shared" si="6"/>
        <v>16</v>
      </c>
      <c r="AB10" s="757">
        <f t="shared" si="6"/>
        <v>17</v>
      </c>
      <c r="AC10" s="757">
        <f t="shared" si="6"/>
        <v>18</v>
      </c>
      <c r="AD10" s="757">
        <f t="shared" si="6"/>
        <v>19</v>
      </c>
      <c r="AE10" s="757">
        <f t="shared" si="6"/>
        <v>20</v>
      </c>
      <c r="AF10" s="757">
        <f t="shared" si="6"/>
        <v>21</v>
      </c>
      <c r="AG10" s="757">
        <f t="shared" si="6"/>
        <v>22</v>
      </c>
      <c r="AH10" s="757">
        <f t="shared" si="6"/>
        <v>23</v>
      </c>
      <c r="AI10" s="757">
        <f t="shared" si="6"/>
        <v>24</v>
      </c>
      <c r="AJ10" s="757">
        <f t="shared" si="6"/>
        <v>25</v>
      </c>
      <c r="AK10" s="757">
        <f t="shared" si="6"/>
        <v>26</v>
      </c>
      <c r="AL10" s="757">
        <f t="shared" si="6"/>
        <v>27</v>
      </c>
      <c r="AM10" s="757">
        <f t="shared" si="6"/>
        <v>28</v>
      </c>
      <c r="AN10" s="757">
        <f t="shared" si="6"/>
        <v>29</v>
      </c>
      <c r="AO10" s="757">
        <f t="shared" si="6"/>
        <v>30</v>
      </c>
      <c r="AP10" s="757">
        <f t="shared" si="6"/>
        <v>31</v>
      </c>
      <c r="AQ10" s="757">
        <f t="shared" si="6"/>
        <v>32</v>
      </c>
      <c r="AR10" s="757">
        <f t="shared" si="6"/>
        <v>33</v>
      </c>
      <c r="AS10" s="757">
        <f t="shared" si="6"/>
        <v>34</v>
      </c>
      <c r="AT10" s="757">
        <f t="shared" si="6"/>
        <v>35</v>
      </c>
      <c r="AU10" s="757">
        <f t="shared" si="6"/>
        <v>36</v>
      </c>
      <c r="AV10" s="757">
        <f t="shared" si="6"/>
        <v>37</v>
      </c>
      <c r="AW10" s="757">
        <f t="shared" si="6"/>
        <v>38</v>
      </c>
      <c r="AX10" s="757">
        <f t="shared" si="6"/>
        <v>39</v>
      </c>
      <c r="AY10" s="757">
        <f t="shared" si="6"/>
        <v>40</v>
      </c>
      <c r="AZ10" s="757">
        <f t="shared" si="6"/>
        <v>41</v>
      </c>
      <c r="BA10" s="757">
        <f t="shared" si="6"/>
        <v>42</v>
      </c>
      <c r="BB10" s="757">
        <f t="shared" si="6"/>
        <v>43</v>
      </c>
      <c r="BC10" s="757">
        <f t="shared" si="6"/>
        <v>44</v>
      </c>
      <c r="BD10" s="757">
        <f t="shared" si="6"/>
        <v>45</v>
      </c>
      <c r="BE10" s="757">
        <f t="shared" si="6"/>
        <v>46</v>
      </c>
      <c r="BF10" s="757">
        <f t="shared" si="6"/>
        <v>47</v>
      </c>
      <c r="BG10" s="757">
        <f t="shared" si="6"/>
        <v>48</v>
      </c>
      <c r="BH10" s="757">
        <f t="shared" si="6"/>
        <v>49</v>
      </c>
      <c r="BI10" s="757">
        <f t="shared" si="6"/>
        <v>50</v>
      </c>
      <c r="BJ10" s="757">
        <f t="shared" si="6"/>
        <v>51</v>
      </c>
      <c r="BK10" s="757">
        <f t="shared" si="6"/>
        <v>52</v>
      </c>
      <c r="BL10" s="757">
        <f t="shared" si="6"/>
        <v>53</v>
      </c>
      <c r="BM10" s="757">
        <f t="shared" si="6"/>
        <v>54</v>
      </c>
      <c r="BN10" s="757">
        <f t="shared" si="6"/>
        <v>55</v>
      </c>
      <c r="BO10" s="757">
        <f t="shared" si="6"/>
        <v>56</v>
      </c>
      <c r="BP10" s="757">
        <f t="shared" si="6"/>
        <v>57</v>
      </c>
      <c r="BQ10" s="757">
        <f t="shared" si="6"/>
        <v>58</v>
      </c>
      <c r="BR10" s="757">
        <f t="shared" si="6"/>
        <v>59</v>
      </c>
      <c r="BS10" s="757">
        <f t="shared" si="6"/>
        <v>60</v>
      </c>
      <c r="BT10" s="757">
        <f t="shared" si="6"/>
        <v>61</v>
      </c>
      <c r="BU10" s="757">
        <f t="shared" si="6"/>
        <v>62</v>
      </c>
      <c r="BV10" s="757">
        <f t="shared" si="6"/>
        <v>63</v>
      </c>
      <c r="BW10" s="757">
        <f t="shared" si="6"/>
        <v>64</v>
      </c>
      <c r="BX10" s="757">
        <f t="shared" si="6"/>
        <v>65</v>
      </c>
      <c r="BY10" s="757">
        <f t="shared" si="6"/>
        <v>66</v>
      </c>
      <c r="BZ10" s="757">
        <f t="shared" ref="BZ10:EA10" si="7">BY10+1</f>
        <v>67</v>
      </c>
      <c r="CA10" s="757">
        <f t="shared" si="7"/>
        <v>68</v>
      </c>
      <c r="CB10" s="757">
        <f t="shared" si="7"/>
        <v>69</v>
      </c>
      <c r="CC10" s="757">
        <f t="shared" si="7"/>
        <v>70</v>
      </c>
      <c r="CD10" s="757">
        <f t="shared" si="7"/>
        <v>71</v>
      </c>
      <c r="CE10" s="757">
        <f t="shared" si="7"/>
        <v>72</v>
      </c>
      <c r="CF10" s="757">
        <f t="shared" si="7"/>
        <v>73</v>
      </c>
      <c r="CG10" s="757">
        <f t="shared" si="7"/>
        <v>74</v>
      </c>
      <c r="CH10" s="757">
        <f t="shared" si="7"/>
        <v>75</v>
      </c>
      <c r="CI10" s="757">
        <f t="shared" si="7"/>
        <v>76</v>
      </c>
      <c r="CJ10" s="757">
        <f t="shared" si="7"/>
        <v>77</v>
      </c>
      <c r="CK10" s="757">
        <f t="shared" si="7"/>
        <v>78</v>
      </c>
      <c r="CL10" s="757">
        <f t="shared" si="7"/>
        <v>79</v>
      </c>
      <c r="CM10" s="757">
        <f t="shared" si="7"/>
        <v>80</v>
      </c>
      <c r="CN10" s="757">
        <f t="shared" si="7"/>
        <v>81</v>
      </c>
      <c r="CO10" s="757">
        <f t="shared" si="7"/>
        <v>82</v>
      </c>
      <c r="CP10" s="757">
        <f t="shared" si="7"/>
        <v>83</v>
      </c>
      <c r="CQ10" s="757">
        <f t="shared" si="7"/>
        <v>84</v>
      </c>
      <c r="CR10" s="757">
        <f t="shared" si="7"/>
        <v>85</v>
      </c>
      <c r="CS10" s="757">
        <f t="shared" si="7"/>
        <v>86</v>
      </c>
      <c r="CT10" s="757">
        <f t="shared" si="7"/>
        <v>87</v>
      </c>
      <c r="CU10" s="757">
        <f t="shared" si="7"/>
        <v>88</v>
      </c>
      <c r="CV10" s="757">
        <f t="shared" si="7"/>
        <v>89</v>
      </c>
      <c r="CW10" s="757">
        <f t="shared" si="7"/>
        <v>90</v>
      </c>
      <c r="CX10" s="757">
        <f t="shared" si="7"/>
        <v>91</v>
      </c>
      <c r="CY10" s="757">
        <f t="shared" si="7"/>
        <v>92</v>
      </c>
      <c r="CZ10" s="757">
        <f t="shared" si="7"/>
        <v>93</v>
      </c>
      <c r="DA10" s="757">
        <f t="shared" si="7"/>
        <v>94</v>
      </c>
      <c r="DB10" s="757">
        <f t="shared" si="7"/>
        <v>95</v>
      </c>
      <c r="DC10" s="757">
        <f t="shared" si="7"/>
        <v>96</v>
      </c>
      <c r="DD10" s="757">
        <f t="shared" si="7"/>
        <v>97</v>
      </c>
      <c r="DE10" s="757">
        <f t="shared" si="7"/>
        <v>98</v>
      </c>
      <c r="DF10" s="757">
        <f t="shared" si="7"/>
        <v>99</v>
      </c>
      <c r="DG10" s="757">
        <f t="shared" si="7"/>
        <v>100</v>
      </c>
      <c r="DH10" s="757">
        <f t="shared" si="7"/>
        <v>101</v>
      </c>
      <c r="DI10" s="757">
        <f t="shared" si="7"/>
        <v>102</v>
      </c>
      <c r="DJ10" s="757">
        <f t="shared" si="7"/>
        <v>103</v>
      </c>
      <c r="DK10" s="757">
        <f t="shared" si="7"/>
        <v>104</v>
      </c>
      <c r="DL10" s="757">
        <f t="shared" si="7"/>
        <v>105</v>
      </c>
      <c r="DM10" s="757">
        <f t="shared" si="7"/>
        <v>106</v>
      </c>
      <c r="DN10" s="757">
        <f t="shared" si="7"/>
        <v>107</v>
      </c>
      <c r="DO10" s="757">
        <f t="shared" si="7"/>
        <v>108</v>
      </c>
      <c r="DP10" s="757">
        <f t="shared" si="7"/>
        <v>109</v>
      </c>
      <c r="DQ10" s="757">
        <f t="shared" si="7"/>
        <v>110</v>
      </c>
      <c r="DR10" s="757">
        <f t="shared" si="7"/>
        <v>111</v>
      </c>
      <c r="DS10" s="757">
        <f t="shared" si="7"/>
        <v>112</v>
      </c>
      <c r="DT10" s="757">
        <f t="shared" si="7"/>
        <v>113</v>
      </c>
      <c r="DU10" s="757">
        <f t="shared" si="7"/>
        <v>114</v>
      </c>
      <c r="DV10" s="757">
        <f t="shared" si="7"/>
        <v>115</v>
      </c>
      <c r="DW10" s="757">
        <f t="shared" si="7"/>
        <v>116</v>
      </c>
      <c r="DX10" s="757">
        <f t="shared" si="7"/>
        <v>117</v>
      </c>
      <c r="DY10" s="757">
        <f t="shared" si="7"/>
        <v>118</v>
      </c>
      <c r="DZ10" s="757">
        <f t="shared" si="7"/>
        <v>119</v>
      </c>
      <c r="EA10" s="757">
        <f t="shared" si="7"/>
        <v>120</v>
      </c>
      <c r="EB10" s="389"/>
      <c r="EC10" s="392" t="s">
        <v>65</v>
      </c>
    </row>
    <row r="11" spans="1:146" s="390" customFormat="1" outlineLevel="1">
      <c r="A11" s="389"/>
      <c r="B11" s="389"/>
      <c r="C11" s="389"/>
      <c r="D11" s="998" t="s">
        <v>247</v>
      </c>
      <c r="E11" s="389"/>
      <c r="F11" s="389"/>
      <c r="G11" s="389"/>
      <c r="H11" s="389"/>
      <c r="I11" s="997"/>
      <c r="J11" s="699"/>
      <c r="K11" s="881"/>
      <c r="L11" s="710"/>
      <c r="M11" s="710"/>
      <c r="N11" s="710"/>
      <c r="O11" s="710"/>
      <c r="P11" s="710"/>
      <c r="Q11" s="710"/>
      <c r="R11" s="710"/>
      <c r="S11" s="710"/>
      <c r="T11" s="710"/>
      <c r="U11" s="710"/>
      <c r="V11" s="710"/>
      <c r="W11" s="710"/>
      <c r="X11" s="710"/>
      <c r="Y11" s="710"/>
      <c r="Z11" s="710"/>
      <c r="AA11" s="710"/>
      <c r="AB11" s="710"/>
      <c r="AC11" s="710"/>
      <c r="AD11" s="710"/>
      <c r="AE11" s="710"/>
      <c r="AF11" s="710"/>
      <c r="AG11" s="710"/>
      <c r="AH11" s="710"/>
      <c r="AI11" s="710"/>
      <c r="AJ11" s="710"/>
      <c r="AK11" s="710"/>
      <c r="AL11" s="710"/>
      <c r="AM11" s="710"/>
      <c r="AN11" s="710"/>
      <c r="AO11" s="710"/>
      <c r="AP11" s="710"/>
      <c r="AQ11" s="710"/>
      <c r="AR11" s="710"/>
      <c r="AS11" s="710"/>
      <c r="AT11" s="710"/>
      <c r="AU11" s="710"/>
      <c r="AV11" s="710"/>
      <c r="AW11" s="710"/>
      <c r="AX11" s="710"/>
      <c r="AY11" s="710"/>
      <c r="AZ11" s="710"/>
      <c r="BA11" s="710"/>
      <c r="BB11" s="710"/>
      <c r="BC11" s="710"/>
      <c r="BD11" s="710"/>
      <c r="BE11" s="710"/>
      <c r="BF11" s="710"/>
      <c r="BG11" s="710"/>
      <c r="BH11" s="710"/>
      <c r="BI11" s="710"/>
      <c r="BJ11" s="710"/>
      <c r="BK11" s="710"/>
      <c r="BL11" s="710"/>
      <c r="BM11" s="710"/>
      <c r="BN11" s="710"/>
      <c r="BO11" s="710"/>
      <c r="BP11" s="710"/>
      <c r="BQ11" s="710"/>
      <c r="BR11" s="710"/>
      <c r="BS11" s="710"/>
      <c r="BT11" s="710"/>
      <c r="BU11" s="710"/>
      <c r="BV11" s="710"/>
      <c r="BW11" s="710"/>
      <c r="BX11" s="710"/>
      <c r="BY11" s="710"/>
      <c r="BZ11" s="710"/>
      <c r="CA11" s="710"/>
      <c r="CB11" s="710"/>
      <c r="CC11" s="710"/>
      <c r="CD11" s="710"/>
      <c r="CE11" s="710"/>
      <c r="CF11" s="710"/>
      <c r="CG11" s="710"/>
      <c r="CH11" s="710"/>
      <c r="CI11" s="710"/>
      <c r="CJ11" s="710"/>
      <c r="CK11" s="710"/>
      <c r="CL11" s="710"/>
      <c r="CM11" s="710"/>
      <c r="CN11" s="710"/>
      <c r="CO11" s="710"/>
      <c r="CP11" s="710"/>
      <c r="CQ11" s="710"/>
      <c r="CR11" s="710"/>
      <c r="CS11" s="710"/>
      <c r="CT11" s="710"/>
      <c r="CU11" s="710"/>
      <c r="CV11" s="710"/>
      <c r="CW11" s="710"/>
      <c r="CX11" s="710"/>
      <c r="CY11" s="710"/>
      <c r="CZ11" s="710"/>
      <c r="DA11" s="710"/>
      <c r="DB11" s="710"/>
      <c r="DC11" s="710"/>
      <c r="DD11" s="710"/>
      <c r="DE11" s="710"/>
      <c r="DF11" s="710"/>
      <c r="DG11" s="710"/>
      <c r="DH11" s="710"/>
      <c r="DI11" s="710"/>
      <c r="DJ11" s="710"/>
      <c r="DK11" s="710"/>
      <c r="DL11" s="710"/>
      <c r="DM11" s="710"/>
      <c r="DN11" s="710"/>
      <c r="DO11" s="710"/>
      <c r="DP11" s="710"/>
      <c r="DQ11" s="710"/>
      <c r="DR11" s="710"/>
      <c r="DS11" s="710"/>
      <c r="DT11" s="710"/>
      <c r="DU11" s="710"/>
      <c r="DV11" s="710"/>
      <c r="DW11" s="710"/>
      <c r="DX11" s="710"/>
      <c r="DY11" s="710"/>
      <c r="DZ11" s="710"/>
      <c r="EA11" s="710"/>
      <c r="EB11" s="389"/>
      <c r="EC11" s="392"/>
    </row>
    <row r="12" spans="1:146" s="390" customFormat="1" outlineLevel="1">
      <c r="A12" s="389"/>
      <c r="B12" s="389"/>
      <c r="C12" s="389"/>
      <c r="D12" s="389" t="s">
        <v>91</v>
      </c>
      <c r="E12" s="389"/>
      <c r="F12" s="389"/>
      <c r="G12" s="389"/>
      <c r="H12" s="389"/>
      <c r="I12" s="791"/>
      <c r="J12" s="389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02"/>
      <c r="AP12" s="402"/>
      <c r="AQ12" s="402"/>
      <c r="AR12" s="402"/>
      <c r="AS12" s="402"/>
      <c r="AT12" s="402"/>
      <c r="AU12" s="402"/>
      <c r="AV12" s="402"/>
      <c r="AW12" s="402"/>
      <c r="AX12" s="402"/>
      <c r="AY12" s="402"/>
      <c r="AZ12" s="402"/>
      <c r="BA12" s="402"/>
      <c r="BB12" s="402"/>
      <c r="BC12" s="402"/>
      <c r="BD12" s="402"/>
      <c r="BE12" s="402"/>
      <c r="BF12" s="402"/>
      <c r="BG12" s="402"/>
      <c r="BH12" s="402"/>
      <c r="BI12" s="402"/>
      <c r="BJ12" s="402"/>
      <c r="BK12" s="402"/>
      <c r="BL12" s="402"/>
      <c r="BM12" s="402"/>
      <c r="BN12" s="402"/>
      <c r="BO12" s="402"/>
      <c r="BP12" s="402"/>
      <c r="BQ12" s="402"/>
      <c r="BR12" s="402"/>
      <c r="BS12" s="402"/>
      <c r="BT12" s="402"/>
      <c r="BU12" s="402"/>
      <c r="BV12" s="402"/>
      <c r="BW12" s="402"/>
      <c r="BX12" s="402"/>
      <c r="BY12" s="402"/>
      <c r="BZ12" s="402"/>
      <c r="CA12" s="402"/>
      <c r="CB12" s="402"/>
      <c r="CC12" s="402"/>
      <c r="CD12" s="402"/>
      <c r="CE12" s="402"/>
      <c r="CF12" s="402"/>
      <c r="CG12" s="402"/>
      <c r="CH12" s="402"/>
      <c r="CI12" s="402"/>
      <c r="CJ12" s="402"/>
      <c r="CK12" s="402"/>
      <c r="CL12" s="402"/>
      <c r="CM12" s="402"/>
      <c r="CN12" s="402"/>
      <c r="CO12" s="402"/>
      <c r="CP12" s="402"/>
      <c r="CQ12" s="402"/>
      <c r="CR12" s="402"/>
      <c r="CS12" s="402"/>
      <c r="CT12" s="402"/>
      <c r="CU12" s="402"/>
      <c r="CV12" s="402"/>
      <c r="CW12" s="402"/>
      <c r="CX12" s="402"/>
      <c r="CY12" s="402"/>
      <c r="CZ12" s="402"/>
      <c r="DA12" s="402"/>
      <c r="DB12" s="402"/>
      <c r="DC12" s="402"/>
      <c r="DD12" s="402"/>
      <c r="DE12" s="402"/>
      <c r="DF12" s="402"/>
      <c r="DG12" s="402"/>
      <c r="DH12" s="402"/>
      <c r="DI12" s="402"/>
      <c r="DJ12" s="402"/>
      <c r="DK12" s="402"/>
      <c r="DL12" s="402"/>
      <c r="DM12" s="402"/>
      <c r="DN12" s="402"/>
      <c r="DO12" s="402"/>
      <c r="DP12" s="402"/>
      <c r="DQ12" s="402"/>
      <c r="DR12" s="402"/>
      <c r="DS12" s="402"/>
      <c r="DT12" s="402"/>
      <c r="DU12" s="402"/>
      <c r="DV12" s="402"/>
      <c r="DW12" s="402"/>
      <c r="DX12" s="402"/>
      <c r="DY12" s="402"/>
      <c r="DZ12" s="402"/>
      <c r="EA12" s="402"/>
      <c r="EB12" s="389"/>
      <c r="EC12" s="392" t="s">
        <v>65</v>
      </c>
    </row>
    <row r="13" spans="1:146" s="390" customFormat="1" outlineLevel="1">
      <c r="A13" s="389"/>
      <c r="B13" s="389"/>
      <c r="C13" s="389"/>
      <c r="D13" s="403" t="s">
        <v>499</v>
      </c>
      <c r="F13" s="700"/>
      <c r="G13" s="700"/>
      <c r="H13" s="700"/>
      <c r="I13" s="792">
        <f ca="1">MAX(L13:EA13)</f>
        <v>0</v>
      </c>
      <c r="J13" s="700"/>
      <c r="K13" s="404"/>
      <c r="L13" s="750">
        <f ca="1">IF(L$8&lt;=Assumptions!$M$58,IF(SUM($K$70:K$70)=$I$70,IF(K13=0,Assumptions!$H$59,MIN('Monthly-CF'!K13+Assumptions!$I$59,Assumptions!$J$59)),0),0)</f>
        <v>0</v>
      </c>
      <c r="M13" s="750">
        <f ca="1">IF(M$8&lt;=Assumptions!$M$58,IF(SUM($K$70:L$70)=$I$70,IF(L13=0,Assumptions!$H$59,MIN('Monthly-CF'!L13+Assumptions!$I$59,Assumptions!$J$59)),0),0)</f>
        <v>0</v>
      </c>
      <c r="N13" s="750">
        <f ca="1">IF(N$8&lt;=Assumptions!$M$58,IF(SUM($K$70:M$70)=$I$70,IF(M13=0,Assumptions!$H$59,MIN('Monthly-CF'!M13+Assumptions!$I$59,Assumptions!$J$59)),0),0)</f>
        <v>0</v>
      </c>
      <c r="O13" s="750">
        <f ca="1">IF(O$8&lt;=Assumptions!$M$58,IF(SUM($K$70:N$70)=$I$70,IF(N13=0,Assumptions!$H$59,MIN('Monthly-CF'!N13+Assumptions!$I$59,Assumptions!$J$59)),0),0)</f>
        <v>0</v>
      </c>
      <c r="P13" s="750">
        <f ca="1">IF(P$8&lt;=Assumptions!$M$58,IF(SUM($K$70:O$70)=$I$70,IF(O13=0,Assumptions!$H$59,MIN('Monthly-CF'!O13+Assumptions!$I$59,Assumptions!$J$59)),0),0)</f>
        <v>0</v>
      </c>
      <c r="Q13" s="750">
        <f ca="1">IF(Q$8&lt;=Assumptions!$M$58,IF(SUM($K$70:P$70)=$I$70,IF(P13=0,Assumptions!$H$59,MIN('Monthly-CF'!P13+Assumptions!$I$59,Assumptions!$J$59)),0),0)</f>
        <v>0</v>
      </c>
      <c r="R13" s="750">
        <f ca="1">IF(R$8&lt;=Assumptions!$M$58,IF(SUM($K$70:Q$70)=$I$70,IF(Q13=0,Assumptions!$H$59,MIN('Monthly-CF'!Q13+Assumptions!$I$59,Assumptions!$J$59)),0),0)</f>
        <v>0</v>
      </c>
      <c r="S13" s="750">
        <f ca="1">IF(S$8&lt;=Assumptions!$M$58,IF(SUM($K$70:R$70)=$I$70,IF(R13=0,Assumptions!$H$59,MIN('Monthly-CF'!R13+Assumptions!$I$59,Assumptions!$J$59)),0),0)</f>
        <v>0</v>
      </c>
      <c r="T13" s="750">
        <f ca="1">IF(T$8&lt;=Assumptions!$M$58,IF(SUM($K$70:S$70)=$I$70,IF(S13=0,Assumptions!$H$59,MIN('Monthly-CF'!S13+Assumptions!$I$59,Assumptions!$J$59)),0),0)</f>
        <v>0</v>
      </c>
      <c r="U13" s="750">
        <f ca="1">IF(U$8&lt;=Assumptions!$M$58,IF(SUM($K$70:T$70)=$I$70,IF(T13=0,Assumptions!$H$59,MIN('Monthly-CF'!T13+Assumptions!$I$59,Assumptions!$J$59)),0),0)</f>
        <v>0</v>
      </c>
      <c r="V13" s="750">
        <f ca="1">IF(V$8&lt;=Assumptions!$M$58,IF(SUM($K$70:U$70)=$I$70,IF(U13=0,Assumptions!$H$59,MIN('Monthly-CF'!U13+Assumptions!$I$59,Assumptions!$J$59)),0),0)</f>
        <v>0</v>
      </c>
      <c r="W13" s="750">
        <f ca="1">IF(W$8&lt;=Assumptions!$M$58,IF(SUM($K$70:V$70)=$I$70,IF(V13=0,Assumptions!$H$59,MIN('Monthly-CF'!V13+Assumptions!$I$59,Assumptions!$J$59)),0),0)</f>
        <v>0</v>
      </c>
      <c r="X13" s="750">
        <f ca="1">IF(X$8&lt;=Assumptions!$M$58,IF(SUM($K$70:W$70)=$I$70,IF(W13=0,Assumptions!$H$59,MIN('Monthly-CF'!W13+Assumptions!$I$59,Assumptions!$J$59)),0),0)</f>
        <v>0</v>
      </c>
      <c r="Y13" s="750">
        <f ca="1">IF(Y$8&lt;=Assumptions!$M$58,IF(SUM($K$70:X$70)=$I$70,IF(X13=0,Assumptions!$H$59,MIN('Monthly-CF'!X13+Assumptions!$I$59,Assumptions!$J$59)),0),0)</f>
        <v>0</v>
      </c>
      <c r="Z13" s="750">
        <f ca="1">IF(Z$8&lt;=Assumptions!$M$58,IF(SUM($K$70:Y$70)=$I$70,IF(Y13=0,Assumptions!$H$59,MIN('Monthly-CF'!Y13+Assumptions!$I$59,Assumptions!$J$59)),0),0)</f>
        <v>0</v>
      </c>
      <c r="AA13" s="750">
        <f ca="1">IF(AA$8&lt;=Assumptions!$M$58,IF(SUM($K$70:Z$70)=$I$70,IF(Z13=0,Assumptions!$H$59,MIN('Monthly-CF'!Z13+Assumptions!$I$59,Assumptions!$J$59)),0),0)</f>
        <v>0</v>
      </c>
      <c r="AB13" s="750">
        <f ca="1">IF(AB$8&lt;=Assumptions!$M$58,IF(SUM($K$70:AA$70)=$I$70,IF(AA13=0,Assumptions!$H$59,MIN('Monthly-CF'!AA13+Assumptions!$I$59,Assumptions!$J$59)),0),0)</f>
        <v>0</v>
      </c>
      <c r="AC13" s="750">
        <f ca="1">IF(AC$8&lt;=Assumptions!$M$58,IF(SUM($K$70:AB$70)=$I$70,IF(AB13=0,Assumptions!$H$59,MIN('Monthly-CF'!AB13+Assumptions!$I$59,Assumptions!$J$59)),0),0)</f>
        <v>0</v>
      </c>
      <c r="AD13" s="750">
        <f ca="1">IF(AD$8&lt;=Assumptions!$M$58,IF(SUM($K$70:AC$70)=$I$70,IF(AC13=0,Assumptions!$H$59,MIN('Monthly-CF'!AC13+Assumptions!$I$59,Assumptions!$J$59)),0),0)</f>
        <v>0</v>
      </c>
      <c r="AE13" s="750">
        <f ca="1">IF(AE$8&lt;=Assumptions!$M$58,IF(SUM($K$70:AD$70)=$I$70,IF(AD13=0,Assumptions!$H$59,MIN('Monthly-CF'!AD13+Assumptions!$I$59,Assumptions!$J$59)),0),0)</f>
        <v>0</v>
      </c>
      <c r="AF13" s="750">
        <f ca="1">IF(AF$8&lt;=Assumptions!$M$58,IF(SUM($K$70:AE$70)=$I$70,IF(AE13=0,Assumptions!$H$59,MIN('Monthly-CF'!AE13+Assumptions!$I$59,Assumptions!$J$59)),0),0)</f>
        <v>0</v>
      </c>
      <c r="AG13" s="750">
        <f ca="1">IF(AG$8&lt;=Assumptions!$M$58,IF(SUM($K$70:AF$70)=$I$70,IF(AF13=0,Assumptions!$H$59,MIN('Monthly-CF'!AF13+Assumptions!$I$59,Assumptions!$J$59)),0),0)</f>
        <v>0</v>
      </c>
      <c r="AH13" s="750">
        <f ca="1">IF(AH$8&lt;=Assumptions!$M$58,IF(SUM($K$70:AG$70)=$I$70,IF(AG13=0,Assumptions!$H$59,MIN('Monthly-CF'!AG13+Assumptions!$I$59,Assumptions!$J$59)),0),0)</f>
        <v>0</v>
      </c>
      <c r="AI13" s="750">
        <f ca="1">IF(AI$8&lt;=Assumptions!$M$58,IF(SUM($K$70:AH$70)=$I$70,IF(AH13=0,Assumptions!$H$59,MIN('Monthly-CF'!AH13+Assumptions!$I$59,Assumptions!$J$59)),0),0)</f>
        <v>0</v>
      </c>
      <c r="AJ13" s="750">
        <f ca="1">IF(AJ$8&lt;=Assumptions!$M$58,IF(SUM($K$70:AI$70)=$I$70,IF(AI13=0,Assumptions!$H$59,MIN('Monthly-CF'!AI13+Assumptions!$I$59,Assumptions!$J$59)),0),0)</f>
        <v>0</v>
      </c>
      <c r="AK13" s="750">
        <f ca="1">IF(AK$8&lt;=Assumptions!$M$58,IF(SUM($K$70:AJ$70)=$I$70,IF(AJ13=0,Assumptions!$H$59,MIN('Monthly-CF'!AJ13+Assumptions!$I$59,Assumptions!$J$59)),0),0)</f>
        <v>0</v>
      </c>
      <c r="AL13" s="750">
        <f ca="1">IF(AL$8&lt;=Assumptions!$M$58,IF(SUM($K$70:AK$70)=$I$70,IF(AK13=0,Assumptions!$H$59,MIN('Monthly-CF'!AK13+Assumptions!$I$59,Assumptions!$J$59)),0),0)</f>
        <v>0</v>
      </c>
      <c r="AM13" s="750">
        <f ca="1">IF(AM$8&lt;=Assumptions!$M$58,IF(SUM($K$70:AL$70)=$I$70,IF(AL13=0,Assumptions!$H$59,MIN('Monthly-CF'!AL13+Assumptions!$I$59,Assumptions!$J$59)),0),0)</f>
        <v>0</v>
      </c>
      <c r="AN13" s="750">
        <f ca="1">IF(AN$8&lt;=Assumptions!$M$58,IF(SUM($K$70:AM$70)=$I$70,IF(AM13=0,Assumptions!$H$59,MIN('Monthly-CF'!AM13+Assumptions!$I$59,Assumptions!$J$59)),0),0)</f>
        <v>0</v>
      </c>
      <c r="AO13" s="750">
        <f ca="1">IF(AO$8&lt;=Assumptions!$M$58,IF(SUM($K$70:AN$70)=$I$70,IF(AN13=0,Assumptions!$H$59,MIN('Monthly-CF'!AN13+Assumptions!$I$59,Assumptions!$J$59)),0),0)</f>
        <v>0</v>
      </c>
      <c r="AP13" s="750">
        <f ca="1">IF(AP$8&lt;=Assumptions!$M$58,IF(SUM($K$70:AO$70)=$I$70,IF(AO13=0,Assumptions!$H$59,MIN('Monthly-CF'!AO13+Assumptions!$I$59,Assumptions!$J$59)),0),0)</f>
        <v>0</v>
      </c>
      <c r="AQ13" s="750">
        <f ca="1">IF(AQ$8&lt;=Assumptions!$M$58,IF(SUM($K$70:AP$70)=$I$70,IF(AP13=0,Assumptions!$H$59,MIN('Monthly-CF'!AP13+Assumptions!$I$59,Assumptions!$J$59)),0),0)</f>
        <v>0</v>
      </c>
      <c r="AR13" s="750">
        <f ca="1">IF(AR$8&lt;=Assumptions!$M$58,IF(SUM($K$70:AQ$70)=$I$70,IF(AQ13=0,Assumptions!$H$59,MIN('Monthly-CF'!AQ13+Assumptions!$I$59,Assumptions!$J$59)),0),0)</f>
        <v>0</v>
      </c>
      <c r="AS13" s="750">
        <f ca="1">IF(AS$8&lt;=Assumptions!$M$58,IF(SUM($K$70:AR$70)=$I$70,IF(AR13=0,Assumptions!$H$59,MIN('Monthly-CF'!AR13+Assumptions!$I$59,Assumptions!$J$59)),0),0)</f>
        <v>0</v>
      </c>
      <c r="AT13" s="750">
        <f ca="1">IF(AT$8&lt;=Assumptions!$M$58,IF(SUM($K$70:AS$70)=$I$70,IF(AS13=0,Assumptions!$H$59,MIN('Monthly-CF'!AS13+Assumptions!$I$59,Assumptions!$J$59)),0),0)</f>
        <v>0</v>
      </c>
      <c r="AU13" s="750">
        <f ca="1">IF(AU$8&lt;=Assumptions!$M$58,IF(SUM($K$70:AT$70)=$I$70,IF(AT13=0,Assumptions!$H$59,MIN('Monthly-CF'!AT13+Assumptions!$I$59,Assumptions!$J$59)),0),0)</f>
        <v>0</v>
      </c>
      <c r="AV13" s="750">
        <f ca="1">IF(AV$8&lt;=Assumptions!$M$58,IF(SUM($K$70:AU$70)=$I$70,IF(AU13=0,Assumptions!$H$59,MIN('Monthly-CF'!AU13+Assumptions!$I$59,Assumptions!$J$59)),0),0)</f>
        <v>0</v>
      </c>
      <c r="AW13" s="750">
        <f ca="1">IF(AW$8&lt;=Assumptions!$M$58,IF(SUM($K$70:AV$70)=$I$70,IF(AV13=0,Assumptions!$H$59,MIN('Monthly-CF'!AV13+Assumptions!$I$59,Assumptions!$J$59)),0),0)</f>
        <v>0</v>
      </c>
      <c r="AX13" s="750">
        <f ca="1">IF(AX$8&lt;=Assumptions!$M$58,IF(SUM($K$70:AW$70)=$I$70,IF(AW13=0,Assumptions!$H$59,MIN('Monthly-CF'!AW13+Assumptions!$I$59,Assumptions!$J$59)),0),0)</f>
        <v>0</v>
      </c>
      <c r="AY13" s="750">
        <f ca="1">IF(AY$8&lt;=Assumptions!$M$58,IF(SUM($K$70:AX$70)=$I$70,IF(AX13=0,Assumptions!$H$59,MIN('Monthly-CF'!AX13+Assumptions!$I$59,Assumptions!$J$59)),0),0)</f>
        <v>0</v>
      </c>
      <c r="AZ13" s="750">
        <f ca="1">IF(AZ$8&lt;=Assumptions!$M$58,IF(SUM($K$70:AY$70)=$I$70,IF(AY13=0,Assumptions!$H$59,MIN('Monthly-CF'!AY13+Assumptions!$I$59,Assumptions!$J$59)),0),0)</f>
        <v>0</v>
      </c>
      <c r="BA13" s="750">
        <f ca="1">IF(BA$8&lt;=Assumptions!$M$58,IF(SUM($K$70:AZ$70)=$I$70,IF(AZ13=0,Assumptions!$H$59,MIN('Monthly-CF'!AZ13+Assumptions!$I$59,Assumptions!$J$59)),0),0)</f>
        <v>0</v>
      </c>
      <c r="BB13" s="750">
        <f ca="1">IF(BB$8&lt;=Assumptions!$M$58,IF(SUM($K$70:BA$70)=$I$70,IF(BA13=0,Assumptions!$H$59,MIN('Monthly-CF'!BA13+Assumptions!$I$59,Assumptions!$J$59)),0),0)</f>
        <v>0</v>
      </c>
      <c r="BC13" s="750">
        <f ca="1">IF(BC$8&lt;=Assumptions!$M$58,IF(SUM($K$70:BB$70)=$I$70,IF(BB13=0,Assumptions!$H$59,MIN('Monthly-CF'!BB13+Assumptions!$I$59,Assumptions!$J$59)),0),0)</f>
        <v>0</v>
      </c>
      <c r="BD13" s="750">
        <f ca="1">IF(BD$8&lt;=Assumptions!$M$58,IF(SUM($K$70:BC$70)=$I$70,IF(BC13=0,Assumptions!$H$59,MIN('Monthly-CF'!BC13+Assumptions!$I$59,Assumptions!$J$59)),0),0)</f>
        <v>0</v>
      </c>
      <c r="BE13" s="750">
        <f ca="1">IF(BE$8&lt;=Assumptions!$M$58,IF(SUM($K$70:BD$70)=$I$70,IF(BD13=0,Assumptions!$H$59,MIN('Monthly-CF'!BD13+Assumptions!$I$59,Assumptions!$J$59)),0),0)</f>
        <v>0</v>
      </c>
      <c r="BF13" s="750">
        <f ca="1">IF(BF$8&lt;=Assumptions!$M$58,IF(SUM($K$70:BE$70)=$I$70,IF(BE13=0,Assumptions!$H$59,MIN('Monthly-CF'!BE13+Assumptions!$I$59,Assumptions!$J$59)),0),0)</f>
        <v>0</v>
      </c>
      <c r="BG13" s="750">
        <f ca="1">IF(BG$8&lt;=Assumptions!$M$58,IF(SUM($K$70:BF$70)=$I$70,IF(BF13=0,Assumptions!$H$59,MIN('Monthly-CF'!BF13+Assumptions!$I$59,Assumptions!$J$59)),0),0)</f>
        <v>0</v>
      </c>
      <c r="BH13" s="750">
        <f ca="1">IF(BH$8&lt;=Assumptions!$M$58,IF(SUM($K$70:BG$70)=$I$70,IF(BG13=0,Assumptions!$H$59,MIN('Monthly-CF'!BG13+Assumptions!$I$59,Assumptions!$J$59)),0),0)</f>
        <v>0</v>
      </c>
      <c r="BI13" s="750">
        <f ca="1">IF(BI$8&lt;=Assumptions!$M$58,IF(SUM($K$70:BH$70)=$I$70,IF(BH13=0,Assumptions!$H$59,MIN('Monthly-CF'!BH13+Assumptions!$I$59,Assumptions!$J$59)),0),0)</f>
        <v>0</v>
      </c>
      <c r="BJ13" s="750">
        <f ca="1">IF(BJ$8&lt;=Assumptions!$M$58,IF(SUM($K$70:BI$70)=$I$70,IF(BI13=0,Assumptions!$H$59,MIN('Monthly-CF'!BI13+Assumptions!$I$59,Assumptions!$J$59)),0),0)</f>
        <v>0</v>
      </c>
      <c r="BK13" s="750">
        <f ca="1">IF(BK$8&lt;=Assumptions!$M$58,IF(SUM($K$70:BJ$70)=$I$70,IF(BJ13=0,Assumptions!$H$59,MIN('Monthly-CF'!BJ13+Assumptions!$I$59,Assumptions!$J$59)),0),0)</f>
        <v>0</v>
      </c>
      <c r="BL13" s="750">
        <f ca="1">IF(BL$8&lt;=Assumptions!$M$58,IF(SUM($K$70:BK$70)=$I$70,IF(BK13=0,Assumptions!$H$59,MIN('Monthly-CF'!BK13+Assumptions!$I$59,Assumptions!$J$59)),0),0)</f>
        <v>0</v>
      </c>
      <c r="BM13" s="750">
        <f ca="1">IF(BM$8&lt;=Assumptions!$M$58,IF(SUM($K$70:BL$70)=$I$70,IF(BL13=0,Assumptions!$H$59,MIN('Monthly-CF'!BL13+Assumptions!$I$59,Assumptions!$J$59)),0),0)</f>
        <v>0</v>
      </c>
      <c r="BN13" s="750">
        <f ca="1">IF(BN$8&lt;=Assumptions!$M$58,IF(SUM($K$70:BM$70)=$I$70,IF(BM13=0,Assumptions!$H$59,MIN('Monthly-CF'!BM13+Assumptions!$I$59,Assumptions!$J$59)),0),0)</f>
        <v>0</v>
      </c>
      <c r="BO13" s="750">
        <f ca="1">IF(BO$8&lt;=Assumptions!$M$58,IF(SUM($K$70:BN$70)=$I$70,IF(BN13=0,Assumptions!$H$59,MIN('Monthly-CF'!BN13+Assumptions!$I$59,Assumptions!$J$59)),0),0)</f>
        <v>0</v>
      </c>
      <c r="BP13" s="750">
        <f ca="1">IF(BP$8&lt;=Assumptions!$M$58,IF(SUM($K$70:BO$70)=$I$70,IF(BO13=0,Assumptions!$H$59,MIN('Monthly-CF'!BO13+Assumptions!$I$59,Assumptions!$J$59)),0),0)</f>
        <v>0</v>
      </c>
      <c r="BQ13" s="750">
        <f ca="1">IF(BQ$8&lt;=Assumptions!$M$58,IF(SUM($K$70:BP$70)=$I$70,IF(BP13=0,Assumptions!$H$59,MIN('Monthly-CF'!BP13+Assumptions!$I$59,Assumptions!$J$59)),0),0)</f>
        <v>0</v>
      </c>
      <c r="BR13" s="750">
        <f ca="1">IF(BR$8&lt;=Assumptions!$M$58,IF(SUM($K$70:BQ$70)=$I$70,IF(BQ13=0,Assumptions!$H$59,MIN('Monthly-CF'!BQ13+Assumptions!$I$59,Assumptions!$J$59)),0),0)</f>
        <v>0</v>
      </c>
      <c r="BS13" s="750">
        <f ca="1">IF(BS$8&lt;=Assumptions!$M$58,IF(SUM($K$70:BR$70)=$I$70,IF(BR13=0,Assumptions!$H$59,MIN('Monthly-CF'!BR13+Assumptions!$I$59,Assumptions!$J$59)),0),0)</f>
        <v>0</v>
      </c>
      <c r="BT13" s="750">
        <f ca="1">IF(BT$8&lt;=Assumptions!$M$58,IF(SUM($K$70:BS$70)=$I$70,IF(BS13=0,Assumptions!$H$59,MIN('Monthly-CF'!BS13+Assumptions!$I$59,Assumptions!$J$59)),0),0)</f>
        <v>0</v>
      </c>
      <c r="BU13" s="750">
        <f ca="1">IF(BU$8&lt;=Assumptions!$M$58,IF(SUM($K$70:BT$70)=$I$70,IF(BT13=0,Assumptions!$H$59,MIN('Monthly-CF'!BT13+Assumptions!$I$59,Assumptions!$J$59)),0),0)</f>
        <v>0</v>
      </c>
      <c r="BV13" s="750">
        <f ca="1">IF(BV$8&lt;=Assumptions!$M$58,IF(SUM($K$70:BU$70)=$I$70,IF(BU13=0,Assumptions!$H$59,MIN('Monthly-CF'!BU13+Assumptions!$I$59,Assumptions!$J$59)),0),0)</f>
        <v>0</v>
      </c>
      <c r="BW13" s="750">
        <f ca="1">IF(BW$8&lt;=Assumptions!$M$58,IF(SUM($K$70:BV$70)=$I$70,IF(BV13=0,Assumptions!$H$59,MIN('Monthly-CF'!BV13+Assumptions!$I$59,Assumptions!$J$59)),0),0)</f>
        <v>0</v>
      </c>
      <c r="BX13" s="750">
        <f ca="1">IF(BX$8&lt;=Assumptions!$M$58,IF(SUM($K$70:BW$70)=$I$70,IF(BW13=0,Assumptions!$H$59,MIN('Monthly-CF'!BW13+Assumptions!$I$59,Assumptions!$J$59)),0),0)</f>
        <v>0</v>
      </c>
      <c r="BY13" s="750">
        <f ca="1">IF(BY$8&lt;=Assumptions!$M$58,IF(SUM($K$70:BX$70)=$I$70,IF(BX13=0,Assumptions!$H$59,MIN('Monthly-CF'!BX13+Assumptions!$I$59,Assumptions!$J$59)),0),0)</f>
        <v>0</v>
      </c>
      <c r="BZ13" s="750">
        <f ca="1">IF(BZ$8&lt;=Assumptions!$M$58,IF(SUM($K$70:BY$70)=$I$70,IF(BY13=0,Assumptions!$H$59,MIN('Monthly-CF'!BY13+Assumptions!$I$59,Assumptions!$J$59)),0),0)</f>
        <v>0</v>
      </c>
      <c r="CA13" s="750">
        <f ca="1">IF(CA$8&lt;=Assumptions!$M$58,IF(SUM($K$70:BZ$70)=$I$70,IF(BZ13=0,Assumptions!$H$59,MIN('Monthly-CF'!BZ13+Assumptions!$I$59,Assumptions!$J$59)),0),0)</f>
        <v>0</v>
      </c>
      <c r="CB13" s="750">
        <f ca="1">IF(CB$8&lt;=Assumptions!$M$58,IF(SUM($K$70:CA$70)=$I$70,IF(CA13=0,Assumptions!$H$59,MIN('Monthly-CF'!CA13+Assumptions!$I$59,Assumptions!$J$59)),0),0)</f>
        <v>0</v>
      </c>
      <c r="CC13" s="750">
        <f ca="1">IF(CC$8&lt;=Assumptions!$M$58,IF(SUM($K$70:CB$70)=$I$70,IF(CB13=0,Assumptions!$H$59,MIN('Monthly-CF'!CB13+Assumptions!$I$59,Assumptions!$J$59)),0),0)</f>
        <v>0</v>
      </c>
      <c r="CD13" s="750">
        <f ca="1">IF(CD$8&lt;=Assumptions!$M$58,IF(SUM($K$70:CC$70)=$I$70,IF(CC13=0,Assumptions!$H$59,MIN('Monthly-CF'!CC13+Assumptions!$I$59,Assumptions!$J$59)),0),0)</f>
        <v>0</v>
      </c>
      <c r="CE13" s="750">
        <f ca="1">IF(CE$8&lt;=Assumptions!$M$58,IF(SUM($K$70:CD$70)=$I$70,IF(CD13=0,Assumptions!$H$59,MIN('Monthly-CF'!CD13+Assumptions!$I$59,Assumptions!$J$59)),0),0)</f>
        <v>0</v>
      </c>
      <c r="CF13" s="750">
        <f ca="1">IF(CF$8&lt;=Assumptions!$M$58,IF(SUM($K$70:CE$70)=$I$70,IF(CE13=0,Assumptions!$H$59,MIN('Monthly-CF'!CE13+Assumptions!$I$59,Assumptions!$J$59)),0),0)</f>
        <v>0</v>
      </c>
      <c r="CG13" s="750">
        <f ca="1">IF(CG$8&lt;=Assumptions!$M$58,IF(SUM($K$70:CF$70)=$I$70,IF(CF13=0,Assumptions!$H$59,MIN('Monthly-CF'!CF13+Assumptions!$I$59,Assumptions!$J$59)),0),0)</f>
        <v>0</v>
      </c>
      <c r="CH13" s="750">
        <f ca="1">IF(CH$8&lt;=Assumptions!$M$58,IF(SUM($K$70:CG$70)=$I$70,IF(CG13=0,Assumptions!$H$59,MIN('Monthly-CF'!CG13+Assumptions!$I$59,Assumptions!$J$59)),0),0)</f>
        <v>0</v>
      </c>
      <c r="CI13" s="750">
        <f ca="1">IF(CI$8&lt;=Assumptions!$M$58,IF(SUM($K$70:CH$70)=$I$70,IF(CH13=0,Assumptions!$H$59,MIN('Monthly-CF'!CH13+Assumptions!$I$59,Assumptions!$J$59)),0),0)</f>
        <v>0</v>
      </c>
      <c r="CJ13" s="750">
        <f ca="1">IF(CJ$8&lt;=Assumptions!$M$58,IF(SUM($K$70:CI$70)=$I$70,IF(CI13=0,Assumptions!$H$59,MIN('Monthly-CF'!CI13+Assumptions!$I$59,Assumptions!$J$59)),0),0)</f>
        <v>0</v>
      </c>
      <c r="CK13" s="750">
        <f ca="1">IF(CK$8&lt;=Assumptions!$M$58,IF(SUM($K$70:CJ$70)=$I$70,IF(CJ13=0,Assumptions!$H$59,MIN('Monthly-CF'!CJ13+Assumptions!$I$59,Assumptions!$J$59)),0),0)</f>
        <v>0</v>
      </c>
      <c r="CL13" s="750">
        <f ca="1">IF(CL$8&lt;=Assumptions!$M$58,IF(SUM($K$70:CK$70)=$I$70,IF(CK13=0,Assumptions!$H$59,MIN('Monthly-CF'!CK13+Assumptions!$I$59,Assumptions!$J$59)),0),0)</f>
        <v>0</v>
      </c>
      <c r="CM13" s="750">
        <f ca="1">IF(CM$8&lt;=Assumptions!$M$58,IF(SUM($K$70:CL$70)=$I$70,IF(CL13=0,Assumptions!$H$59,MIN('Monthly-CF'!CL13+Assumptions!$I$59,Assumptions!$J$59)),0),0)</f>
        <v>0</v>
      </c>
      <c r="CN13" s="750">
        <f ca="1">IF(CN$8&lt;=Assumptions!$M$58,IF(SUM($K$70:CM$70)=$I$70,IF(CM13=0,Assumptions!$H$59,MIN('Monthly-CF'!CM13+Assumptions!$I$59,Assumptions!$J$59)),0),0)</f>
        <v>0</v>
      </c>
      <c r="CO13" s="750">
        <f ca="1">IF(CO$8&lt;=Assumptions!$M$58,IF(SUM($K$70:CN$70)=$I$70,IF(CN13=0,Assumptions!$H$59,MIN('Monthly-CF'!CN13+Assumptions!$I$59,Assumptions!$J$59)),0),0)</f>
        <v>0</v>
      </c>
      <c r="CP13" s="750">
        <f ca="1">IF(CP$8&lt;=Assumptions!$M$58,IF(SUM($K$70:CO$70)=$I$70,IF(CO13=0,Assumptions!$H$59,MIN('Monthly-CF'!CO13+Assumptions!$I$59,Assumptions!$J$59)),0),0)</f>
        <v>0</v>
      </c>
      <c r="CQ13" s="750">
        <f ca="1">IF(CQ$8&lt;=Assumptions!$M$58,IF(SUM($K$70:CP$70)=$I$70,IF(CP13=0,Assumptions!$H$59,MIN('Monthly-CF'!CP13+Assumptions!$I$59,Assumptions!$J$59)),0),0)</f>
        <v>0</v>
      </c>
      <c r="CR13" s="750">
        <f ca="1">IF(CR$8&lt;=Assumptions!$M$58,IF(SUM($K$70:CQ$70)=$I$70,IF(CQ13=0,Assumptions!$H$59,MIN('Monthly-CF'!CQ13+Assumptions!$I$59,Assumptions!$J$59)),0),0)</f>
        <v>0</v>
      </c>
      <c r="CS13" s="750">
        <f ca="1">IF(CS$8&lt;=Assumptions!$M$58,IF(SUM($K$70:CR$70)=$I$70,IF(CR13=0,Assumptions!$H$59,MIN('Monthly-CF'!CR13+Assumptions!$I$59,Assumptions!$J$59)),0),0)</f>
        <v>0</v>
      </c>
      <c r="CT13" s="750">
        <f ca="1">IF(CT$8&lt;=Assumptions!$M$58,IF(SUM($K$70:CS$70)=$I$70,IF(CS13=0,Assumptions!$H$59,MIN('Monthly-CF'!CS13+Assumptions!$I$59,Assumptions!$J$59)),0),0)</f>
        <v>0</v>
      </c>
      <c r="CU13" s="750">
        <f ca="1">IF(CU$8&lt;=Assumptions!$M$58,IF(SUM($K$70:CT$70)=$I$70,IF(CT13=0,Assumptions!$H$59,MIN('Monthly-CF'!CT13+Assumptions!$I$59,Assumptions!$J$59)),0),0)</f>
        <v>0</v>
      </c>
      <c r="CV13" s="750">
        <f ca="1">IF(CV$8&lt;=Assumptions!$M$58,IF(SUM($K$70:CU$70)=$I$70,IF(CU13=0,Assumptions!$H$59,MIN('Monthly-CF'!CU13+Assumptions!$I$59,Assumptions!$J$59)),0),0)</f>
        <v>0</v>
      </c>
      <c r="CW13" s="750">
        <f ca="1">IF(CW$8&lt;=Assumptions!$M$58,IF(SUM($K$70:CV$70)=$I$70,IF(CV13=0,Assumptions!$H$59,MIN('Monthly-CF'!CV13+Assumptions!$I$59,Assumptions!$J$59)),0),0)</f>
        <v>0</v>
      </c>
      <c r="CX13" s="750">
        <f ca="1">IF(CX$8&lt;=Assumptions!$M$58,IF(SUM($K$70:CW$70)=$I$70,IF(CW13=0,Assumptions!$H$59,MIN('Monthly-CF'!CW13+Assumptions!$I$59,Assumptions!$J$59)),0),0)</f>
        <v>0</v>
      </c>
      <c r="CY13" s="750">
        <f ca="1">IF(CY$8&lt;=Assumptions!$M$58,IF(SUM($K$70:CX$70)=$I$70,IF(CX13=0,Assumptions!$H$59,MIN('Monthly-CF'!CX13+Assumptions!$I$59,Assumptions!$J$59)),0),0)</f>
        <v>0</v>
      </c>
      <c r="CZ13" s="750">
        <f ca="1">IF(CZ$8&lt;=Assumptions!$M$58,IF(SUM($K$70:CY$70)=$I$70,IF(CY13=0,Assumptions!$H$59,MIN('Monthly-CF'!CY13+Assumptions!$I$59,Assumptions!$J$59)),0),0)</f>
        <v>0</v>
      </c>
      <c r="DA13" s="750">
        <f ca="1">IF(DA$8&lt;=Assumptions!$M$58,IF(SUM($K$70:CZ$70)=$I$70,IF(CZ13=0,Assumptions!$H$59,MIN('Monthly-CF'!CZ13+Assumptions!$I$59,Assumptions!$J$59)),0),0)</f>
        <v>0</v>
      </c>
      <c r="DB13" s="750">
        <f ca="1">IF(DB$8&lt;=Assumptions!$M$58,IF(SUM($K$70:DA$70)=$I$70,IF(DA13=0,Assumptions!$H$59,MIN('Monthly-CF'!DA13+Assumptions!$I$59,Assumptions!$J$59)),0),0)</f>
        <v>0</v>
      </c>
      <c r="DC13" s="750">
        <f ca="1">IF(DC$8&lt;=Assumptions!$M$58,IF(SUM($K$70:DB$70)=$I$70,IF(DB13=0,Assumptions!$H$59,MIN('Monthly-CF'!DB13+Assumptions!$I$59,Assumptions!$J$59)),0),0)</f>
        <v>0</v>
      </c>
      <c r="DD13" s="750">
        <f ca="1">IF(DD$8&lt;=Assumptions!$M$58,IF(SUM($K$70:DC$70)=$I$70,IF(DC13=0,Assumptions!$H$59,MIN('Monthly-CF'!DC13+Assumptions!$I$59,Assumptions!$J$59)),0),0)</f>
        <v>0</v>
      </c>
      <c r="DE13" s="750">
        <f ca="1">IF(DE$8&lt;=Assumptions!$M$58,IF(SUM($K$70:DD$70)=$I$70,IF(DD13=0,Assumptions!$H$59,MIN('Monthly-CF'!DD13+Assumptions!$I$59,Assumptions!$J$59)),0),0)</f>
        <v>0</v>
      </c>
      <c r="DF13" s="750">
        <f ca="1">IF(DF$8&lt;=Assumptions!$M$58,IF(SUM($K$70:DE$70)=$I$70,IF(DE13=0,Assumptions!$H$59,MIN('Monthly-CF'!DE13+Assumptions!$I$59,Assumptions!$J$59)),0),0)</f>
        <v>0</v>
      </c>
      <c r="DG13" s="750">
        <f ca="1">IF(DG$8&lt;=Assumptions!$M$58,IF(SUM($K$70:DF$70)=$I$70,IF(DF13=0,Assumptions!$H$59,MIN('Monthly-CF'!DF13+Assumptions!$I$59,Assumptions!$J$59)),0),0)</f>
        <v>0</v>
      </c>
      <c r="DH13" s="750">
        <f ca="1">IF(DH$8&lt;=Assumptions!$M$58,IF(SUM($K$70:DG$70)=$I$70,IF(DG13=0,Assumptions!$H$59,MIN('Monthly-CF'!DG13+Assumptions!$I$59,Assumptions!$J$59)),0),0)</f>
        <v>0</v>
      </c>
      <c r="DI13" s="750">
        <f ca="1">IF(DI$8&lt;=Assumptions!$M$58,IF(SUM($K$70:DH$70)=$I$70,IF(DH13=0,Assumptions!$H$59,MIN('Monthly-CF'!DH13+Assumptions!$I$59,Assumptions!$J$59)),0),0)</f>
        <v>0</v>
      </c>
      <c r="DJ13" s="750">
        <f ca="1">IF(DJ$8&lt;=Assumptions!$M$58,IF(SUM($K$70:DI$70)=$I$70,IF(DI13=0,Assumptions!$H$59,MIN('Monthly-CF'!DI13+Assumptions!$I$59,Assumptions!$J$59)),0),0)</f>
        <v>0</v>
      </c>
      <c r="DK13" s="750">
        <f ca="1">IF(DK$8&lt;=Assumptions!$M$58,IF(SUM($K$70:DJ$70)=$I$70,IF(DJ13=0,Assumptions!$H$59,MIN('Monthly-CF'!DJ13+Assumptions!$I$59,Assumptions!$J$59)),0),0)</f>
        <v>0</v>
      </c>
      <c r="DL13" s="750">
        <f ca="1">IF(DL$8&lt;=Assumptions!$M$58,IF(SUM($K$70:DK$70)=$I$70,IF(DK13=0,Assumptions!$H$59,MIN('Monthly-CF'!DK13+Assumptions!$I$59,Assumptions!$J$59)),0),0)</f>
        <v>0</v>
      </c>
      <c r="DM13" s="750">
        <f ca="1">IF(DM$8&lt;=Assumptions!$M$58,IF(SUM($K$70:DL$70)=$I$70,IF(DL13=0,Assumptions!$H$59,MIN('Monthly-CF'!DL13+Assumptions!$I$59,Assumptions!$J$59)),0),0)</f>
        <v>0</v>
      </c>
      <c r="DN13" s="750">
        <f ca="1">IF(DN$8&lt;=Assumptions!$M$58,IF(SUM($K$70:DM$70)=$I$70,IF(DM13=0,Assumptions!$H$59,MIN('Monthly-CF'!DM13+Assumptions!$I$59,Assumptions!$J$59)),0),0)</f>
        <v>0</v>
      </c>
      <c r="DO13" s="750">
        <f ca="1">IF(DO$8&lt;=Assumptions!$M$58,IF(SUM($K$70:DN$70)=$I$70,IF(DN13=0,Assumptions!$H$59,MIN('Monthly-CF'!DN13+Assumptions!$I$59,Assumptions!$J$59)),0),0)</f>
        <v>0</v>
      </c>
      <c r="DP13" s="750">
        <f ca="1">IF(DP$8&lt;=Assumptions!$M$58,IF(SUM($K$70:DO$70)=$I$70,IF(DO13=0,Assumptions!$H$59,MIN('Monthly-CF'!DO13+Assumptions!$I$59,Assumptions!$J$59)),0),0)</f>
        <v>0</v>
      </c>
      <c r="DQ13" s="750">
        <f ca="1">IF(DQ$8&lt;=Assumptions!$M$58,IF(SUM($K$70:DP$70)=$I$70,IF(DP13=0,Assumptions!$H$59,MIN('Monthly-CF'!DP13+Assumptions!$I$59,Assumptions!$J$59)),0),0)</f>
        <v>0</v>
      </c>
      <c r="DR13" s="750">
        <f ca="1">IF(DR$8&lt;=Assumptions!$M$58,IF(SUM($K$70:DQ$70)=$I$70,IF(DQ13=0,Assumptions!$H$59,MIN('Monthly-CF'!DQ13+Assumptions!$I$59,Assumptions!$J$59)),0),0)</f>
        <v>0</v>
      </c>
      <c r="DS13" s="750">
        <f ca="1">IF(DS$8&lt;=Assumptions!$M$58,IF(SUM($K$70:DR$70)=$I$70,IF(DR13=0,Assumptions!$H$59,MIN('Monthly-CF'!DR13+Assumptions!$I$59,Assumptions!$J$59)),0),0)</f>
        <v>0</v>
      </c>
      <c r="DT13" s="750">
        <f ca="1">IF(DT$8&lt;=Assumptions!$M$58,IF(SUM($K$70:DS$70)=$I$70,IF(DS13=0,Assumptions!$H$59,MIN('Monthly-CF'!DS13+Assumptions!$I$59,Assumptions!$J$59)),0),0)</f>
        <v>0</v>
      </c>
      <c r="DU13" s="750">
        <f ca="1">IF(DU$8&lt;=Assumptions!$M$58,IF(SUM($K$70:DT$70)=$I$70,IF(DT13=0,Assumptions!$H$59,MIN('Monthly-CF'!DT13+Assumptions!$I$59,Assumptions!$J$59)),0),0)</f>
        <v>0</v>
      </c>
      <c r="DV13" s="750">
        <f ca="1">IF(DV$8&lt;=Assumptions!$M$58,IF(SUM($K$70:DU$70)=$I$70,IF(DU13=0,Assumptions!$H$59,MIN('Monthly-CF'!DU13+Assumptions!$I$59,Assumptions!$J$59)),0),0)</f>
        <v>0</v>
      </c>
      <c r="DW13" s="750">
        <f ca="1">IF(DW$8&lt;=Assumptions!$M$58,IF(SUM($K$70:DV$70)=$I$70,IF(DV13=0,Assumptions!$H$59,MIN('Monthly-CF'!DV13+Assumptions!$I$59,Assumptions!$J$59)),0),0)</f>
        <v>0</v>
      </c>
      <c r="DX13" s="750">
        <f ca="1">IF(DX$8&lt;=Assumptions!$M$58,IF(SUM($K$70:DW$70)=$I$70,IF(DW13=0,Assumptions!$H$59,MIN('Monthly-CF'!DW13+Assumptions!$I$59,Assumptions!$J$59)),0),0)</f>
        <v>0</v>
      </c>
      <c r="DY13" s="750">
        <f ca="1">IF(DY$8&lt;=Assumptions!$M$58,IF(SUM($K$70:DX$70)=$I$70,IF(DX13=0,Assumptions!$H$59,MIN('Monthly-CF'!DX13+Assumptions!$I$59,Assumptions!$J$59)),0),0)</f>
        <v>0</v>
      </c>
      <c r="DZ13" s="750">
        <f ca="1">IF(DZ$8&lt;=Assumptions!$M$58,IF(SUM($K$70:DY$70)=$I$70,IF(DY13=0,Assumptions!$H$59,MIN('Monthly-CF'!DY13+Assumptions!$I$59,Assumptions!$J$59)),0),0)</f>
        <v>0</v>
      </c>
      <c r="EA13" s="750">
        <f ca="1">IF(EA$8&lt;=Assumptions!$M$58,IF(SUM($K$70:DZ$70)=$I$70,IF(DZ13=0,Assumptions!$H$59,MIN('Monthly-CF'!DZ13+Assumptions!$I$59,Assumptions!$J$59)),0),0)</f>
        <v>0</v>
      </c>
      <c r="EB13" s="389"/>
      <c r="EC13" s="392" t="s">
        <v>65</v>
      </c>
    </row>
    <row r="14" spans="1:146" s="390" customFormat="1" outlineLevel="1">
      <c r="A14" s="389"/>
      <c r="B14" s="389"/>
      <c r="C14" s="389"/>
      <c r="D14" s="403" t="s">
        <v>500</v>
      </c>
      <c r="F14" s="700"/>
      <c r="G14" s="700"/>
      <c r="H14" s="700"/>
      <c r="I14" s="792">
        <f>MAX(L14:EA14)</f>
        <v>0</v>
      </c>
      <c r="J14" s="700"/>
      <c r="K14" s="404"/>
      <c r="L14" s="750"/>
      <c r="M14" s="750"/>
      <c r="N14" s="750"/>
      <c r="O14" s="750"/>
      <c r="P14" s="750"/>
      <c r="Q14" s="750"/>
      <c r="R14" s="750"/>
      <c r="S14" s="750"/>
      <c r="T14" s="750"/>
      <c r="U14" s="750"/>
      <c r="V14" s="750"/>
      <c r="W14" s="750"/>
      <c r="X14" s="750"/>
      <c r="Y14" s="750"/>
      <c r="Z14" s="750"/>
      <c r="AA14" s="750"/>
      <c r="AB14" s="750"/>
      <c r="AC14" s="750"/>
      <c r="AD14" s="750"/>
      <c r="AE14" s="750"/>
      <c r="AF14" s="750"/>
      <c r="AG14" s="750"/>
      <c r="AH14" s="750"/>
      <c r="AI14" s="750"/>
      <c r="AJ14" s="750"/>
      <c r="AK14" s="750"/>
      <c r="AL14" s="750"/>
      <c r="AM14" s="750"/>
      <c r="AN14" s="750"/>
      <c r="AO14" s="750"/>
      <c r="AP14" s="750"/>
      <c r="AQ14" s="750"/>
      <c r="AR14" s="750"/>
      <c r="AS14" s="750"/>
      <c r="AT14" s="750"/>
      <c r="AU14" s="750"/>
      <c r="AV14" s="750"/>
      <c r="AW14" s="750"/>
      <c r="AX14" s="750"/>
      <c r="AY14" s="750"/>
      <c r="AZ14" s="750"/>
      <c r="BA14" s="750"/>
      <c r="BB14" s="750"/>
      <c r="BC14" s="750"/>
      <c r="BD14" s="750"/>
      <c r="BE14" s="750"/>
      <c r="BF14" s="750"/>
      <c r="BG14" s="750"/>
      <c r="BH14" s="750"/>
      <c r="BI14" s="750"/>
      <c r="BJ14" s="750"/>
      <c r="BK14" s="750"/>
      <c r="BL14" s="750"/>
      <c r="BM14" s="750"/>
      <c r="BN14" s="750"/>
      <c r="BO14" s="750"/>
      <c r="BP14" s="750"/>
      <c r="BQ14" s="750"/>
      <c r="BR14" s="750"/>
      <c r="BS14" s="750"/>
      <c r="BT14" s="750"/>
      <c r="BU14" s="750"/>
      <c r="BV14" s="750"/>
      <c r="BW14" s="750"/>
      <c r="BX14" s="750"/>
      <c r="BY14" s="750"/>
      <c r="BZ14" s="750"/>
      <c r="CA14" s="750"/>
      <c r="CB14" s="750"/>
      <c r="CC14" s="750"/>
      <c r="CD14" s="750"/>
      <c r="CE14" s="750"/>
      <c r="CF14" s="750"/>
      <c r="CG14" s="750"/>
      <c r="CH14" s="750"/>
      <c r="CI14" s="750"/>
      <c r="CJ14" s="750"/>
      <c r="CK14" s="750"/>
      <c r="CL14" s="750"/>
      <c r="CM14" s="750"/>
      <c r="CN14" s="750"/>
      <c r="CO14" s="750"/>
      <c r="CP14" s="750"/>
      <c r="CQ14" s="750"/>
      <c r="CR14" s="750"/>
      <c r="CS14" s="750"/>
      <c r="CT14" s="750"/>
      <c r="CU14" s="750"/>
      <c r="CV14" s="750"/>
      <c r="CW14" s="750"/>
      <c r="CX14" s="750"/>
      <c r="CY14" s="750"/>
      <c r="CZ14" s="750"/>
      <c r="DA14" s="750"/>
      <c r="DB14" s="750"/>
      <c r="DC14" s="750"/>
      <c r="DD14" s="750"/>
      <c r="DE14" s="750"/>
      <c r="DF14" s="750"/>
      <c r="DG14" s="750"/>
      <c r="DH14" s="750"/>
      <c r="DI14" s="750"/>
      <c r="DJ14" s="750"/>
      <c r="DK14" s="750"/>
      <c r="DL14" s="750"/>
      <c r="DM14" s="750"/>
      <c r="DN14" s="750"/>
      <c r="DO14" s="750"/>
      <c r="DP14" s="750"/>
      <c r="DQ14" s="750"/>
      <c r="DR14" s="750"/>
      <c r="DS14" s="750"/>
      <c r="DT14" s="750"/>
      <c r="DU14" s="750"/>
      <c r="DV14" s="750"/>
      <c r="DW14" s="750"/>
      <c r="DX14" s="750"/>
      <c r="DY14" s="750"/>
      <c r="DZ14" s="750"/>
      <c r="EA14" s="750"/>
      <c r="EB14" s="389"/>
      <c r="EC14" s="392" t="s">
        <v>65</v>
      </c>
    </row>
    <row r="15" spans="1:146" s="390" customFormat="1" outlineLevel="1">
      <c r="A15" s="389"/>
      <c r="B15" s="389"/>
      <c r="C15" s="389"/>
      <c r="D15" s="403" t="str">
        <f>CONCATENATE("Occ - ",Assumptions!$J$54)</f>
        <v>Occ - Ancillary Fees</v>
      </c>
      <c r="F15" s="389"/>
      <c r="G15" s="389"/>
      <c r="H15" s="389"/>
      <c r="I15" s="792">
        <f t="shared" ref="I15" ca="1" si="8">MAX(L15:EA15)</f>
        <v>0</v>
      </c>
      <c r="J15" s="389"/>
      <c r="K15" s="404"/>
      <c r="L15" s="750">
        <f ca="1">IF(L13&gt;0,IF(K15=0,Assumptions!$H$61,MIN('Monthly-CF'!K15+Assumptions!$I$61,Assumptions!$J$61)),0)</f>
        <v>0</v>
      </c>
      <c r="M15" s="750">
        <f ca="1">IF(M13&gt;0,IF(L15=0,Assumptions!$H$61,MIN('Monthly-CF'!L15+Assumptions!$I$61,Assumptions!$J$61)),0)</f>
        <v>0</v>
      </c>
      <c r="N15" s="750">
        <f ca="1">IF(N13&gt;0,IF(M15=0,Assumptions!$H$61,MIN('Monthly-CF'!M15+Assumptions!$I$61,Assumptions!$J$61)),0)</f>
        <v>0</v>
      </c>
      <c r="O15" s="750">
        <f ca="1">IF(O13&gt;0,IF(N15=0,Assumptions!$H$61,MIN('Monthly-CF'!N15+Assumptions!$I$61,Assumptions!$J$61)),0)</f>
        <v>0</v>
      </c>
      <c r="P15" s="750">
        <f ca="1">IF(P13&gt;0,IF(O15=0,Assumptions!$H$61,MIN('Monthly-CF'!O15+Assumptions!$I$61,Assumptions!$J$61)),0)</f>
        <v>0</v>
      </c>
      <c r="Q15" s="750">
        <f ca="1">IF(Q13&gt;0,IF(P15=0,Assumptions!$H$61,MIN('Monthly-CF'!P15+Assumptions!$I$61,Assumptions!$J$61)),0)</f>
        <v>0</v>
      </c>
      <c r="R15" s="750">
        <f ca="1">IF(R13&gt;0,IF(Q15=0,Assumptions!$H$61,MIN('Monthly-CF'!Q15+Assumptions!$I$61,Assumptions!$J$61)),0)</f>
        <v>0</v>
      </c>
      <c r="S15" s="750">
        <f ca="1">IF(S13&gt;0,IF(R15=0,Assumptions!$H$61,MIN('Monthly-CF'!R15+Assumptions!$I$61,Assumptions!$J$61)),0)</f>
        <v>0</v>
      </c>
      <c r="T15" s="750">
        <f ca="1">IF(T13&gt;0,IF(S15=0,Assumptions!$H$61,MIN('Monthly-CF'!S15+Assumptions!$I$61,Assumptions!$J$61)),0)</f>
        <v>0</v>
      </c>
      <c r="U15" s="750">
        <f ca="1">IF(U13&gt;0,IF(T15=0,Assumptions!$H$61,MIN('Monthly-CF'!T15+Assumptions!$I$61,Assumptions!$J$61)),0)</f>
        <v>0</v>
      </c>
      <c r="V15" s="750">
        <f ca="1">IF(V13&gt;0,IF(U15=0,Assumptions!$H$61,MIN('Monthly-CF'!U15+Assumptions!$I$61,Assumptions!$J$61)),0)</f>
        <v>0</v>
      </c>
      <c r="W15" s="750">
        <f ca="1">IF(W13&gt;0,IF(V15=0,Assumptions!$H$61,MIN('Monthly-CF'!V15+Assumptions!$I$61,Assumptions!$J$61)),0)</f>
        <v>0</v>
      </c>
      <c r="X15" s="750">
        <f ca="1">IF(X13&gt;0,IF(W15=0,Assumptions!$H$61,MIN('Monthly-CF'!W15+Assumptions!$I$61,Assumptions!$J$61)),0)</f>
        <v>0</v>
      </c>
      <c r="Y15" s="750">
        <f ca="1">IF(Y13&gt;0,IF(X15=0,Assumptions!$H$61,MIN('Monthly-CF'!X15+Assumptions!$I$61,Assumptions!$J$61)),0)</f>
        <v>0</v>
      </c>
      <c r="Z15" s="750">
        <f ca="1">IF(Z13&gt;0,IF(Y15=0,Assumptions!$H$61,MIN('Monthly-CF'!Y15+Assumptions!$I$61,Assumptions!$J$61)),0)</f>
        <v>0</v>
      </c>
      <c r="AA15" s="750">
        <f ca="1">IF(AA13&gt;0,IF(Z15=0,Assumptions!$H$61,MIN('Monthly-CF'!Z15+Assumptions!$I$61,Assumptions!$J$61)),0)</f>
        <v>0</v>
      </c>
      <c r="AB15" s="750">
        <f ca="1">IF(AB13&gt;0,IF(AA15=0,Assumptions!$H$61,MIN('Monthly-CF'!AA15+Assumptions!$I$61,Assumptions!$J$61)),0)</f>
        <v>0</v>
      </c>
      <c r="AC15" s="750">
        <f ca="1">IF(AC13&gt;0,IF(AB15=0,Assumptions!$H$61,MIN('Monthly-CF'!AB15+Assumptions!$I$61,Assumptions!$J$61)),0)</f>
        <v>0</v>
      </c>
      <c r="AD15" s="750">
        <f ca="1">IF(AD13&gt;0,IF(AC15=0,Assumptions!$H$61,MIN('Monthly-CF'!AC15+Assumptions!$I$61,Assumptions!$J$61)),0)</f>
        <v>0</v>
      </c>
      <c r="AE15" s="750">
        <f ca="1">IF(AE13&gt;0,IF(AD15=0,Assumptions!$H$61,MIN('Monthly-CF'!AD15+Assumptions!$I$61,Assumptions!$J$61)),0)</f>
        <v>0</v>
      </c>
      <c r="AF15" s="750">
        <f ca="1">IF(AF13&gt;0,IF(AE15=0,Assumptions!$H$61,MIN('Monthly-CF'!AE15+Assumptions!$I$61,Assumptions!$J$61)),0)</f>
        <v>0</v>
      </c>
      <c r="AG15" s="750">
        <f ca="1">IF(AG13&gt;0,IF(AF15=0,Assumptions!$H$61,MIN('Monthly-CF'!AF15+Assumptions!$I$61,Assumptions!$J$61)),0)</f>
        <v>0</v>
      </c>
      <c r="AH15" s="750">
        <f ca="1">IF(AH13&gt;0,IF(AG15=0,Assumptions!$H$61,MIN('Monthly-CF'!AG15+Assumptions!$I$61,Assumptions!$J$61)),0)</f>
        <v>0</v>
      </c>
      <c r="AI15" s="750">
        <f ca="1">IF(AI13&gt;0,IF(AH15=0,Assumptions!$H$61,MIN('Monthly-CF'!AH15+Assumptions!$I$61,Assumptions!$J$61)),0)</f>
        <v>0</v>
      </c>
      <c r="AJ15" s="750">
        <f ca="1">IF(AJ13&gt;0,IF(AI15=0,Assumptions!$H$61,MIN('Monthly-CF'!AI15+Assumptions!$I$61,Assumptions!$J$61)),0)</f>
        <v>0</v>
      </c>
      <c r="AK15" s="750">
        <f ca="1">IF(AK13&gt;0,IF(AJ15=0,Assumptions!$H$61,MIN('Monthly-CF'!AJ15+Assumptions!$I$61,Assumptions!$J$61)),0)</f>
        <v>0</v>
      </c>
      <c r="AL15" s="750">
        <f ca="1">IF(AL13&gt;0,IF(AK15=0,Assumptions!$H$61,MIN('Monthly-CF'!AK15+Assumptions!$I$61,Assumptions!$J$61)),0)</f>
        <v>0</v>
      </c>
      <c r="AM15" s="750">
        <f ca="1">IF(AM13&gt;0,IF(AL15=0,Assumptions!$H$61,MIN('Monthly-CF'!AL15+Assumptions!$I$61,Assumptions!$J$61)),0)</f>
        <v>0</v>
      </c>
      <c r="AN15" s="750">
        <f ca="1">IF(AN13&gt;0,IF(AM15=0,Assumptions!$H$61,MIN('Monthly-CF'!AM15+Assumptions!$I$61,Assumptions!$J$61)),0)</f>
        <v>0</v>
      </c>
      <c r="AO15" s="750">
        <f ca="1">IF(AO13&gt;0,IF(AN15=0,Assumptions!$H$61,MIN('Monthly-CF'!AN15+Assumptions!$I$61,Assumptions!$J$61)),0)</f>
        <v>0</v>
      </c>
      <c r="AP15" s="750">
        <f ca="1">IF(AP13&gt;0,IF(AO15=0,Assumptions!$H$61,MIN('Monthly-CF'!AO15+Assumptions!$I$61,Assumptions!$J$61)),0)</f>
        <v>0</v>
      </c>
      <c r="AQ15" s="750">
        <f ca="1">IF(AQ13&gt;0,IF(AP15=0,Assumptions!$H$61,MIN('Monthly-CF'!AP15+Assumptions!$I$61,Assumptions!$J$61)),0)</f>
        <v>0</v>
      </c>
      <c r="AR15" s="750">
        <f ca="1">IF(AR13&gt;0,IF(AQ15=0,Assumptions!$H$61,MIN('Monthly-CF'!AQ15+Assumptions!$I$61,Assumptions!$J$61)),0)</f>
        <v>0</v>
      </c>
      <c r="AS15" s="750">
        <f ca="1">IF(AS13&gt;0,IF(AR15=0,Assumptions!$H$61,MIN('Monthly-CF'!AR15+Assumptions!$I$61,Assumptions!$J$61)),0)</f>
        <v>0</v>
      </c>
      <c r="AT15" s="750">
        <f ca="1">IF(AT13&gt;0,IF(AS15=0,Assumptions!$H$61,MIN('Monthly-CF'!AS15+Assumptions!$I$61,Assumptions!$J$61)),0)</f>
        <v>0</v>
      </c>
      <c r="AU15" s="750">
        <f ca="1">IF(AU13&gt;0,IF(AT15=0,Assumptions!$H$61,MIN('Monthly-CF'!AT15+Assumptions!$I$61,Assumptions!$J$61)),0)</f>
        <v>0</v>
      </c>
      <c r="AV15" s="750">
        <f ca="1">IF(AV13&gt;0,IF(AU15=0,Assumptions!$H$61,MIN('Monthly-CF'!AU15+Assumptions!$I$61,Assumptions!$J$61)),0)</f>
        <v>0</v>
      </c>
      <c r="AW15" s="750">
        <f ca="1">IF(AW13&gt;0,IF(AV15=0,Assumptions!$H$61,MIN('Monthly-CF'!AV15+Assumptions!$I$61,Assumptions!$J$61)),0)</f>
        <v>0</v>
      </c>
      <c r="AX15" s="750">
        <f ca="1">IF(AX13&gt;0,IF(AW15=0,Assumptions!$H$61,MIN('Monthly-CF'!AW15+Assumptions!$I$61,Assumptions!$J$61)),0)</f>
        <v>0</v>
      </c>
      <c r="AY15" s="750">
        <f ca="1">IF(AY13&gt;0,IF(AX15=0,Assumptions!$H$61,MIN('Monthly-CF'!AX15+Assumptions!$I$61,Assumptions!$J$61)),0)</f>
        <v>0</v>
      </c>
      <c r="AZ15" s="750">
        <f ca="1">IF(AZ13&gt;0,IF(AY15=0,Assumptions!$H$61,MIN('Monthly-CF'!AY15+Assumptions!$I$61,Assumptions!$J$61)),0)</f>
        <v>0</v>
      </c>
      <c r="BA15" s="750">
        <f ca="1">IF(BA13&gt;0,IF(AZ15=0,Assumptions!$H$61,MIN('Monthly-CF'!AZ15+Assumptions!$I$61,Assumptions!$J$61)),0)</f>
        <v>0</v>
      </c>
      <c r="BB15" s="750">
        <f ca="1">IF(BB13&gt;0,IF(BA15=0,Assumptions!$H$61,MIN('Monthly-CF'!BA15+Assumptions!$I$61,Assumptions!$J$61)),0)</f>
        <v>0</v>
      </c>
      <c r="BC15" s="750">
        <f ca="1">IF(BC13&gt;0,IF(BB15=0,Assumptions!$H$61,MIN('Monthly-CF'!BB15+Assumptions!$I$61,Assumptions!$J$61)),0)</f>
        <v>0</v>
      </c>
      <c r="BD15" s="750">
        <f ca="1">IF(BD13&gt;0,IF(BC15=0,Assumptions!$H$61,MIN('Monthly-CF'!BC15+Assumptions!$I$61,Assumptions!$J$61)),0)</f>
        <v>0</v>
      </c>
      <c r="BE15" s="750">
        <f ca="1">IF(BE13&gt;0,IF(BD15=0,Assumptions!$H$61,MIN('Monthly-CF'!BD15+Assumptions!$I$61,Assumptions!$J$61)),0)</f>
        <v>0</v>
      </c>
      <c r="BF15" s="750">
        <f ca="1">IF(BF13&gt;0,IF(BE15=0,Assumptions!$H$61,MIN('Monthly-CF'!BE15+Assumptions!$I$61,Assumptions!$J$61)),0)</f>
        <v>0</v>
      </c>
      <c r="BG15" s="750">
        <f ca="1">IF(BG13&gt;0,IF(BF15=0,Assumptions!$H$61,MIN('Monthly-CF'!BF15+Assumptions!$I$61,Assumptions!$J$61)),0)</f>
        <v>0</v>
      </c>
      <c r="BH15" s="750">
        <f ca="1">IF(BH13&gt;0,IF(BG15=0,Assumptions!$H$61,MIN('Monthly-CF'!BG15+Assumptions!$I$61,Assumptions!$J$61)),0)</f>
        <v>0</v>
      </c>
      <c r="BI15" s="750">
        <f ca="1">IF(BI13&gt;0,IF(BH15=0,Assumptions!$H$61,MIN('Monthly-CF'!BH15+Assumptions!$I$61,Assumptions!$J$61)),0)</f>
        <v>0</v>
      </c>
      <c r="BJ15" s="750">
        <f ca="1">IF(BJ13&gt;0,IF(BI15=0,Assumptions!$H$61,MIN('Monthly-CF'!BI15+Assumptions!$I$61,Assumptions!$J$61)),0)</f>
        <v>0</v>
      </c>
      <c r="BK15" s="750">
        <f ca="1">IF(BK13&gt;0,IF(BJ15=0,Assumptions!$H$61,MIN('Monthly-CF'!BJ15+Assumptions!$I$61,Assumptions!$J$61)),0)</f>
        <v>0</v>
      </c>
      <c r="BL15" s="750">
        <f ca="1">IF(BL13&gt;0,IF(BK15=0,Assumptions!$H$61,MIN('Monthly-CF'!BK15+Assumptions!$I$61,Assumptions!$J$61)),0)</f>
        <v>0</v>
      </c>
      <c r="BM15" s="750">
        <f ca="1">IF(BM13&gt;0,IF(BL15=0,Assumptions!$H$61,MIN('Monthly-CF'!BL15+Assumptions!$I$61,Assumptions!$J$61)),0)</f>
        <v>0</v>
      </c>
      <c r="BN15" s="750">
        <f ca="1">IF(BN13&gt;0,IF(BM15=0,Assumptions!$H$61,MIN('Monthly-CF'!BM15+Assumptions!$I$61,Assumptions!$J$61)),0)</f>
        <v>0</v>
      </c>
      <c r="BO15" s="750">
        <f ca="1">IF(BO13&gt;0,IF(BN15=0,Assumptions!$H$61,MIN('Monthly-CF'!BN15+Assumptions!$I$61,Assumptions!$J$61)),0)</f>
        <v>0</v>
      </c>
      <c r="BP15" s="750">
        <f ca="1">IF(BP13&gt;0,IF(BO15=0,Assumptions!$H$61,MIN('Monthly-CF'!BO15+Assumptions!$I$61,Assumptions!$J$61)),0)</f>
        <v>0</v>
      </c>
      <c r="BQ15" s="750">
        <f ca="1">IF(BQ13&gt;0,IF(BP15=0,Assumptions!$H$61,MIN('Monthly-CF'!BP15+Assumptions!$I$61,Assumptions!$J$61)),0)</f>
        <v>0</v>
      </c>
      <c r="BR15" s="750">
        <f ca="1">IF(BR13&gt;0,IF(BQ15=0,Assumptions!$H$61,MIN('Monthly-CF'!BQ15+Assumptions!$I$61,Assumptions!$J$61)),0)</f>
        <v>0</v>
      </c>
      <c r="BS15" s="750">
        <f ca="1">IF(BS13&gt;0,IF(BR15=0,Assumptions!$H$61,MIN('Monthly-CF'!BR15+Assumptions!$I$61,Assumptions!$J$61)),0)</f>
        <v>0</v>
      </c>
      <c r="BT15" s="750">
        <f ca="1">IF(BT13&gt;0,IF(BS15=0,Assumptions!$H$61,MIN('Monthly-CF'!BS15+Assumptions!$I$61,Assumptions!$J$61)),0)</f>
        <v>0</v>
      </c>
      <c r="BU15" s="750">
        <f ca="1">IF(BU13&gt;0,IF(BT15=0,Assumptions!$H$61,MIN('Monthly-CF'!BT15+Assumptions!$I$61,Assumptions!$J$61)),0)</f>
        <v>0</v>
      </c>
      <c r="BV15" s="750">
        <f ca="1">IF(BV13&gt;0,IF(BU15=0,Assumptions!$H$61,MIN('Monthly-CF'!BU15+Assumptions!$I$61,Assumptions!$J$61)),0)</f>
        <v>0</v>
      </c>
      <c r="BW15" s="750">
        <f ca="1">IF(BW13&gt;0,IF(BV15=0,Assumptions!$H$61,MIN('Monthly-CF'!BV15+Assumptions!$I$61,Assumptions!$J$61)),0)</f>
        <v>0</v>
      </c>
      <c r="BX15" s="750">
        <f ca="1">IF(BX13&gt;0,IF(BW15=0,Assumptions!$H$61,MIN('Monthly-CF'!BW15+Assumptions!$I$61,Assumptions!$J$61)),0)</f>
        <v>0</v>
      </c>
      <c r="BY15" s="750">
        <f ca="1">IF(BY13&gt;0,IF(BX15=0,Assumptions!$H$61,MIN('Monthly-CF'!BX15+Assumptions!$I$61,Assumptions!$J$61)),0)</f>
        <v>0</v>
      </c>
      <c r="BZ15" s="750">
        <f ca="1">IF(BZ13&gt;0,IF(BY15=0,Assumptions!$H$61,MIN('Monthly-CF'!BY15+Assumptions!$I$61,Assumptions!$J$61)),0)</f>
        <v>0</v>
      </c>
      <c r="CA15" s="750">
        <f ca="1">IF(CA13&gt;0,IF(BZ15=0,Assumptions!$H$61,MIN('Monthly-CF'!BZ15+Assumptions!$I$61,Assumptions!$J$61)),0)</f>
        <v>0</v>
      </c>
      <c r="CB15" s="750">
        <f ca="1">IF(CB13&gt;0,IF(CA15=0,Assumptions!$H$61,MIN('Monthly-CF'!CA15+Assumptions!$I$61,Assumptions!$J$61)),0)</f>
        <v>0</v>
      </c>
      <c r="CC15" s="750">
        <f ca="1">IF(CC13&gt;0,IF(CB15=0,Assumptions!$H$61,MIN('Monthly-CF'!CB15+Assumptions!$I$61,Assumptions!$J$61)),0)</f>
        <v>0</v>
      </c>
      <c r="CD15" s="750">
        <f ca="1">IF(CD13&gt;0,IF(CC15=0,Assumptions!$H$61,MIN('Monthly-CF'!CC15+Assumptions!$I$61,Assumptions!$J$61)),0)</f>
        <v>0</v>
      </c>
      <c r="CE15" s="750">
        <f ca="1">IF(CE13&gt;0,IF(CD15=0,Assumptions!$H$61,MIN('Monthly-CF'!CD15+Assumptions!$I$61,Assumptions!$J$61)),0)</f>
        <v>0</v>
      </c>
      <c r="CF15" s="750">
        <f ca="1">IF(CF13&gt;0,IF(CE15=0,Assumptions!$H$61,MIN('Monthly-CF'!CE15+Assumptions!$I$61,Assumptions!$J$61)),0)</f>
        <v>0</v>
      </c>
      <c r="CG15" s="750">
        <f ca="1">IF(CG13&gt;0,IF(CF15=0,Assumptions!$H$61,MIN('Monthly-CF'!CF15+Assumptions!$I$61,Assumptions!$J$61)),0)</f>
        <v>0</v>
      </c>
      <c r="CH15" s="750">
        <f ca="1">IF(CH13&gt;0,IF(CG15=0,Assumptions!$H$61,MIN('Monthly-CF'!CG15+Assumptions!$I$61,Assumptions!$J$61)),0)</f>
        <v>0</v>
      </c>
      <c r="CI15" s="750">
        <f ca="1">IF(CI13&gt;0,IF(CH15=0,Assumptions!$H$61,MIN('Monthly-CF'!CH15+Assumptions!$I$61,Assumptions!$J$61)),0)</f>
        <v>0</v>
      </c>
      <c r="CJ15" s="750">
        <f ca="1">IF(CJ13&gt;0,IF(CI15=0,Assumptions!$H$61,MIN('Monthly-CF'!CI15+Assumptions!$I$61,Assumptions!$J$61)),0)</f>
        <v>0</v>
      </c>
      <c r="CK15" s="750">
        <f ca="1">IF(CK13&gt;0,IF(CJ15=0,Assumptions!$H$61,MIN('Monthly-CF'!CJ15+Assumptions!$I$61,Assumptions!$J$61)),0)</f>
        <v>0</v>
      </c>
      <c r="CL15" s="750">
        <f ca="1">IF(CL13&gt;0,IF(CK15=0,Assumptions!$H$61,MIN('Monthly-CF'!CK15+Assumptions!$I$61,Assumptions!$J$61)),0)</f>
        <v>0</v>
      </c>
      <c r="CM15" s="750">
        <f ca="1">IF(CM13&gt;0,IF(CL15=0,Assumptions!$H$61,MIN('Monthly-CF'!CL15+Assumptions!$I$61,Assumptions!$J$61)),0)</f>
        <v>0</v>
      </c>
      <c r="CN15" s="750">
        <f ca="1">IF(CN13&gt;0,IF(CM15=0,Assumptions!$H$61,MIN('Monthly-CF'!CM15+Assumptions!$I$61,Assumptions!$J$61)),0)</f>
        <v>0</v>
      </c>
      <c r="CO15" s="750">
        <f ca="1">IF(CO13&gt;0,IF(CN15=0,Assumptions!$H$61,MIN('Monthly-CF'!CN15+Assumptions!$I$61,Assumptions!$J$61)),0)</f>
        <v>0</v>
      </c>
      <c r="CP15" s="750">
        <f ca="1">IF(CP13&gt;0,IF(CO15=0,Assumptions!$H$61,MIN('Monthly-CF'!CO15+Assumptions!$I$61,Assumptions!$J$61)),0)</f>
        <v>0</v>
      </c>
      <c r="CQ15" s="750">
        <f ca="1">IF(CQ13&gt;0,IF(CP15=0,Assumptions!$H$61,MIN('Monthly-CF'!CP15+Assumptions!$I$61,Assumptions!$J$61)),0)</f>
        <v>0</v>
      </c>
      <c r="CR15" s="750">
        <f ca="1">IF(CR13&gt;0,IF(CQ15=0,Assumptions!$H$61,MIN('Monthly-CF'!CQ15+Assumptions!$I$61,Assumptions!$J$61)),0)</f>
        <v>0</v>
      </c>
      <c r="CS15" s="750">
        <f ca="1">IF(CS13&gt;0,IF(CR15=0,Assumptions!$H$61,MIN('Monthly-CF'!CR15+Assumptions!$I$61,Assumptions!$J$61)),0)</f>
        <v>0</v>
      </c>
      <c r="CT15" s="750">
        <f ca="1">IF(CT13&gt;0,IF(CS15=0,Assumptions!$H$61,MIN('Monthly-CF'!CS15+Assumptions!$I$61,Assumptions!$J$61)),0)</f>
        <v>0</v>
      </c>
      <c r="CU15" s="750">
        <f ca="1">IF(CU13&gt;0,IF(CT15=0,Assumptions!$H$61,MIN('Monthly-CF'!CT15+Assumptions!$I$61,Assumptions!$J$61)),0)</f>
        <v>0</v>
      </c>
      <c r="CV15" s="750">
        <f ca="1">IF(CV13&gt;0,IF(CU15=0,Assumptions!$H$61,MIN('Monthly-CF'!CU15+Assumptions!$I$61,Assumptions!$J$61)),0)</f>
        <v>0</v>
      </c>
      <c r="CW15" s="750">
        <f ca="1">IF(CW13&gt;0,IF(CV15=0,Assumptions!$H$61,MIN('Monthly-CF'!CV15+Assumptions!$I$61,Assumptions!$J$61)),0)</f>
        <v>0</v>
      </c>
      <c r="CX15" s="750">
        <f ca="1">IF(CX13&gt;0,IF(CW15=0,Assumptions!$H$61,MIN('Monthly-CF'!CW15+Assumptions!$I$61,Assumptions!$J$61)),0)</f>
        <v>0</v>
      </c>
      <c r="CY15" s="750">
        <f ca="1">IF(CY13&gt;0,IF(CX15=0,Assumptions!$H$61,MIN('Monthly-CF'!CX15+Assumptions!$I$61,Assumptions!$J$61)),0)</f>
        <v>0</v>
      </c>
      <c r="CZ15" s="750">
        <f ca="1">IF(CZ13&gt;0,IF(CY15=0,Assumptions!$H$61,MIN('Monthly-CF'!CY15+Assumptions!$I$61,Assumptions!$J$61)),0)</f>
        <v>0</v>
      </c>
      <c r="DA15" s="750">
        <f ca="1">IF(DA13&gt;0,IF(CZ15=0,Assumptions!$H$61,MIN('Monthly-CF'!CZ15+Assumptions!$I$61,Assumptions!$J$61)),0)</f>
        <v>0</v>
      </c>
      <c r="DB15" s="750">
        <f ca="1">IF(DB13&gt;0,IF(DA15=0,Assumptions!$H$61,MIN('Monthly-CF'!DA15+Assumptions!$I$61,Assumptions!$J$61)),0)</f>
        <v>0</v>
      </c>
      <c r="DC15" s="750">
        <f ca="1">IF(DC13&gt;0,IF(DB15=0,Assumptions!$H$61,MIN('Monthly-CF'!DB15+Assumptions!$I$61,Assumptions!$J$61)),0)</f>
        <v>0</v>
      </c>
      <c r="DD15" s="750">
        <f ca="1">IF(DD13&gt;0,IF(DC15=0,Assumptions!$H$61,MIN('Monthly-CF'!DC15+Assumptions!$I$61,Assumptions!$J$61)),0)</f>
        <v>0</v>
      </c>
      <c r="DE15" s="750">
        <f ca="1">IF(DE13&gt;0,IF(DD15=0,Assumptions!$H$61,MIN('Monthly-CF'!DD15+Assumptions!$I$61,Assumptions!$J$61)),0)</f>
        <v>0</v>
      </c>
      <c r="DF15" s="750">
        <f ca="1">IF(DF13&gt;0,IF(DE15=0,Assumptions!$H$61,MIN('Monthly-CF'!DE15+Assumptions!$I$61,Assumptions!$J$61)),0)</f>
        <v>0</v>
      </c>
      <c r="DG15" s="750">
        <f ca="1">IF(DG13&gt;0,IF(DF15=0,Assumptions!$H$61,MIN('Monthly-CF'!DF15+Assumptions!$I$61,Assumptions!$J$61)),0)</f>
        <v>0</v>
      </c>
      <c r="DH15" s="750">
        <f ca="1">IF(DH13&gt;0,IF(DG15=0,Assumptions!$H$61,MIN('Monthly-CF'!DG15+Assumptions!$I$61,Assumptions!$J$61)),0)</f>
        <v>0</v>
      </c>
      <c r="DI15" s="750">
        <f ca="1">IF(DI13&gt;0,IF(DH15=0,Assumptions!$H$61,MIN('Monthly-CF'!DH15+Assumptions!$I$61,Assumptions!$J$61)),0)</f>
        <v>0</v>
      </c>
      <c r="DJ15" s="750">
        <f ca="1">IF(DJ13&gt;0,IF(DI15=0,Assumptions!$H$61,MIN('Monthly-CF'!DI15+Assumptions!$I$61,Assumptions!$J$61)),0)</f>
        <v>0</v>
      </c>
      <c r="DK15" s="750">
        <f ca="1">IF(DK13&gt;0,IF(DJ15=0,Assumptions!$H$61,MIN('Monthly-CF'!DJ15+Assumptions!$I$61,Assumptions!$J$61)),0)</f>
        <v>0</v>
      </c>
      <c r="DL15" s="750">
        <f ca="1">IF(DL13&gt;0,IF(DK15=0,Assumptions!$H$61,MIN('Monthly-CF'!DK15+Assumptions!$I$61,Assumptions!$J$61)),0)</f>
        <v>0</v>
      </c>
      <c r="DM15" s="750">
        <f ca="1">IF(DM13&gt;0,IF(DL15=0,Assumptions!$H$61,MIN('Monthly-CF'!DL15+Assumptions!$I$61,Assumptions!$J$61)),0)</f>
        <v>0</v>
      </c>
      <c r="DN15" s="750">
        <f ca="1">IF(DN13&gt;0,IF(DM15=0,Assumptions!$H$61,MIN('Monthly-CF'!DM15+Assumptions!$I$61,Assumptions!$J$61)),0)</f>
        <v>0</v>
      </c>
      <c r="DO15" s="750">
        <f ca="1">IF(DO13&gt;0,IF(DN15=0,Assumptions!$H$61,MIN('Monthly-CF'!DN15+Assumptions!$I$61,Assumptions!$J$61)),0)</f>
        <v>0</v>
      </c>
      <c r="DP15" s="750">
        <f ca="1">IF(DP13&gt;0,IF(DO15=0,Assumptions!$H$61,MIN('Monthly-CF'!DO15+Assumptions!$I$61,Assumptions!$J$61)),0)</f>
        <v>0</v>
      </c>
      <c r="DQ15" s="750">
        <f ca="1">IF(DQ13&gt;0,IF(DP15=0,Assumptions!$H$61,MIN('Monthly-CF'!DP15+Assumptions!$I$61,Assumptions!$J$61)),0)</f>
        <v>0</v>
      </c>
      <c r="DR15" s="750">
        <f ca="1">IF(DR13&gt;0,IF(DQ15=0,Assumptions!$H$61,MIN('Monthly-CF'!DQ15+Assumptions!$I$61,Assumptions!$J$61)),0)</f>
        <v>0</v>
      </c>
      <c r="DS15" s="750">
        <f ca="1">IF(DS13&gt;0,IF(DR15=0,Assumptions!$H$61,MIN('Monthly-CF'!DR15+Assumptions!$I$61,Assumptions!$J$61)),0)</f>
        <v>0</v>
      </c>
      <c r="DT15" s="750">
        <f ca="1">IF(DT13&gt;0,IF(DS15=0,Assumptions!$H$61,MIN('Monthly-CF'!DS15+Assumptions!$I$61,Assumptions!$J$61)),0)</f>
        <v>0</v>
      </c>
      <c r="DU15" s="750">
        <f ca="1">IF(DU13&gt;0,IF(DT15=0,Assumptions!$H$61,MIN('Monthly-CF'!DT15+Assumptions!$I$61,Assumptions!$J$61)),0)</f>
        <v>0</v>
      </c>
      <c r="DV15" s="750">
        <f ca="1">IF(DV13&gt;0,IF(DU15=0,Assumptions!$H$61,MIN('Monthly-CF'!DU15+Assumptions!$I$61,Assumptions!$J$61)),0)</f>
        <v>0</v>
      </c>
      <c r="DW15" s="750">
        <f ca="1">IF(DW13&gt;0,IF(DV15=0,Assumptions!$H$61,MIN('Monthly-CF'!DV15+Assumptions!$I$61,Assumptions!$J$61)),0)</f>
        <v>0</v>
      </c>
      <c r="DX15" s="750">
        <f ca="1">IF(DX13&gt;0,IF(DW15=0,Assumptions!$H$61,MIN('Monthly-CF'!DW15+Assumptions!$I$61,Assumptions!$J$61)),0)</f>
        <v>0</v>
      </c>
      <c r="DY15" s="750">
        <f ca="1">IF(DY13&gt;0,IF(DX15=0,Assumptions!$H$61,MIN('Monthly-CF'!DX15+Assumptions!$I$61,Assumptions!$J$61)),0)</f>
        <v>0</v>
      </c>
      <c r="DZ15" s="750">
        <f ca="1">IF(DZ13&gt;0,IF(DY15=0,Assumptions!$H$61,MIN('Monthly-CF'!DY15+Assumptions!$I$61,Assumptions!$J$61)),0)</f>
        <v>0</v>
      </c>
      <c r="EA15" s="750">
        <f ca="1">IF(EA13&gt;0,IF(DZ15=0,Assumptions!$H$61,MIN('Monthly-CF'!DZ15+Assumptions!$I$61,Assumptions!$J$61)),0)</f>
        <v>0</v>
      </c>
      <c r="EB15" s="389"/>
      <c r="EC15" s="392" t="s">
        <v>65</v>
      </c>
    </row>
    <row r="16" spans="1:146" s="390" customFormat="1" outlineLevel="1">
      <c r="A16" s="389"/>
      <c r="B16" s="389"/>
      <c r="C16" s="389"/>
      <c r="D16" s="389"/>
      <c r="E16" s="389"/>
      <c r="F16" s="389"/>
      <c r="G16" s="389"/>
      <c r="H16" s="389"/>
      <c r="I16" s="791"/>
      <c r="J16" s="389"/>
      <c r="K16" s="402"/>
      <c r="L16" s="812"/>
      <c r="M16" s="812"/>
      <c r="N16" s="812"/>
      <c r="O16" s="812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  <c r="AA16" s="812"/>
      <c r="AB16" s="812"/>
      <c r="AC16" s="812"/>
      <c r="AD16" s="812"/>
      <c r="AE16" s="812"/>
      <c r="AF16" s="812"/>
      <c r="AG16" s="812"/>
      <c r="AH16" s="812"/>
      <c r="AI16" s="812"/>
      <c r="AJ16" s="812"/>
      <c r="AK16" s="812"/>
      <c r="AL16" s="812"/>
      <c r="AM16" s="812"/>
      <c r="AN16" s="812"/>
      <c r="AO16" s="812"/>
      <c r="AP16" s="812"/>
      <c r="AQ16" s="812"/>
      <c r="AR16" s="812"/>
      <c r="AS16" s="812"/>
      <c r="AT16" s="812"/>
      <c r="AU16" s="812"/>
      <c r="AV16" s="812"/>
      <c r="AW16" s="812"/>
      <c r="AX16" s="812"/>
      <c r="AY16" s="812"/>
      <c r="AZ16" s="812"/>
      <c r="BA16" s="812"/>
      <c r="BB16" s="812"/>
      <c r="BC16" s="812"/>
      <c r="BD16" s="812"/>
      <c r="BE16" s="812"/>
      <c r="BF16" s="812"/>
      <c r="BG16" s="812"/>
      <c r="BH16" s="812"/>
      <c r="BI16" s="812"/>
      <c r="BJ16" s="812"/>
      <c r="BK16" s="812"/>
      <c r="BL16" s="812"/>
      <c r="BM16" s="812"/>
      <c r="BN16" s="812"/>
      <c r="BO16" s="812"/>
      <c r="BP16" s="812"/>
      <c r="BQ16" s="812"/>
      <c r="BR16" s="812"/>
      <c r="BS16" s="812"/>
      <c r="BT16" s="812"/>
      <c r="BU16" s="812"/>
      <c r="BV16" s="812"/>
      <c r="BW16" s="812"/>
      <c r="BX16" s="812"/>
      <c r="BY16" s="812"/>
      <c r="BZ16" s="812"/>
      <c r="CA16" s="812"/>
      <c r="CB16" s="812"/>
      <c r="CC16" s="812"/>
      <c r="CD16" s="812"/>
      <c r="CE16" s="812"/>
      <c r="CF16" s="812"/>
      <c r="CG16" s="812"/>
      <c r="CH16" s="812"/>
      <c r="CI16" s="812"/>
      <c r="CJ16" s="812"/>
      <c r="CK16" s="812"/>
      <c r="CL16" s="812"/>
      <c r="CM16" s="812"/>
      <c r="CN16" s="812"/>
      <c r="CO16" s="812"/>
      <c r="CP16" s="812"/>
      <c r="CQ16" s="812"/>
      <c r="CR16" s="812"/>
      <c r="CS16" s="812"/>
      <c r="CT16" s="812"/>
      <c r="CU16" s="812"/>
      <c r="CV16" s="812"/>
      <c r="CW16" s="812"/>
      <c r="CX16" s="812"/>
      <c r="CY16" s="812"/>
      <c r="CZ16" s="812"/>
      <c r="DA16" s="812"/>
      <c r="DB16" s="812"/>
      <c r="DC16" s="812"/>
      <c r="DD16" s="812"/>
      <c r="DE16" s="812"/>
      <c r="DF16" s="812"/>
      <c r="DG16" s="812"/>
      <c r="DH16" s="812"/>
      <c r="DI16" s="812"/>
      <c r="DJ16" s="812"/>
      <c r="DK16" s="812"/>
      <c r="DL16" s="812"/>
      <c r="DM16" s="812"/>
      <c r="DN16" s="812"/>
      <c r="DO16" s="812"/>
      <c r="DP16" s="812"/>
      <c r="DQ16" s="812"/>
      <c r="DR16" s="812"/>
      <c r="DS16" s="812"/>
      <c r="DT16" s="812"/>
      <c r="DU16" s="812"/>
      <c r="DV16" s="812"/>
      <c r="DW16" s="812"/>
      <c r="DX16" s="812"/>
      <c r="DY16" s="812"/>
      <c r="DZ16" s="812"/>
      <c r="EA16" s="812"/>
      <c r="EB16" s="389"/>
      <c r="EC16" s="392" t="s">
        <v>65</v>
      </c>
    </row>
    <row r="17" spans="1:133" s="390" customFormat="1" outlineLevel="1">
      <c r="A17" s="389"/>
      <c r="C17" s="389"/>
      <c r="D17" s="766" t="s">
        <v>474</v>
      </c>
      <c r="E17" s="711" t="s">
        <v>97</v>
      </c>
      <c r="F17" s="710"/>
      <c r="G17" s="711" t="s">
        <v>250</v>
      </c>
      <c r="H17" s="389"/>
      <c r="I17" s="793"/>
      <c r="J17" s="389"/>
      <c r="K17" s="405"/>
      <c r="L17" s="750">
        <f>INDEX('Annual-CF'!$L$17:$U$17,MATCH('Monthly-CF'!L$9,'Annual-CF'!$L$9:$U$9,0))</f>
        <v>0</v>
      </c>
      <c r="M17" s="750">
        <f>INDEX('Annual-CF'!$L$17:$U$17,MATCH('Monthly-CF'!M$9,'Annual-CF'!$L$9:$U$9,0))</f>
        <v>0</v>
      </c>
      <c r="N17" s="750">
        <f>INDEX('Annual-CF'!$L$17:$U$17,MATCH('Monthly-CF'!N$9,'Annual-CF'!$L$9:$U$9,0))</f>
        <v>0</v>
      </c>
      <c r="O17" s="750">
        <f>INDEX('Annual-CF'!$L$17:$U$17,MATCH('Monthly-CF'!O$9,'Annual-CF'!$L$9:$U$9,0))</f>
        <v>0</v>
      </c>
      <c r="P17" s="750">
        <f>INDEX('Annual-CF'!$L$17:$U$17,MATCH('Monthly-CF'!P$9,'Annual-CF'!$L$9:$U$9,0))</f>
        <v>0</v>
      </c>
      <c r="Q17" s="750">
        <f>INDEX('Annual-CF'!$L$17:$U$17,MATCH('Monthly-CF'!Q$9,'Annual-CF'!$L$9:$U$9,0))</f>
        <v>0</v>
      </c>
      <c r="R17" s="750">
        <f>INDEX('Annual-CF'!$L$17:$U$17,MATCH('Monthly-CF'!R$9,'Annual-CF'!$L$9:$U$9,0))</f>
        <v>0</v>
      </c>
      <c r="S17" s="750">
        <f>INDEX('Annual-CF'!$L$17:$U$17,MATCH('Monthly-CF'!S$9,'Annual-CF'!$L$9:$U$9,0))</f>
        <v>0</v>
      </c>
      <c r="T17" s="750">
        <f>INDEX('Annual-CF'!$L$17:$U$17,MATCH('Monthly-CF'!T$9,'Annual-CF'!$L$9:$U$9,0))</f>
        <v>0</v>
      </c>
      <c r="U17" s="750">
        <f>INDEX('Annual-CF'!$L$17:$U$17,MATCH('Monthly-CF'!U$9,'Annual-CF'!$L$9:$U$9,0))</f>
        <v>0</v>
      </c>
      <c r="V17" s="750">
        <f>INDEX('Annual-CF'!$L$17:$U$17,MATCH('Monthly-CF'!V$9,'Annual-CF'!$L$9:$U$9,0))</f>
        <v>0</v>
      </c>
      <c r="W17" s="750">
        <f>INDEX('Annual-CF'!$L$17:$U$17,MATCH('Monthly-CF'!W$9,'Annual-CF'!$L$9:$U$9,0))</f>
        <v>0</v>
      </c>
      <c r="X17" s="750">
        <f>INDEX('Annual-CF'!$L$17:$U$17,MATCH('Monthly-CF'!X$9,'Annual-CF'!$L$9:$U$9,0))</f>
        <v>0.04</v>
      </c>
      <c r="Y17" s="750">
        <f>INDEX('Annual-CF'!$L$17:$U$17,MATCH('Monthly-CF'!Y$9,'Annual-CF'!$L$9:$U$9,0))</f>
        <v>0.04</v>
      </c>
      <c r="Z17" s="750">
        <f>INDEX('Annual-CF'!$L$17:$U$17,MATCH('Monthly-CF'!Z$9,'Annual-CF'!$L$9:$U$9,0))</f>
        <v>0.04</v>
      </c>
      <c r="AA17" s="750">
        <f>INDEX('Annual-CF'!$L$17:$U$17,MATCH('Monthly-CF'!AA$9,'Annual-CF'!$L$9:$U$9,0))</f>
        <v>0.04</v>
      </c>
      <c r="AB17" s="750">
        <f>INDEX('Annual-CF'!$L$17:$U$17,MATCH('Monthly-CF'!AB$9,'Annual-CF'!$L$9:$U$9,0))</f>
        <v>0.04</v>
      </c>
      <c r="AC17" s="750">
        <f>INDEX('Annual-CF'!$L$17:$U$17,MATCH('Monthly-CF'!AC$9,'Annual-CF'!$L$9:$U$9,0))</f>
        <v>0.04</v>
      </c>
      <c r="AD17" s="750">
        <f>INDEX('Annual-CF'!$L$17:$U$17,MATCH('Monthly-CF'!AD$9,'Annual-CF'!$L$9:$U$9,0))</f>
        <v>0.04</v>
      </c>
      <c r="AE17" s="750">
        <f>INDEX('Annual-CF'!$L$17:$U$17,MATCH('Monthly-CF'!AE$9,'Annual-CF'!$L$9:$U$9,0))</f>
        <v>0.04</v>
      </c>
      <c r="AF17" s="750">
        <f>INDEX('Annual-CF'!$L$17:$U$17,MATCH('Monthly-CF'!AF$9,'Annual-CF'!$L$9:$U$9,0))</f>
        <v>0.04</v>
      </c>
      <c r="AG17" s="750">
        <f>INDEX('Annual-CF'!$L$17:$U$17,MATCH('Monthly-CF'!AG$9,'Annual-CF'!$L$9:$U$9,0))</f>
        <v>0.04</v>
      </c>
      <c r="AH17" s="750">
        <f>INDEX('Annual-CF'!$L$17:$U$17,MATCH('Monthly-CF'!AH$9,'Annual-CF'!$L$9:$U$9,0))</f>
        <v>0.04</v>
      </c>
      <c r="AI17" s="750">
        <f>INDEX('Annual-CF'!$L$17:$U$17,MATCH('Monthly-CF'!AI$9,'Annual-CF'!$L$9:$U$9,0))</f>
        <v>0.04</v>
      </c>
      <c r="AJ17" s="750">
        <f>INDEX('Annual-CF'!$L$17:$U$17,MATCH('Monthly-CF'!AJ$9,'Annual-CF'!$L$9:$U$9,0))</f>
        <v>8.1600000000000117E-2</v>
      </c>
      <c r="AK17" s="750">
        <f>INDEX('Annual-CF'!$L$17:$U$17,MATCH('Monthly-CF'!AK$9,'Annual-CF'!$L$9:$U$9,0))</f>
        <v>8.1600000000000117E-2</v>
      </c>
      <c r="AL17" s="750">
        <f>INDEX('Annual-CF'!$L$17:$U$17,MATCH('Monthly-CF'!AL$9,'Annual-CF'!$L$9:$U$9,0))</f>
        <v>8.1600000000000117E-2</v>
      </c>
      <c r="AM17" s="750">
        <f>INDEX('Annual-CF'!$L$17:$U$17,MATCH('Monthly-CF'!AM$9,'Annual-CF'!$L$9:$U$9,0))</f>
        <v>8.1600000000000117E-2</v>
      </c>
      <c r="AN17" s="750">
        <f>INDEX('Annual-CF'!$L$17:$U$17,MATCH('Monthly-CF'!AN$9,'Annual-CF'!$L$9:$U$9,0))</f>
        <v>8.1600000000000117E-2</v>
      </c>
      <c r="AO17" s="750">
        <f>INDEX('Annual-CF'!$L$17:$U$17,MATCH('Monthly-CF'!AO$9,'Annual-CF'!$L$9:$U$9,0))</f>
        <v>8.1600000000000117E-2</v>
      </c>
      <c r="AP17" s="750">
        <f>INDEX('Annual-CF'!$L$17:$U$17,MATCH('Monthly-CF'!AP$9,'Annual-CF'!$L$9:$U$9,0))</f>
        <v>8.1600000000000117E-2</v>
      </c>
      <c r="AQ17" s="750">
        <f>INDEX('Annual-CF'!$L$17:$U$17,MATCH('Monthly-CF'!AQ$9,'Annual-CF'!$L$9:$U$9,0))</f>
        <v>8.1600000000000117E-2</v>
      </c>
      <c r="AR17" s="750">
        <f>INDEX('Annual-CF'!$L$17:$U$17,MATCH('Monthly-CF'!AR$9,'Annual-CF'!$L$9:$U$9,0))</f>
        <v>8.1600000000000117E-2</v>
      </c>
      <c r="AS17" s="750">
        <f>INDEX('Annual-CF'!$L$17:$U$17,MATCH('Monthly-CF'!AS$9,'Annual-CF'!$L$9:$U$9,0))</f>
        <v>8.1600000000000117E-2</v>
      </c>
      <c r="AT17" s="750">
        <f>INDEX('Annual-CF'!$L$17:$U$17,MATCH('Monthly-CF'!AT$9,'Annual-CF'!$L$9:$U$9,0))</f>
        <v>8.1600000000000117E-2</v>
      </c>
      <c r="AU17" s="750">
        <f>INDEX('Annual-CF'!$L$17:$U$17,MATCH('Monthly-CF'!AU$9,'Annual-CF'!$L$9:$U$9,0))</f>
        <v>8.1600000000000117E-2</v>
      </c>
      <c r="AV17" s="750">
        <f>INDEX('Annual-CF'!$L$17:$U$17,MATCH('Monthly-CF'!AV$9,'Annual-CF'!$L$9:$U$9,0))</f>
        <v>0.12486400000000009</v>
      </c>
      <c r="AW17" s="750">
        <f>INDEX('Annual-CF'!$L$17:$U$17,MATCH('Monthly-CF'!AW$9,'Annual-CF'!$L$9:$U$9,0))</f>
        <v>0.12486400000000009</v>
      </c>
      <c r="AX17" s="750">
        <f>INDEX('Annual-CF'!$L$17:$U$17,MATCH('Monthly-CF'!AX$9,'Annual-CF'!$L$9:$U$9,0))</f>
        <v>0.12486400000000009</v>
      </c>
      <c r="AY17" s="750">
        <f>INDEX('Annual-CF'!$L$17:$U$17,MATCH('Monthly-CF'!AY$9,'Annual-CF'!$L$9:$U$9,0))</f>
        <v>0.12486400000000009</v>
      </c>
      <c r="AZ17" s="750">
        <f>INDEX('Annual-CF'!$L$17:$U$17,MATCH('Monthly-CF'!AZ$9,'Annual-CF'!$L$9:$U$9,0))</f>
        <v>0.12486400000000009</v>
      </c>
      <c r="BA17" s="750">
        <f>INDEX('Annual-CF'!$L$17:$U$17,MATCH('Monthly-CF'!BA$9,'Annual-CF'!$L$9:$U$9,0))</f>
        <v>0.12486400000000009</v>
      </c>
      <c r="BB17" s="750">
        <f>INDEX('Annual-CF'!$L$17:$U$17,MATCH('Monthly-CF'!BB$9,'Annual-CF'!$L$9:$U$9,0))</f>
        <v>0.12486400000000009</v>
      </c>
      <c r="BC17" s="750">
        <f>INDEX('Annual-CF'!$L$17:$U$17,MATCH('Monthly-CF'!BC$9,'Annual-CF'!$L$9:$U$9,0))</f>
        <v>0.12486400000000009</v>
      </c>
      <c r="BD17" s="750">
        <f>INDEX('Annual-CF'!$L$17:$U$17,MATCH('Monthly-CF'!BD$9,'Annual-CF'!$L$9:$U$9,0))</f>
        <v>0.12486400000000009</v>
      </c>
      <c r="BE17" s="750">
        <f>INDEX('Annual-CF'!$L$17:$U$17,MATCH('Monthly-CF'!BE$9,'Annual-CF'!$L$9:$U$9,0))</f>
        <v>0.12486400000000009</v>
      </c>
      <c r="BF17" s="750">
        <f>INDEX('Annual-CF'!$L$17:$U$17,MATCH('Monthly-CF'!BF$9,'Annual-CF'!$L$9:$U$9,0))</f>
        <v>0.12486400000000009</v>
      </c>
      <c r="BG17" s="750">
        <f>INDEX('Annual-CF'!$L$17:$U$17,MATCH('Monthly-CF'!BG$9,'Annual-CF'!$L$9:$U$9,0))</f>
        <v>0.12486400000000009</v>
      </c>
      <c r="BH17" s="750">
        <f>INDEX('Annual-CF'!$L$17:$U$17,MATCH('Monthly-CF'!BH$9,'Annual-CF'!$L$9:$U$9,0))</f>
        <v>0.16985856000000021</v>
      </c>
      <c r="BI17" s="750">
        <f>INDEX('Annual-CF'!$L$17:$U$17,MATCH('Monthly-CF'!BI$9,'Annual-CF'!$L$9:$U$9,0))</f>
        <v>0.16985856000000021</v>
      </c>
      <c r="BJ17" s="750">
        <f>INDEX('Annual-CF'!$L$17:$U$17,MATCH('Monthly-CF'!BJ$9,'Annual-CF'!$L$9:$U$9,0))</f>
        <v>0.16985856000000021</v>
      </c>
      <c r="BK17" s="750">
        <f>INDEX('Annual-CF'!$L$17:$U$17,MATCH('Monthly-CF'!BK$9,'Annual-CF'!$L$9:$U$9,0))</f>
        <v>0.16985856000000021</v>
      </c>
      <c r="BL17" s="750">
        <f>INDEX('Annual-CF'!$L$17:$U$17,MATCH('Monthly-CF'!BL$9,'Annual-CF'!$L$9:$U$9,0))</f>
        <v>0.16985856000000021</v>
      </c>
      <c r="BM17" s="750">
        <f>INDEX('Annual-CF'!$L$17:$U$17,MATCH('Monthly-CF'!BM$9,'Annual-CF'!$L$9:$U$9,0))</f>
        <v>0.16985856000000021</v>
      </c>
      <c r="BN17" s="750">
        <f>INDEX('Annual-CF'!$L$17:$U$17,MATCH('Monthly-CF'!BN$9,'Annual-CF'!$L$9:$U$9,0))</f>
        <v>0.16985856000000021</v>
      </c>
      <c r="BO17" s="750">
        <f>INDEX('Annual-CF'!$L$17:$U$17,MATCH('Monthly-CF'!BO$9,'Annual-CF'!$L$9:$U$9,0))</f>
        <v>0.16985856000000021</v>
      </c>
      <c r="BP17" s="750">
        <f>INDEX('Annual-CF'!$L$17:$U$17,MATCH('Monthly-CF'!BP$9,'Annual-CF'!$L$9:$U$9,0))</f>
        <v>0.16985856000000021</v>
      </c>
      <c r="BQ17" s="750">
        <f>INDEX('Annual-CF'!$L$17:$U$17,MATCH('Monthly-CF'!BQ$9,'Annual-CF'!$L$9:$U$9,0))</f>
        <v>0.16985856000000021</v>
      </c>
      <c r="BR17" s="750">
        <f>INDEX('Annual-CF'!$L$17:$U$17,MATCH('Monthly-CF'!BR$9,'Annual-CF'!$L$9:$U$9,0))</f>
        <v>0.16985856000000021</v>
      </c>
      <c r="BS17" s="750">
        <f>INDEX('Annual-CF'!$L$17:$U$17,MATCH('Monthly-CF'!BS$9,'Annual-CF'!$L$9:$U$9,0))</f>
        <v>0.16985856000000021</v>
      </c>
      <c r="BT17" s="750">
        <f>INDEX('Annual-CF'!$L$17:$U$17,MATCH('Monthly-CF'!BT$9,'Annual-CF'!$L$9:$U$9,0))</f>
        <v>0.21665290240000035</v>
      </c>
      <c r="BU17" s="750">
        <f>INDEX('Annual-CF'!$L$17:$U$17,MATCH('Monthly-CF'!BU$9,'Annual-CF'!$L$9:$U$9,0))</f>
        <v>0.21665290240000035</v>
      </c>
      <c r="BV17" s="750">
        <f>INDEX('Annual-CF'!$L$17:$U$17,MATCH('Monthly-CF'!BV$9,'Annual-CF'!$L$9:$U$9,0))</f>
        <v>0.21665290240000035</v>
      </c>
      <c r="BW17" s="750">
        <f>INDEX('Annual-CF'!$L$17:$U$17,MATCH('Monthly-CF'!BW$9,'Annual-CF'!$L$9:$U$9,0))</f>
        <v>0.21665290240000035</v>
      </c>
      <c r="BX17" s="750">
        <f>INDEX('Annual-CF'!$L$17:$U$17,MATCH('Monthly-CF'!BX$9,'Annual-CF'!$L$9:$U$9,0))</f>
        <v>0.21665290240000035</v>
      </c>
      <c r="BY17" s="750">
        <f>INDEX('Annual-CF'!$L$17:$U$17,MATCH('Monthly-CF'!BY$9,'Annual-CF'!$L$9:$U$9,0))</f>
        <v>0.21665290240000035</v>
      </c>
      <c r="BZ17" s="750">
        <f>INDEX('Annual-CF'!$L$17:$U$17,MATCH('Monthly-CF'!BZ$9,'Annual-CF'!$L$9:$U$9,0))</f>
        <v>0.21665290240000035</v>
      </c>
      <c r="CA17" s="750">
        <f>INDEX('Annual-CF'!$L$17:$U$17,MATCH('Monthly-CF'!CA$9,'Annual-CF'!$L$9:$U$9,0))</f>
        <v>0.21665290240000035</v>
      </c>
      <c r="CB17" s="750">
        <f>INDEX('Annual-CF'!$L$17:$U$17,MATCH('Monthly-CF'!CB$9,'Annual-CF'!$L$9:$U$9,0))</f>
        <v>0.21665290240000035</v>
      </c>
      <c r="CC17" s="750">
        <f>INDEX('Annual-CF'!$L$17:$U$17,MATCH('Monthly-CF'!CC$9,'Annual-CF'!$L$9:$U$9,0))</f>
        <v>0.21665290240000035</v>
      </c>
      <c r="CD17" s="750">
        <f>INDEX('Annual-CF'!$L$17:$U$17,MATCH('Monthly-CF'!CD$9,'Annual-CF'!$L$9:$U$9,0))</f>
        <v>0.21665290240000035</v>
      </c>
      <c r="CE17" s="750">
        <f>INDEX('Annual-CF'!$L$17:$U$17,MATCH('Monthly-CF'!CE$9,'Annual-CF'!$L$9:$U$9,0))</f>
        <v>0.21665290240000035</v>
      </c>
      <c r="CF17" s="750">
        <f>INDEX('Annual-CF'!$L$17:$U$17,MATCH('Monthly-CF'!CF$9,'Annual-CF'!$L$9:$U$9,0))</f>
        <v>0.26531901849600037</v>
      </c>
      <c r="CG17" s="750">
        <f>INDEX('Annual-CF'!$L$17:$U$17,MATCH('Monthly-CF'!CG$9,'Annual-CF'!$L$9:$U$9,0))</f>
        <v>0.26531901849600037</v>
      </c>
      <c r="CH17" s="750">
        <f>INDEX('Annual-CF'!$L$17:$U$17,MATCH('Monthly-CF'!CH$9,'Annual-CF'!$L$9:$U$9,0))</f>
        <v>0.26531901849600037</v>
      </c>
      <c r="CI17" s="750">
        <f>INDEX('Annual-CF'!$L$17:$U$17,MATCH('Monthly-CF'!CI$9,'Annual-CF'!$L$9:$U$9,0))</f>
        <v>0.26531901849600037</v>
      </c>
      <c r="CJ17" s="750">
        <f>INDEX('Annual-CF'!$L$17:$U$17,MATCH('Monthly-CF'!CJ$9,'Annual-CF'!$L$9:$U$9,0))</f>
        <v>0.26531901849600037</v>
      </c>
      <c r="CK17" s="750">
        <f>INDEX('Annual-CF'!$L$17:$U$17,MATCH('Monthly-CF'!CK$9,'Annual-CF'!$L$9:$U$9,0))</f>
        <v>0.26531901849600037</v>
      </c>
      <c r="CL17" s="750">
        <f>INDEX('Annual-CF'!$L$17:$U$17,MATCH('Monthly-CF'!CL$9,'Annual-CF'!$L$9:$U$9,0))</f>
        <v>0.26531901849600037</v>
      </c>
      <c r="CM17" s="750">
        <f>INDEX('Annual-CF'!$L$17:$U$17,MATCH('Monthly-CF'!CM$9,'Annual-CF'!$L$9:$U$9,0))</f>
        <v>0.26531901849600037</v>
      </c>
      <c r="CN17" s="750">
        <f>INDEX('Annual-CF'!$L$17:$U$17,MATCH('Monthly-CF'!CN$9,'Annual-CF'!$L$9:$U$9,0))</f>
        <v>0.26531901849600037</v>
      </c>
      <c r="CO17" s="750">
        <f>INDEX('Annual-CF'!$L$17:$U$17,MATCH('Monthly-CF'!CO$9,'Annual-CF'!$L$9:$U$9,0))</f>
        <v>0.26531901849600037</v>
      </c>
      <c r="CP17" s="750">
        <f>INDEX('Annual-CF'!$L$17:$U$17,MATCH('Monthly-CF'!CP$9,'Annual-CF'!$L$9:$U$9,0))</f>
        <v>0.26531901849600037</v>
      </c>
      <c r="CQ17" s="750">
        <f>INDEX('Annual-CF'!$L$17:$U$17,MATCH('Monthly-CF'!CQ$9,'Annual-CF'!$L$9:$U$9,0))</f>
        <v>0.26531901849600037</v>
      </c>
      <c r="CR17" s="750">
        <f>INDEX('Annual-CF'!$L$17:$U$17,MATCH('Monthly-CF'!CR$9,'Annual-CF'!$L$9:$U$9,0))</f>
        <v>0.31593177923584048</v>
      </c>
      <c r="CS17" s="750">
        <f>INDEX('Annual-CF'!$L$17:$U$17,MATCH('Monthly-CF'!CS$9,'Annual-CF'!$L$9:$U$9,0))</f>
        <v>0.31593177923584048</v>
      </c>
      <c r="CT17" s="750">
        <f>INDEX('Annual-CF'!$L$17:$U$17,MATCH('Monthly-CF'!CT$9,'Annual-CF'!$L$9:$U$9,0))</f>
        <v>0.31593177923584048</v>
      </c>
      <c r="CU17" s="750">
        <f>INDEX('Annual-CF'!$L$17:$U$17,MATCH('Monthly-CF'!CU$9,'Annual-CF'!$L$9:$U$9,0))</f>
        <v>0.31593177923584048</v>
      </c>
      <c r="CV17" s="750">
        <f>INDEX('Annual-CF'!$L$17:$U$17,MATCH('Monthly-CF'!CV$9,'Annual-CF'!$L$9:$U$9,0))</f>
        <v>0.31593177923584048</v>
      </c>
      <c r="CW17" s="750">
        <f>INDEX('Annual-CF'!$L$17:$U$17,MATCH('Monthly-CF'!CW$9,'Annual-CF'!$L$9:$U$9,0))</f>
        <v>0.31593177923584048</v>
      </c>
      <c r="CX17" s="750">
        <f>INDEX('Annual-CF'!$L$17:$U$17,MATCH('Monthly-CF'!CX$9,'Annual-CF'!$L$9:$U$9,0))</f>
        <v>0.31593177923584048</v>
      </c>
      <c r="CY17" s="750">
        <f>INDEX('Annual-CF'!$L$17:$U$17,MATCH('Monthly-CF'!CY$9,'Annual-CF'!$L$9:$U$9,0))</f>
        <v>0.31593177923584048</v>
      </c>
      <c r="CZ17" s="750">
        <f>INDEX('Annual-CF'!$L$17:$U$17,MATCH('Monthly-CF'!CZ$9,'Annual-CF'!$L$9:$U$9,0))</f>
        <v>0.31593177923584048</v>
      </c>
      <c r="DA17" s="750">
        <f>INDEX('Annual-CF'!$L$17:$U$17,MATCH('Monthly-CF'!DA$9,'Annual-CF'!$L$9:$U$9,0))</f>
        <v>0.31593177923584048</v>
      </c>
      <c r="DB17" s="750">
        <f>INDEX('Annual-CF'!$L$17:$U$17,MATCH('Monthly-CF'!DB$9,'Annual-CF'!$L$9:$U$9,0))</f>
        <v>0.31593177923584048</v>
      </c>
      <c r="DC17" s="750">
        <f>INDEX('Annual-CF'!$L$17:$U$17,MATCH('Monthly-CF'!DC$9,'Annual-CF'!$L$9:$U$9,0))</f>
        <v>0.31593177923584048</v>
      </c>
      <c r="DD17" s="750">
        <f>INDEX('Annual-CF'!$L$17:$U$17,MATCH('Monthly-CF'!DD$9,'Annual-CF'!$L$9:$U$9,0))</f>
        <v>0.3685690504052741</v>
      </c>
      <c r="DE17" s="750">
        <f>INDEX('Annual-CF'!$L$17:$U$17,MATCH('Monthly-CF'!DE$9,'Annual-CF'!$L$9:$U$9,0))</f>
        <v>0.3685690504052741</v>
      </c>
      <c r="DF17" s="750">
        <f>INDEX('Annual-CF'!$L$17:$U$17,MATCH('Monthly-CF'!DF$9,'Annual-CF'!$L$9:$U$9,0))</f>
        <v>0.3685690504052741</v>
      </c>
      <c r="DG17" s="750">
        <f>INDEX('Annual-CF'!$L$17:$U$17,MATCH('Monthly-CF'!DG$9,'Annual-CF'!$L$9:$U$9,0))</f>
        <v>0.3685690504052741</v>
      </c>
      <c r="DH17" s="750">
        <f>INDEX('Annual-CF'!$L$17:$U$17,MATCH('Monthly-CF'!DH$9,'Annual-CF'!$L$9:$U$9,0))</f>
        <v>0.3685690504052741</v>
      </c>
      <c r="DI17" s="750">
        <f>INDEX('Annual-CF'!$L$17:$U$17,MATCH('Monthly-CF'!DI$9,'Annual-CF'!$L$9:$U$9,0))</f>
        <v>0.3685690504052741</v>
      </c>
      <c r="DJ17" s="750">
        <f>INDEX('Annual-CF'!$L$17:$U$17,MATCH('Monthly-CF'!DJ$9,'Annual-CF'!$L$9:$U$9,0))</f>
        <v>0.3685690504052741</v>
      </c>
      <c r="DK17" s="750">
        <f>INDEX('Annual-CF'!$L$17:$U$17,MATCH('Monthly-CF'!DK$9,'Annual-CF'!$L$9:$U$9,0))</f>
        <v>0.3685690504052741</v>
      </c>
      <c r="DL17" s="750">
        <f>INDEX('Annual-CF'!$L$17:$U$17,MATCH('Monthly-CF'!DL$9,'Annual-CF'!$L$9:$U$9,0))</f>
        <v>0.3685690504052741</v>
      </c>
      <c r="DM17" s="750">
        <f>INDEX('Annual-CF'!$L$17:$U$17,MATCH('Monthly-CF'!DM$9,'Annual-CF'!$L$9:$U$9,0))</f>
        <v>0.3685690504052741</v>
      </c>
      <c r="DN17" s="750">
        <f>INDEX('Annual-CF'!$L$17:$U$17,MATCH('Monthly-CF'!DN$9,'Annual-CF'!$L$9:$U$9,0))</f>
        <v>0.3685690504052741</v>
      </c>
      <c r="DO17" s="750">
        <f>INDEX('Annual-CF'!$L$17:$U$17,MATCH('Monthly-CF'!DO$9,'Annual-CF'!$L$9:$U$9,0))</f>
        <v>0.3685690504052741</v>
      </c>
      <c r="DP17" s="750">
        <f>INDEX('Annual-CF'!$L$17:$U$17,MATCH('Monthly-CF'!DP$9,'Annual-CF'!$L$9:$U$9,0))</f>
        <v>0.42331181242148519</v>
      </c>
      <c r="DQ17" s="750">
        <f>INDEX('Annual-CF'!$L$17:$U$17,MATCH('Monthly-CF'!DQ$9,'Annual-CF'!$L$9:$U$9,0))</f>
        <v>0.42331181242148519</v>
      </c>
      <c r="DR17" s="750">
        <f>INDEX('Annual-CF'!$L$17:$U$17,MATCH('Monthly-CF'!DR$9,'Annual-CF'!$L$9:$U$9,0))</f>
        <v>0.42331181242148519</v>
      </c>
      <c r="DS17" s="750">
        <f>INDEX('Annual-CF'!$L$17:$U$17,MATCH('Monthly-CF'!DS$9,'Annual-CF'!$L$9:$U$9,0))</f>
        <v>0.42331181242148519</v>
      </c>
      <c r="DT17" s="750">
        <f>INDEX('Annual-CF'!$L$17:$U$17,MATCH('Monthly-CF'!DT$9,'Annual-CF'!$L$9:$U$9,0))</f>
        <v>0.42331181242148519</v>
      </c>
      <c r="DU17" s="750">
        <f>INDEX('Annual-CF'!$L$17:$U$17,MATCH('Monthly-CF'!DU$9,'Annual-CF'!$L$9:$U$9,0))</f>
        <v>0.42331181242148519</v>
      </c>
      <c r="DV17" s="750">
        <f>INDEX('Annual-CF'!$L$17:$U$17,MATCH('Monthly-CF'!DV$9,'Annual-CF'!$L$9:$U$9,0))</f>
        <v>0.42331181242148519</v>
      </c>
      <c r="DW17" s="750">
        <f>INDEX('Annual-CF'!$L$17:$U$17,MATCH('Monthly-CF'!DW$9,'Annual-CF'!$L$9:$U$9,0))</f>
        <v>0.42331181242148519</v>
      </c>
      <c r="DX17" s="750">
        <f>INDEX('Annual-CF'!$L$17:$U$17,MATCH('Monthly-CF'!DX$9,'Annual-CF'!$L$9:$U$9,0))</f>
        <v>0.42331181242148519</v>
      </c>
      <c r="DY17" s="750">
        <f>INDEX('Annual-CF'!$L$17:$U$17,MATCH('Monthly-CF'!DY$9,'Annual-CF'!$L$9:$U$9,0))</f>
        <v>0.42331181242148519</v>
      </c>
      <c r="DZ17" s="750">
        <f>INDEX('Annual-CF'!$L$17:$U$17,MATCH('Monthly-CF'!DZ$9,'Annual-CF'!$L$9:$U$9,0))</f>
        <v>0.42331181242148519</v>
      </c>
      <c r="EA17" s="750">
        <f>INDEX('Annual-CF'!$L$17:$U$17,MATCH('Monthly-CF'!EA$9,'Annual-CF'!$L$9:$U$9,0))</f>
        <v>0.42331181242148519</v>
      </c>
      <c r="EB17" s="389"/>
      <c r="EC17" s="392" t="s">
        <v>65</v>
      </c>
    </row>
    <row r="18" spans="1:133" s="390" customFormat="1" outlineLevel="1">
      <c r="A18" s="389"/>
      <c r="C18" s="389"/>
      <c r="D18" s="403" t="s">
        <v>501</v>
      </c>
      <c r="E18" s="700">
        <f>Assumptions!F34</f>
        <v>103297</v>
      </c>
      <c r="F18" s="389"/>
      <c r="G18" s="749">
        <f>Assumptions!H56</f>
        <v>0.04</v>
      </c>
      <c r="H18" s="389"/>
      <c r="I18" s="794">
        <f t="shared" ref="I18:I20" ca="1" si="9">MAX(L18:EA18)</f>
        <v>0</v>
      </c>
      <c r="J18" s="389"/>
      <c r="K18" s="407"/>
      <c r="L18" s="407">
        <f t="shared" ref="L18:AQ18" ca="1" si="10">L13*$E18</f>
        <v>0</v>
      </c>
      <c r="M18" s="407">
        <f t="shared" ca="1" si="10"/>
        <v>0</v>
      </c>
      <c r="N18" s="407">
        <f t="shared" ca="1" si="10"/>
        <v>0</v>
      </c>
      <c r="O18" s="407">
        <f t="shared" ca="1" si="10"/>
        <v>0</v>
      </c>
      <c r="P18" s="407">
        <f t="shared" ca="1" si="10"/>
        <v>0</v>
      </c>
      <c r="Q18" s="407">
        <f t="shared" ca="1" si="10"/>
        <v>0</v>
      </c>
      <c r="R18" s="407">
        <f t="shared" ca="1" si="10"/>
        <v>0</v>
      </c>
      <c r="S18" s="407">
        <f t="shared" ca="1" si="10"/>
        <v>0</v>
      </c>
      <c r="T18" s="407">
        <f t="shared" ca="1" si="10"/>
        <v>0</v>
      </c>
      <c r="U18" s="407">
        <f t="shared" ca="1" si="10"/>
        <v>0</v>
      </c>
      <c r="V18" s="407">
        <f t="shared" ca="1" si="10"/>
        <v>0</v>
      </c>
      <c r="W18" s="407">
        <f t="shared" ca="1" si="10"/>
        <v>0</v>
      </c>
      <c r="X18" s="407">
        <f t="shared" ca="1" si="10"/>
        <v>0</v>
      </c>
      <c r="Y18" s="407">
        <f t="shared" ca="1" si="10"/>
        <v>0</v>
      </c>
      <c r="Z18" s="407">
        <f t="shared" ca="1" si="10"/>
        <v>0</v>
      </c>
      <c r="AA18" s="407">
        <f t="shared" ca="1" si="10"/>
        <v>0</v>
      </c>
      <c r="AB18" s="407">
        <f t="shared" ca="1" si="10"/>
        <v>0</v>
      </c>
      <c r="AC18" s="407">
        <f t="shared" ca="1" si="10"/>
        <v>0</v>
      </c>
      <c r="AD18" s="407">
        <f t="shared" ca="1" si="10"/>
        <v>0</v>
      </c>
      <c r="AE18" s="407">
        <f t="shared" ca="1" si="10"/>
        <v>0</v>
      </c>
      <c r="AF18" s="407">
        <f t="shared" ca="1" si="10"/>
        <v>0</v>
      </c>
      <c r="AG18" s="407">
        <f t="shared" ca="1" si="10"/>
        <v>0</v>
      </c>
      <c r="AH18" s="407">
        <f t="shared" ca="1" si="10"/>
        <v>0</v>
      </c>
      <c r="AI18" s="407">
        <f t="shared" ca="1" si="10"/>
        <v>0</v>
      </c>
      <c r="AJ18" s="407">
        <f t="shared" ca="1" si="10"/>
        <v>0</v>
      </c>
      <c r="AK18" s="407">
        <f t="shared" ca="1" si="10"/>
        <v>0</v>
      </c>
      <c r="AL18" s="407">
        <f t="shared" ca="1" si="10"/>
        <v>0</v>
      </c>
      <c r="AM18" s="407">
        <f t="shared" ca="1" si="10"/>
        <v>0</v>
      </c>
      <c r="AN18" s="407">
        <f t="shared" ca="1" si="10"/>
        <v>0</v>
      </c>
      <c r="AO18" s="407">
        <f t="shared" ca="1" si="10"/>
        <v>0</v>
      </c>
      <c r="AP18" s="407">
        <f t="shared" ca="1" si="10"/>
        <v>0</v>
      </c>
      <c r="AQ18" s="407">
        <f t="shared" ca="1" si="10"/>
        <v>0</v>
      </c>
      <c r="AR18" s="407">
        <f t="shared" ref="AR18:BW18" ca="1" si="11">AR13*$E18</f>
        <v>0</v>
      </c>
      <c r="AS18" s="407">
        <f t="shared" ca="1" si="11"/>
        <v>0</v>
      </c>
      <c r="AT18" s="407">
        <f t="shared" ca="1" si="11"/>
        <v>0</v>
      </c>
      <c r="AU18" s="407">
        <f t="shared" ca="1" si="11"/>
        <v>0</v>
      </c>
      <c r="AV18" s="407">
        <f t="shared" ca="1" si="11"/>
        <v>0</v>
      </c>
      <c r="AW18" s="407">
        <f t="shared" ca="1" si="11"/>
        <v>0</v>
      </c>
      <c r="AX18" s="407">
        <f t="shared" ca="1" si="11"/>
        <v>0</v>
      </c>
      <c r="AY18" s="407">
        <f t="shared" ca="1" si="11"/>
        <v>0</v>
      </c>
      <c r="AZ18" s="407">
        <f t="shared" ca="1" si="11"/>
        <v>0</v>
      </c>
      <c r="BA18" s="407">
        <f t="shared" ca="1" si="11"/>
        <v>0</v>
      </c>
      <c r="BB18" s="407">
        <f t="shared" ca="1" si="11"/>
        <v>0</v>
      </c>
      <c r="BC18" s="407">
        <f t="shared" ca="1" si="11"/>
        <v>0</v>
      </c>
      <c r="BD18" s="407">
        <f t="shared" ca="1" si="11"/>
        <v>0</v>
      </c>
      <c r="BE18" s="407">
        <f t="shared" ca="1" si="11"/>
        <v>0</v>
      </c>
      <c r="BF18" s="407">
        <f t="shared" ca="1" si="11"/>
        <v>0</v>
      </c>
      <c r="BG18" s="407">
        <f t="shared" ca="1" si="11"/>
        <v>0</v>
      </c>
      <c r="BH18" s="407">
        <f t="shared" ca="1" si="11"/>
        <v>0</v>
      </c>
      <c r="BI18" s="407">
        <f t="shared" ca="1" si="11"/>
        <v>0</v>
      </c>
      <c r="BJ18" s="407">
        <f t="shared" ca="1" si="11"/>
        <v>0</v>
      </c>
      <c r="BK18" s="407">
        <f t="shared" ca="1" si="11"/>
        <v>0</v>
      </c>
      <c r="BL18" s="407">
        <f t="shared" ca="1" si="11"/>
        <v>0</v>
      </c>
      <c r="BM18" s="407">
        <f t="shared" ca="1" si="11"/>
        <v>0</v>
      </c>
      <c r="BN18" s="407">
        <f t="shared" ca="1" si="11"/>
        <v>0</v>
      </c>
      <c r="BO18" s="407">
        <f t="shared" ca="1" si="11"/>
        <v>0</v>
      </c>
      <c r="BP18" s="407">
        <f t="shared" ca="1" si="11"/>
        <v>0</v>
      </c>
      <c r="BQ18" s="407">
        <f t="shared" ca="1" si="11"/>
        <v>0</v>
      </c>
      <c r="BR18" s="407">
        <f t="shared" ca="1" si="11"/>
        <v>0</v>
      </c>
      <c r="BS18" s="407">
        <f t="shared" ca="1" si="11"/>
        <v>0</v>
      </c>
      <c r="BT18" s="407">
        <f t="shared" ca="1" si="11"/>
        <v>0</v>
      </c>
      <c r="BU18" s="407">
        <f t="shared" ca="1" si="11"/>
        <v>0</v>
      </c>
      <c r="BV18" s="407">
        <f t="shared" ca="1" si="11"/>
        <v>0</v>
      </c>
      <c r="BW18" s="407">
        <f t="shared" ca="1" si="11"/>
        <v>0</v>
      </c>
      <c r="BX18" s="407">
        <f t="shared" ref="BX18:DC18" ca="1" si="12">BX13*$E18</f>
        <v>0</v>
      </c>
      <c r="BY18" s="407">
        <f t="shared" ca="1" si="12"/>
        <v>0</v>
      </c>
      <c r="BZ18" s="407">
        <f t="shared" ca="1" si="12"/>
        <v>0</v>
      </c>
      <c r="CA18" s="407">
        <f t="shared" ca="1" si="12"/>
        <v>0</v>
      </c>
      <c r="CB18" s="407">
        <f t="shared" ca="1" si="12"/>
        <v>0</v>
      </c>
      <c r="CC18" s="407">
        <f t="shared" ca="1" si="12"/>
        <v>0</v>
      </c>
      <c r="CD18" s="407">
        <f t="shared" ca="1" si="12"/>
        <v>0</v>
      </c>
      <c r="CE18" s="407">
        <f t="shared" ca="1" si="12"/>
        <v>0</v>
      </c>
      <c r="CF18" s="407">
        <f t="shared" ca="1" si="12"/>
        <v>0</v>
      </c>
      <c r="CG18" s="407">
        <f t="shared" ca="1" si="12"/>
        <v>0</v>
      </c>
      <c r="CH18" s="407">
        <f t="shared" ca="1" si="12"/>
        <v>0</v>
      </c>
      <c r="CI18" s="407">
        <f t="shared" ca="1" si="12"/>
        <v>0</v>
      </c>
      <c r="CJ18" s="407">
        <f t="shared" ca="1" si="12"/>
        <v>0</v>
      </c>
      <c r="CK18" s="407">
        <f t="shared" ca="1" si="12"/>
        <v>0</v>
      </c>
      <c r="CL18" s="407">
        <f t="shared" ca="1" si="12"/>
        <v>0</v>
      </c>
      <c r="CM18" s="407">
        <f t="shared" ca="1" si="12"/>
        <v>0</v>
      </c>
      <c r="CN18" s="407">
        <f t="shared" ca="1" si="12"/>
        <v>0</v>
      </c>
      <c r="CO18" s="407">
        <f t="shared" ca="1" si="12"/>
        <v>0</v>
      </c>
      <c r="CP18" s="407">
        <f t="shared" ca="1" si="12"/>
        <v>0</v>
      </c>
      <c r="CQ18" s="407">
        <f t="shared" ca="1" si="12"/>
        <v>0</v>
      </c>
      <c r="CR18" s="407">
        <f t="shared" ca="1" si="12"/>
        <v>0</v>
      </c>
      <c r="CS18" s="407">
        <f t="shared" ca="1" si="12"/>
        <v>0</v>
      </c>
      <c r="CT18" s="407">
        <f t="shared" ca="1" si="12"/>
        <v>0</v>
      </c>
      <c r="CU18" s="407">
        <f t="shared" ca="1" si="12"/>
        <v>0</v>
      </c>
      <c r="CV18" s="407">
        <f t="shared" ca="1" si="12"/>
        <v>0</v>
      </c>
      <c r="CW18" s="407">
        <f t="shared" ca="1" si="12"/>
        <v>0</v>
      </c>
      <c r="CX18" s="407">
        <f t="shared" ca="1" si="12"/>
        <v>0</v>
      </c>
      <c r="CY18" s="407">
        <f t="shared" ca="1" si="12"/>
        <v>0</v>
      </c>
      <c r="CZ18" s="407">
        <f t="shared" ca="1" si="12"/>
        <v>0</v>
      </c>
      <c r="DA18" s="407">
        <f t="shared" ca="1" si="12"/>
        <v>0</v>
      </c>
      <c r="DB18" s="407">
        <f t="shared" ca="1" si="12"/>
        <v>0</v>
      </c>
      <c r="DC18" s="407">
        <f t="shared" ca="1" si="12"/>
        <v>0</v>
      </c>
      <c r="DD18" s="407">
        <f t="shared" ref="DD18:EA18" ca="1" si="13">DD13*$E18</f>
        <v>0</v>
      </c>
      <c r="DE18" s="407">
        <f t="shared" ca="1" si="13"/>
        <v>0</v>
      </c>
      <c r="DF18" s="407">
        <f t="shared" ca="1" si="13"/>
        <v>0</v>
      </c>
      <c r="DG18" s="407">
        <f t="shared" ca="1" si="13"/>
        <v>0</v>
      </c>
      <c r="DH18" s="407">
        <f t="shared" ca="1" si="13"/>
        <v>0</v>
      </c>
      <c r="DI18" s="407">
        <f t="shared" ca="1" si="13"/>
        <v>0</v>
      </c>
      <c r="DJ18" s="407">
        <f t="shared" ca="1" si="13"/>
        <v>0</v>
      </c>
      <c r="DK18" s="407">
        <f t="shared" ca="1" si="13"/>
        <v>0</v>
      </c>
      <c r="DL18" s="407">
        <f t="shared" ca="1" si="13"/>
        <v>0</v>
      </c>
      <c r="DM18" s="407">
        <f t="shared" ca="1" si="13"/>
        <v>0</v>
      </c>
      <c r="DN18" s="407">
        <f t="shared" ca="1" si="13"/>
        <v>0</v>
      </c>
      <c r="DO18" s="407">
        <f t="shared" ca="1" si="13"/>
        <v>0</v>
      </c>
      <c r="DP18" s="407">
        <f t="shared" ca="1" si="13"/>
        <v>0</v>
      </c>
      <c r="DQ18" s="407">
        <f t="shared" ca="1" si="13"/>
        <v>0</v>
      </c>
      <c r="DR18" s="407">
        <f t="shared" ca="1" si="13"/>
        <v>0</v>
      </c>
      <c r="DS18" s="407">
        <f t="shared" ca="1" si="13"/>
        <v>0</v>
      </c>
      <c r="DT18" s="407">
        <f t="shared" ca="1" si="13"/>
        <v>0</v>
      </c>
      <c r="DU18" s="407">
        <f t="shared" ca="1" si="13"/>
        <v>0</v>
      </c>
      <c r="DV18" s="407">
        <f t="shared" ca="1" si="13"/>
        <v>0</v>
      </c>
      <c r="DW18" s="407">
        <f t="shared" ca="1" si="13"/>
        <v>0</v>
      </c>
      <c r="DX18" s="407">
        <f t="shared" ca="1" si="13"/>
        <v>0</v>
      </c>
      <c r="DY18" s="407">
        <f t="shared" ca="1" si="13"/>
        <v>0</v>
      </c>
      <c r="DZ18" s="407">
        <f t="shared" ca="1" si="13"/>
        <v>0</v>
      </c>
      <c r="EA18" s="407">
        <f t="shared" ca="1" si="13"/>
        <v>0</v>
      </c>
      <c r="EB18" s="389"/>
      <c r="EC18" s="392" t="s">
        <v>65</v>
      </c>
    </row>
    <row r="19" spans="1:133" s="390" customFormat="1" outlineLevel="1">
      <c r="A19" s="389"/>
      <c r="C19" s="389"/>
      <c r="D19" s="403" t="s">
        <v>502</v>
      </c>
      <c r="E19" s="700"/>
      <c r="F19" s="389"/>
      <c r="G19" s="749"/>
      <c r="H19" s="389"/>
      <c r="I19" s="794">
        <f t="shared" si="9"/>
        <v>0</v>
      </c>
      <c r="J19" s="389"/>
      <c r="K19" s="407"/>
      <c r="L19" s="407">
        <f t="shared" ref="L19:AQ19" si="14">L14*$E19</f>
        <v>0</v>
      </c>
      <c r="M19" s="407">
        <f t="shared" si="14"/>
        <v>0</v>
      </c>
      <c r="N19" s="407">
        <f t="shared" si="14"/>
        <v>0</v>
      </c>
      <c r="O19" s="407">
        <f t="shared" si="14"/>
        <v>0</v>
      </c>
      <c r="P19" s="407">
        <f t="shared" si="14"/>
        <v>0</v>
      </c>
      <c r="Q19" s="407">
        <f t="shared" si="14"/>
        <v>0</v>
      </c>
      <c r="R19" s="407">
        <f t="shared" si="14"/>
        <v>0</v>
      </c>
      <c r="S19" s="407">
        <f t="shared" si="14"/>
        <v>0</v>
      </c>
      <c r="T19" s="407">
        <f t="shared" si="14"/>
        <v>0</v>
      </c>
      <c r="U19" s="407">
        <f t="shared" si="14"/>
        <v>0</v>
      </c>
      <c r="V19" s="407">
        <f t="shared" si="14"/>
        <v>0</v>
      </c>
      <c r="W19" s="407">
        <f t="shared" si="14"/>
        <v>0</v>
      </c>
      <c r="X19" s="407">
        <f t="shared" si="14"/>
        <v>0</v>
      </c>
      <c r="Y19" s="407">
        <f t="shared" si="14"/>
        <v>0</v>
      </c>
      <c r="Z19" s="407">
        <f t="shared" si="14"/>
        <v>0</v>
      </c>
      <c r="AA19" s="407">
        <f t="shared" si="14"/>
        <v>0</v>
      </c>
      <c r="AB19" s="407">
        <f t="shared" si="14"/>
        <v>0</v>
      </c>
      <c r="AC19" s="407">
        <f t="shared" si="14"/>
        <v>0</v>
      </c>
      <c r="AD19" s="407">
        <f t="shared" si="14"/>
        <v>0</v>
      </c>
      <c r="AE19" s="407">
        <f t="shared" si="14"/>
        <v>0</v>
      </c>
      <c r="AF19" s="407">
        <f t="shared" si="14"/>
        <v>0</v>
      </c>
      <c r="AG19" s="407">
        <f t="shared" si="14"/>
        <v>0</v>
      </c>
      <c r="AH19" s="407">
        <f t="shared" si="14"/>
        <v>0</v>
      </c>
      <c r="AI19" s="407">
        <f t="shared" si="14"/>
        <v>0</v>
      </c>
      <c r="AJ19" s="407">
        <f t="shared" si="14"/>
        <v>0</v>
      </c>
      <c r="AK19" s="407">
        <f t="shared" si="14"/>
        <v>0</v>
      </c>
      <c r="AL19" s="407">
        <f t="shared" si="14"/>
        <v>0</v>
      </c>
      <c r="AM19" s="407">
        <f t="shared" si="14"/>
        <v>0</v>
      </c>
      <c r="AN19" s="407">
        <f t="shared" si="14"/>
        <v>0</v>
      </c>
      <c r="AO19" s="407">
        <f t="shared" si="14"/>
        <v>0</v>
      </c>
      <c r="AP19" s="407">
        <f t="shared" si="14"/>
        <v>0</v>
      </c>
      <c r="AQ19" s="407">
        <f t="shared" si="14"/>
        <v>0</v>
      </c>
      <c r="AR19" s="407">
        <f t="shared" ref="AR19:BW19" si="15">AR14*$E19</f>
        <v>0</v>
      </c>
      <c r="AS19" s="407">
        <f t="shared" si="15"/>
        <v>0</v>
      </c>
      <c r="AT19" s="407">
        <f t="shared" si="15"/>
        <v>0</v>
      </c>
      <c r="AU19" s="407">
        <f t="shared" si="15"/>
        <v>0</v>
      </c>
      <c r="AV19" s="407">
        <f t="shared" si="15"/>
        <v>0</v>
      </c>
      <c r="AW19" s="407">
        <f t="shared" si="15"/>
        <v>0</v>
      </c>
      <c r="AX19" s="407">
        <f t="shared" si="15"/>
        <v>0</v>
      </c>
      <c r="AY19" s="407">
        <f t="shared" si="15"/>
        <v>0</v>
      </c>
      <c r="AZ19" s="407">
        <f t="shared" si="15"/>
        <v>0</v>
      </c>
      <c r="BA19" s="407">
        <f t="shared" si="15"/>
        <v>0</v>
      </c>
      <c r="BB19" s="407">
        <f t="shared" si="15"/>
        <v>0</v>
      </c>
      <c r="BC19" s="407">
        <f t="shared" si="15"/>
        <v>0</v>
      </c>
      <c r="BD19" s="407">
        <f t="shared" si="15"/>
        <v>0</v>
      </c>
      <c r="BE19" s="407">
        <f t="shared" si="15"/>
        <v>0</v>
      </c>
      <c r="BF19" s="407">
        <f t="shared" si="15"/>
        <v>0</v>
      </c>
      <c r="BG19" s="407">
        <f t="shared" si="15"/>
        <v>0</v>
      </c>
      <c r="BH19" s="407">
        <f t="shared" si="15"/>
        <v>0</v>
      </c>
      <c r="BI19" s="407">
        <f t="shared" si="15"/>
        <v>0</v>
      </c>
      <c r="BJ19" s="407">
        <f t="shared" si="15"/>
        <v>0</v>
      </c>
      <c r="BK19" s="407">
        <f t="shared" si="15"/>
        <v>0</v>
      </c>
      <c r="BL19" s="407">
        <f t="shared" si="15"/>
        <v>0</v>
      </c>
      <c r="BM19" s="407">
        <f t="shared" si="15"/>
        <v>0</v>
      </c>
      <c r="BN19" s="407">
        <f t="shared" si="15"/>
        <v>0</v>
      </c>
      <c r="BO19" s="407">
        <f t="shared" si="15"/>
        <v>0</v>
      </c>
      <c r="BP19" s="407">
        <f t="shared" si="15"/>
        <v>0</v>
      </c>
      <c r="BQ19" s="407">
        <f t="shared" si="15"/>
        <v>0</v>
      </c>
      <c r="BR19" s="407">
        <f t="shared" si="15"/>
        <v>0</v>
      </c>
      <c r="BS19" s="407">
        <f t="shared" si="15"/>
        <v>0</v>
      </c>
      <c r="BT19" s="407">
        <f t="shared" si="15"/>
        <v>0</v>
      </c>
      <c r="BU19" s="407">
        <f t="shared" si="15"/>
        <v>0</v>
      </c>
      <c r="BV19" s="407">
        <f t="shared" si="15"/>
        <v>0</v>
      </c>
      <c r="BW19" s="407">
        <f t="shared" si="15"/>
        <v>0</v>
      </c>
      <c r="BX19" s="407">
        <f t="shared" ref="BX19:DC19" si="16">BX14*$E19</f>
        <v>0</v>
      </c>
      <c r="BY19" s="407">
        <f t="shared" si="16"/>
        <v>0</v>
      </c>
      <c r="BZ19" s="407">
        <f t="shared" si="16"/>
        <v>0</v>
      </c>
      <c r="CA19" s="407">
        <f t="shared" si="16"/>
        <v>0</v>
      </c>
      <c r="CB19" s="407">
        <f t="shared" si="16"/>
        <v>0</v>
      </c>
      <c r="CC19" s="407">
        <f t="shared" si="16"/>
        <v>0</v>
      </c>
      <c r="CD19" s="407">
        <f t="shared" si="16"/>
        <v>0</v>
      </c>
      <c r="CE19" s="407">
        <f t="shared" si="16"/>
        <v>0</v>
      </c>
      <c r="CF19" s="407">
        <f t="shared" si="16"/>
        <v>0</v>
      </c>
      <c r="CG19" s="407">
        <f t="shared" si="16"/>
        <v>0</v>
      </c>
      <c r="CH19" s="407">
        <f t="shared" si="16"/>
        <v>0</v>
      </c>
      <c r="CI19" s="407">
        <f t="shared" si="16"/>
        <v>0</v>
      </c>
      <c r="CJ19" s="407">
        <f t="shared" si="16"/>
        <v>0</v>
      </c>
      <c r="CK19" s="407">
        <f t="shared" si="16"/>
        <v>0</v>
      </c>
      <c r="CL19" s="407">
        <f t="shared" si="16"/>
        <v>0</v>
      </c>
      <c r="CM19" s="407">
        <f t="shared" si="16"/>
        <v>0</v>
      </c>
      <c r="CN19" s="407">
        <f t="shared" si="16"/>
        <v>0</v>
      </c>
      <c r="CO19" s="407">
        <f t="shared" si="16"/>
        <v>0</v>
      </c>
      <c r="CP19" s="407">
        <f t="shared" si="16"/>
        <v>0</v>
      </c>
      <c r="CQ19" s="407">
        <f t="shared" si="16"/>
        <v>0</v>
      </c>
      <c r="CR19" s="407">
        <f t="shared" si="16"/>
        <v>0</v>
      </c>
      <c r="CS19" s="407">
        <f t="shared" si="16"/>
        <v>0</v>
      </c>
      <c r="CT19" s="407">
        <f t="shared" si="16"/>
        <v>0</v>
      </c>
      <c r="CU19" s="407">
        <f t="shared" si="16"/>
        <v>0</v>
      </c>
      <c r="CV19" s="407">
        <f t="shared" si="16"/>
        <v>0</v>
      </c>
      <c r="CW19" s="407">
        <f t="shared" si="16"/>
        <v>0</v>
      </c>
      <c r="CX19" s="407">
        <f t="shared" si="16"/>
        <v>0</v>
      </c>
      <c r="CY19" s="407">
        <f t="shared" si="16"/>
        <v>0</v>
      </c>
      <c r="CZ19" s="407">
        <f t="shared" si="16"/>
        <v>0</v>
      </c>
      <c r="DA19" s="407">
        <f t="shared" si="16"/>
        <v>0</v>
      </c>
      <c r="DB19" s="407">
        <f t="shared" si="16"/>
        <v>0</v>
      </c>
      <c r="DC19" s="407">
        <f t="shared" si="16"/>
        <v>0</v>
      </c>
      <c r="DD19" s="407">
        <f t="shared" ref="DD19:EA19" si="17">DD14*$E19</f>
        <v>0</v>
      </c>
      <c r="DE19" s="407">
        <f t="shared" si="17"/>
        <v>0</v>
      </c>
      <c r="DF19" s="407">
        <f t="shared" si="17"/>
        <v>0</v>
      </c>
      <c r="DG19" s="407">
        <f t="shared" si="17"/>
        <v>0</v>
      </c>
      <c r="DH19" s="407">
        <f t="shared" si="17"/>
        <v>0</v>
      </c>
      <c r="DI19" s="407">
        <f t="shared" si="17"/>
        <v>0</v>
      </c>
      <c r="DJ19" s="407">
        <f t="shared" si="17"/>
        <v>0</v>
      </c>
      <c r="DK19" s="407">
        <f t="shared" si="17"/>
        <v>0</v>
      </c>
      <c r="DL19" s="407">
        <f t="shared" si="17"/>
        <v>0</v>
      </c>
      <c r="DM19" s="407">
        <f t="shared" si="17"/>
        <v>0</v>
      </c>
      <c r="DN19" s="407">
        <f t="shared" si="17"/>
        <v>0</v>
      </c>
      <c r="DO19" s="407">
        <f t="shared" si="17"/>
        <v>0</v>
      </c>
      <c r="DP19" s="407">
        <f t="shared" si="17"/>
        <v>0</v>
      </c>
      <c r="DQ19" s="407">
        <f t="shared" si="17"/>
        <v>0</v>
      </c>
      <c r="DR19" s="407">
        <f t="shared" si="17"/>
        <v>0</v>
      </c>
      <c r="DS19" s="407">
        <f t="shared" si="17"/>
        <v>0</v>
      </c>
      <c r="DT19" s="407">
        <f t="shared" si="17"/>
        <v>0</v>
      </c>
      <c r="DU19" s="407">
        <f t="shared" si="17"/>
        <v>0</v>
      </c>
      <c r="DV19" s="407">
        <f t="shared" si="17"/>
        <v>0</v>
      </c>
      <c r="DW19" s="407">
        <f t="shared" si="17"/>
        <v>0</v>
      </c>
      <c r="DX19" s="407">
        <f t="shared" si="17"/>
        <v>0</v>
      </c>
      <c r="DY19" s="407">
        <f t="shared" si="17"/>
        <v>0</v>
      </c>
      <c r="DZ19" s="407">
        <f t="shared" si="17"/>
        <v>0</v>
      </c>
      <c r="EA19" s="407">
        <f t="shared" si="17"/>
        <v>0</v>
      </c>
      <c r="EB19" s="389"/>
      <c r="EC19" s="392" t="s">
        <v>65</v>
      </c>
    </row>
    <row r="20" spans="1:133" s="390" customFormat="1" outlineLevel="1">
      <c r="A20" s="389"/>
      <c r="C20" s="389"/>
      <c r="D20" s="403" t="str">
        <f>CONCATENATE("PSF - ",Assumptions!J54)</f>
        <v>PSF - Ancillary Fees</v>
      </c>
      <c r="E20" s="389">
        <f>SUM(E18:E19)</f>
        <v>103297</v>
      </c>
      <c r="F20" s="389"/>
      <c r="G20" s="749">
        <f>Assumptions!J56</f>
        <v>0.04</v>
      </c>
      <c r="H20" s="389"/>
      <c r="I20" s="794">
        <f t="shared" ca="1" si="9"/>
        <v>0</v>
      </c>
      <c r="J20" s="389"/>
      <c r="K20" s="407"/>
      <c r="L20" s="407">
        <f t="shared" ref="L20:AQ20" ca="1" si="18">L15*$E20</f>
        <v>0</v>
      </c>
      <c r="M20" s="407">
        <f t="shared" ca="1" si="18"/>
        <v>0</v>
      </c>
      <c r="N20" s="407">
        <f t="shared" ca="1" si="18"/>
        <v>0</v>
      </c>
      <c r="O20" s="407">
        <f t="shared" ca="1" si="18"/>
        <v>0</v>
      </c>
      <c r="P20" s="407">
        <f t="shared" ca="1" si="18"/>
        <v>0</v>
      </c>
      <c r="Q20" s="407">
        <f t="shared" ca="1" si="18"/>
        <v>0</v>
      </c>
      <c r="R20" s="407">
        <f t="shared" ca="1" si="18"/>
        <v>0</v>
      </c>
      <c r="S20" s="407">
        <f t="shared" ca="1" si="18"/>
        <v>0</v>
      </c>
      <c r="T20" s="407">
        <f t="shared" ca="1" si="18"/>
        <v>0</v>
      </c>
      <c r="U20" s="407">
        <f t="shared" ca="1" si="18"/>
        <v>0</v>
      </c>
      <c r="V20" s="407">
        <f t="shared" ca="1" si="18"/>
        <v>0</v>
      </c>
      <c r="W20" s="407">
        <f t="shared" ca="1" si="18"/>
        <v>0</v>
      </c>
      <c r="X20" s="407">
        <f t="shared" ca="1" si="18"/>
        <v>0</v>
      </c>
      <c r="Y20" s="407">
        <f t="shared" ca="1" si="18"/>
        <v>0</v>
      </c>
      <c r="Z20" s="407">
        <f t="shared" ca="1" si="18"/>
        <v>0</v>
      </c>
      <c r="AA20" s="407">
        <f t="shared" ca="1" si="18"/>
        <v>0</v>
      </c>
      <c r="AB20" s="407">
        <f t="shared" ca="1" si="18"/>
        <v>0</v>
      </c>
      <c r="AC20" s="407">
        <f t="shared" ca="1" si="18"/>
        <v>0</v>
      </c>
      <c r="AD20" s="407">
        <f t="shared" ca="1" si="18"/>
        <v>0</v>
      </c>
      <c r="AE20" s="407">
        <f t="shared" ca="1" si="18"/>
        <v>0</v>
      </c>
      <c r="AF20" s="407">
        <f t="shared" ca="1" si="18"/>
        <v>0</v>
      </c>
      <c r="AG20" s="407">
        <f t="shared" ca="1" si="18"/>
        <v>0</v>
      </c>
      <c r="AH20" s="407">
        <f t="shared" ca="1" si="18"/>
        <v>0</v>
      </c>
      <c r="AI20" s="407">
        <f t="shared" ca="1" si="18"/>
        <v>0</v>
      </c>
      <c r="AJ20" s="407">
        <f t="shared" ca="1" si="18"/>
        <v>0</v>
      </c>
      <c r="AK20" s="407">
        <f t="shared" ca="1" si="18"/>
        <v>0</v>
      </c>
      <c r="AL20" s="407">
        <f t="shared" ca="1" si="18"/>
        <v>0</v>
      </c>
      <c r="AM20" s="407">
        <f t="shared" ca="1" si="18"/>
        <v>0</v>
      </c>
      <c r="AN20" s="407">
        <f t="shared" ca="1" si="18"/>
        <v>0</v>
      </c>
      <c r="AO20" s="407">
        <f t="shared" ca="1" si="18"/>
        <v>0</v>
      </c>
      <c r="AP20" s="407">
        <f t="shared" ca="1" si="18"/>
        <v>0</v>
      </c>
      <c r="AQ20" s="407">
        <f t="shared" ca="1" si="18"/>
        <v>0</v>
      </c>
      <c r="AR20" s="407">
        <f t="shared" ref="AR20:BW20" ca="1" si="19">AR15*$E20</f>
        <v>0</v>
      </c>
      <c r="AS20" s="407">
        <f t="shared" ca="1" si="19"/>
        <v>0</v>
      </c>
      <c r="AT20" s="407">
        <f t="shared" ca="1" si="19"/>
        <v>0</v>
      </c>
      <c r="AU20" s="407">
        <f t="shared" ca="1" si="19"/>
        <v>0</v>
      </c>
      <c r="AV20" s="407">
        <f t="shared" ca="1" si="19"/>
        <v>0</v>
      </c>
      <c r="AW20" s="407">
        <f t="shared" ca="1" si="19"/>
        <v>0</v>
      </c>
      <c r="AX20" s="407">
        <f t="shared" ca="1" si="19"/>
        <v>0</v>
      </c>
      <c r="AY20" s="407">
        <f t="shared" ca="1" si="19"/>
        <v>0</v>
      </c>
      <c r="AZ20" s="407">
        <f t="shared" ca="1" si="19"/>
        <v>0</v>
      </c>
      <c r="BA20" s="407">
        <f t="shared" ca="1" si="19"/>
        <v>0</v>
      </c>
      <c r="BB20" s="407">
        <f t="shared" ca="1" si="19"/>
        <v>0</v>
      </c>
      <c r="BC20" s="407">
        <f t="shared" ca="1" si="19"/>
        <v>0</v>
      </c>
      <c r="BD20" s="407">
        <f t="shared" ca="1" si="19"/>
        <v>0</v>
      </c>
      <c r="BE20" s="407">
        <f t="shared" ca="1" si="19"/>
        <v>0</v>
      </c>
      <c r="BF20" s="407">
        <f t="shared" ca="1" si="19"/>
        <v>0</v>
      </c>
      <c r="BG20" s="407">
        <f t="shared" ca="1" si="19"/>
        <v>0</v>
      </c>
      <c r="BH20" s="407">
        <f t="shared" ca="1" si="19"/>
        <v>0</v>
      </c>
      <c r="BI20" s="407">
        <f t="shared" ca="1" si="19"/>
        <v>0</v>
      </c>
      <c r="BJ20" s="407">
        <f t="shared" ca="1" si="19"/>
        <v>0</v>
      </c>
      <c r="BK20" s="407">
        <f t="shared" ca="1" si="19"/>
        <v>0</v>
      </c>
      <c r="BL20" s="407">
        <f t="shared" ca="1" si="19"/>
        <v>0</v>
      </c>
      <c r="BM20" s="407">
        <f t="shared" ca="1" si="19"/>
        <v>0</v>
      </c>
      <c r="BN20" s="407">
        <f t="shared" ca="1" si="19"/>
        <v>0</v>
      </c>
      <c r="BO20" s="407">
        <f t="shared" ca="1" si="19"/>
        <v>0</v>
      </c>
      <c r="BP20" s="407">
        <f t="shared" ca="1" si="19"/>
        <v>0</v>
      </c>
      <c r="BQ20" s="407">
        <f t="shared" ca="1" si="19"/>
        <v>0</v>
      </c>
      <c r="BR20" s="407">
        <f t="shared" ca="1" si="19"/>
        <v>0</v>
      </c>
      <c r="BS20" s="407">
        <f t="shared" ca="1" si="19"/>
        <v>0</v>
      </c>
      <c r="BT20" s="407">
        <f t="shared" ca="1" si="19"/>
        <v>0</v>
      </c>
      <c r="BU20" s="407">
        <f t="shared" ca="1" si="19"/>
        <v>0</v>
      </c>
      <c r="BV20" s="407">
        <f t="shared" ca="1" si="19"/>
        <v>0</v>
      </c>
      <c r="BW20" s="407">
        <f t="shared" ca="1" si="19"/>
        <v>0</v>
      </c>
      <c r="BX20" s="407">
        <f t="shared" ref="BX20:DC20" ca="1" si="20">BX15*$E20</f>
        <v>0</v>
      </c>
      <c r="BY20" s="407">
        <f t="shared" ca="1" si="20"/>
        <v>0</v>
      </c>
      <c r="BZ20" s="407">
        <f t="shared" ca="1" si="20"/>
        <v>0</v>
      </c>
      <c r="CA20" s="407">
        <f t="shared" ca="1" si="20"/>
        <v>0</v>
      </c>
      <c r="CB20" s="407">
        <f t="shared" ca="1" si="20"/>
        <v>0</v>
      </c>
      <c r="CC20" s="407">
        <f t="shared" ca="1" si="20"/>
        <v>0</v>
      </c>
      <c r="CD20" s="407">
        <f t="shared" ca="1" si="20"/>
        <v>0</v>
      </c>
      <c r="CE20" s="407">
        <f t="shared" ca="1" si="20"/>
        <v>0</v>
      </c>
      <c r="CF20" s="407">
        <f t="shared" ca="1" si="20"/>
        <v>0</v>
      </c>
      <c r="CG20" s="407">
        <f t="shared" ca="1" si="20"/>
        <v>0</v>
      </c>
      <c r="CH20" s="407">
        <f t="shared" ca="1" si="20"/>
        <v>0</v>
      </c>
      <c r="CI20" s="407">
        <f t="shared" ca="1" si="20"/>
        <v>0</v>
      </c>
      <c r="CJ20" s="407">
        <f t="shared" ca="1" si="20"/>
        <v>0</v>
      </c>
      <c r="CK20" s="407">
        <f t="shared" ca="1" si="20"/>
        <v>0</v>
      </c>
      <c r="CL20" s="407">
        <f t="shared" ca="1" si="20"/>
        <v>0</v>
      </c>
      <c r="CM20" s="407">
        <f t="shared" ca="1" si="20"/>
        <v>0</v>
      </c>
      <c r="CN20" s="407">
        <f t="shared" ca="1" si="20"/>
        <v>0</v>
      </c>
      <c r="CO20" s="407">
        <f t="shared" ca="1" si="20"/>
        <v>0</v>
      </c>
      <c r="CP20" s="407">
        <f t="shared" ca="1" si="20"/>
        <v>0</v>
      </c>
      <c r="CQ20" s="407">
        <f t="shared" ca="1" si="20"/>
        <v>0</v>
      </c>
      <c r="CR20" s="407">
        <f t="shared" ca="1" si="20"/>
        <v>0</v>
      </c>
      <c r="CS20" s="407">
        <f t="shared" ca="1" si="20"/>
        <v>0</v>
      </c>
      <c r="CT20" s="407">
        <f t="shared" ca="1" si="20"/>
        <v>0</v>
      </c>
      <c r="CU20" s="407">
        <f t="shared" ca="1" si="20"/>
        <v>0</v>
      </c>
      <c r="CV20" s="407">
        <f t="shared" ca="1" si="20"/>
        <v>0</v>
      </c>
      <c r="CW20" s="407">
        <f t="shared" ca="1" si="20"/>
        <v>0</v>
      </c>
      <c r="CX20" s="407">
        <f t="shared" ca="1" si="20"/>
        <v>0</v>
      </c>
      <c r="CY20" s="407">
        <f t="shared" ca="1" si="20"/>
        <v>0</v>
      </c>
      <c r="CZ20" s="407">
        <f t="shared" ca="1" si="20"/>
        <v>0</v>
      </c>
      <c r="DA20" s="407">
        <f t="shared" ca="1" si="20"/>
        <v>0</v>
      </c>
      <c r="DB20" s="407">
        <f t="shared" ca="1" si="20"/>
        <v>0</v>
      </c>
      <c r="DC20" s="407">
        <f t="shared" ca="1" si="20"/>
        <v>0</v>
      </c>
      <c r="DD20" s="407">
        <f t="shared" ref="DD20:EA20" ca="1" si="21">DD15*$E20</f>
        <v>0</v>
      </c>
      <c r="DE20" s="407">
        <f t="shared" ca="1" si="21"/>
        <v>0</v>
      </c>
      <c r="DF20" s="407">
        <f t="shared" ca="1" si="21"/>
        <v>0</v>
      </c>
      <c r="DG20" s="407">
        <f t="shared" ca="1" si="21"/>
        <v>0</v>
      </c>
      <c r="DH20" s="407">
        <f t="shared" ca="1" si="21"/>
        <v>0</v>
      </c>
      <c r="DI20" s="407">
        <f t="shared" ca="1" si="21"/>
        <v>0</v>
      </c>
      <c r="DJ20" s="407">
        <f t="shared" ca="1" si="21"/>
        <v>0</v>
      </c>
      <c r="DK20" s="407">
        <f t="shared" ca="1" si="21"/>
        <v>0</v>
      </c>
      <c r="DL20" s="407">
        <f t="shared" ca="1" si="21"/>
        <v>0</v>
      </c>
      <c r="DM20" s="407">
        <f t="shared" ca="1" si="21"/>
        <v>0</v>
      </c>
      <c r="DN20" s="407">
        <f t="shared" ca="1" si="21"/>
        <v>0</v>
      </c>
      <c r="DO20" s="407">
        <f t="shared" ca="1" si="21"/>
        <v>0</v>
      </c>
      <c r="DP20" s="407">
        <f t="shared" ca="1" si="21"/>
        <v>0</v>
      </c>
      <c r="DQ20" s="407">
        <f t="shared" ca="1" si="21"/>
        <v>0</v>
      </c>
      <c r="DR20" s="407">
        <f t="shared" ca="1" si="21"/>
        <v>0</v>
      </c>
      <c r="DS20" s="407">
        <f t="shared" ca="1" si="21"/>
        <v>0</v>
      </c>
      <c r="DT20" s="407">
        <f t="shared" ca="1" si="21"/>
        <v>0</v>
      </c>
      <c r="DU20" s="407">
        <f t="shared" ca="1" si="21"/>
        <v>0</v>
      </c>
      <c r="DV20" s="407">
        <f t="shared" ca="1" si="21"/>
        <v>0</v>
      </c>
      <c r="DW20" s="407">
        <f t="shared" ca="1" si="21"/>
        <v>0</v>
      </c>
      <c r="DX20" s="407">
        <f t="shared" ca="1" si="21"/>
        <v>0</v>
      </c>
      <c r="DY20" s="407">
        <f t="shared" ca="1" si="21"/>
        <v>0</v>
      </c>
      <c r="DZ20" s="407">
        <f t="shared" ca="1" si="21"/>
        <v>0</v>
      </c>
      <c r="EA20" s="407">
        <f t="shared" ca="1" si="21"/>
        <v>0</v>
      </c>
      <c r="EB20" s="389"/>
      <c r="EC20" s="392" t="s">
        <v>65</v>
      </c>
    </row>
    <row r="21" spans="1:133" s="390" customFormat="1" outlineLevel="1">
      <c r="A21" s="389"/>
      <c r="C21" s="389"/>
      <c r="D21" s="403"/>
      <c r="E21" s="389"/>
      <c r="F21" s="389"/>
      <c r="G21" s="749"/>
      <c r="H21" s="389"/>
      <c r="I21" s="794"/>
      <c r="J21" s="389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  <c r="DE21" s="407"/>
      <c r="DF21" s="407"/>
      <c r="DG21" s="407"/>
      <c r="DH21" s="407"/>
      <c r="DI21" s="407"/>
      <c r="DJ21" s="407"/>
      <c r="DK21" s="407"/>
      <c r="DL21" s="407"/>
      <c r="DM21" s="407"/>
      <c r="DN21" s="407"/>
      <c r="DO21" s="407"/>
      <c r="DP21" s="407"/>
      <c r="DQ21" s="407"/>
      <c r="DR21" s="407"/>
      <c r="DS21" s="407"/>
      <c r="DT21" s="407"/>
      <c r="DU21" s="407"/>
      <c r="DV21" s="407"/>
      <c r="DW21" s="407"/>
      <c r="DX21" s="407"/>
      <c r="DY21" s="407"/>
      <c r="DZ21" s="407"/>
      <c r="EA21" s="407"/>
      <c r="EB21" s="389"/>
      <c r="EC21" s="392" t="s">
        <v>65</v>
      </c>
    </row>
    <row r="22" spans="1:133" s="390" customFormat="1" outlineLevel="1">
      <c r="A22" s="389"/>
      <c r="B22" s="389"/>
      <c r="C22" s="389"/>
      <c r="D22" s="766" t="s">
        <v>6</v>
      </c>
      <c r="E22" s="711" t="s">
        <v>475</v>
      </c>
      <c r="F22" s="389"/>
      <c r="G22" s="402"/>
      <c r="H22" s="389"/>
      <c r="I22" s="791"/>
      <c r="J22" s="389"/>
      <c r="K22" s="402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6"/>
      <c r="Z22" s="716"/>
      <c r="AA22" s="716"/>
      <c r="AB22" s="716"/>
      <c r="AC22" s="716"/>
      <c r="AD22" s="716"/>
      <c r="AE22" s="716"/>
      <c r="AF22" s="716"/>
      <c r="AG22" s="716"/>
      <c r="AH22" s="716"/>
      <c r="AI22" s="716"/>
      <c r="AJ22" s="716"/>
      <c r="AK22" s="716"/>
      <c r="AL22" s="716"/>
      <c r="AM22" s="716"/>
      <c r="AN22" s="716"/>
      <c r="AO22" s="716"/>
      <c r="AP22" s="716"/>
      <c r="AQ22" s="716"/>
      <c r="AR22" s="716"/>
      <c r="AS22" s="716"/>
      <c r="AT22" s="716"/>
      <c r="AU22" s="716"/>
      <c r="AV22" s="716"/>
      <c r="AW22" s="716"/>
      <c r="AX22" s="716"/>
      <c r="AY22" s="716"/>
      <c r="AZ22" s="716"/>
      <c r="BA22" s="716"/>
      <c r="BB22" s="716"/>
      <c r="BC22" s="716"/>
      <c r="BD22" s="716"/>
      <c r="BE22" s="716"/>
      <c r="BF22" s="716"/>
      <c r="BG22" s="716"/>
      <c r="BH22" s="716"/>
      <c r="BI22" s="716"/>
      <c r="BJ22" s="716"/>
      <c r="BK22" s="716"/>
      <c r="BL22" s="716"/>
      <c r="BM22" s="716"/>
      <c r="BN22" s="716"/>
      <c r="BO22" s="716"/>
      <c r="BP22" s="716"/>
      <c r="BQ22" s="716"/>
      <c r="BR22" s="716"/>
      <c r="BS22" s="716"/>
      <c r="BT22" s="716"/>
      <c r="BU22" s="716"/>
      <c r="BV22" s="716"/>
      <c r="BW22" s="716"/>
      <c r="BX22" s="716"/>
      <c r="BY22" s="716"/>
      <c r="BZ22" s="716"/>
      <c r="CA22" s="716"/>
      <c r="CB22" s="716"/>
      <c r="CC22" s="716"/>
      <c r="CD22" s="716"/>
      <c r="CE22" s="716"/>
      <c r="CF22" s="716"/>
      <c r="CG22" s="716"/>
      <c r="CH22" s="716"/>
      <c r="CI22" s="716"/>
      <c r="CJ22" s="716"/>
      <c r="CK22" s="716"/>
      <c r="CL22" s="716"/>
      <c r="CM22" s="716"/>
      <c r="CN22" s="716"/>
      <c r="CO22" s="716"/>
      <c r="CP22" s="716"/>
      <c r="CQ22" s="716"/>
      <c r="CR22" s="716"/>
      <c r="CS22" s="716"/>
      <c r="CT22" s="716"/>
      <c r="CU22" s="716"/>
      <c r="CV22" s="716"/>
      <c r="CW22" s="716"/>
      <c r="CX22" s="716"/>
      <c r="CY22" s="716"/>
      <c r="CZ22" s="716"/>
      <c r="DA22" s="716"/>
      <c r="DB22" s="716"/>
      <c r="DC22" s="716"/>
      <c r="DD22" s="716"/>
      <c r="DE22" s="716"/>
      <c r="DF22" s="716"/>
      <c r="DG22" s="716"/>
      <c r="DH22" s="716"/>
      <c r="DI22" s="716"/>
      <c r="DJ22" s="716"/>
      <c r="DK22" s="716"/>
      <c r="DL22" s="716"/>
      <c r="DM22" s="716"/>
      <c r="DN22" s="716"/>
      <c r="DO22" s="716"/>
      <c r="DP22" s="716"/>
      <c r="DQ22" s="716"/>
      <c r="DR22" s="716"/>
      <c r="DS22" s="716"/>
      <c r="DT22" s="716"/>
      <c r="DU22" s="716"/>
      <c r="DV22" s="716"/>
      <c r="DW22" s="716"/>
      <c r="DX22" s="716"/>
      <c r="DY22" s="716"/>
      <c r="DZ22" s="716"/>
      <c r="EA22" s="716"/>
      <c r="EB22" s="389"/>
      <c r="EC22" s="392" t="s">
        <v>65</v>
      </c>
    </row>
    <row r="23" spans="1:133" s="390" customFormat="1" outlineLevel="1">
      <c r="A23" s="389"/>
      <c r="B23" s="389"/>
      <c r="C23" s="389"/>
      <c r="D23" s="403" t="s">
        <v>503</v>
      </c>
      <c r="E23" s="406">
        <f>Assumptions!H55</f>
        <v>2.7909813450535834</v>
      </c>
      <c r="F23" s="701"/>
      <c r="G23" s="702"/>
      <c r="H23" s="701"/>
      <c r="I23" s="795">
        <f ca="1">SUM(K23:EA23)</f>
        <v>0</v>
      </c>
      <c r="J23" s="701"/>
      <c r="K23" s="703"/>
      <c r="L23" s="703">
        <f ca="1">IF(AND(L9&gt;=1,L$9&lt;=Assumptions!$M$57),(1+L17)*L13*$E$18*$E$23,0)</f>
        <v>0</v>
      </c>
      <c r="M23" s="703">
        <f ca="1">IF(AND(M9&gt;=1,M$9&lt;=Assumptions!$M$57),(1+M17)*M13*$E$18*$E$23,0)</f>
        <v>0</v>
      </c>
      <c r="N23" s="703">
        <f ca="1">IF(AND(N9&gt;=1,N$9&lt;=Assumptions!$M$57),(1+N17)*N13*$E$18*$E$23,0)</f>
        <v>0</v>
      </c>
      <c r="O23" s="703">
        <f ca="1">IF(AND(O9&gt;=1,O$9&lt;=Assumptions!$M$57),(1+O17)*O13*$E$18*$E$23,0)</f>
        <v>0</v>
      </c>
      <c r="P23" s="703">
        <f ca="1">IF(AND(P9&gt;=1,P$9&lt;=Assumptions!$M$57),(1+P17)*P13*$E$18*$E$23,0)</f>
        <v>0</v>
      </c>
      <c r="Q23" s="703">
        <f ca="1">IF(AND(Q9&gt;=1,Q$9&lt;=Assumptions!$M$57),(1+Q17)*Q13*$E$18*$E$23,0)</f>
        <v>0</v>
      </c>
      <c r="R23" s="703">
        <f ca="1">IF(AND(R9&gt;=1,R$9&lt;=Assumptions!$M$57),(1+R17)*R13*$E$18*$E$23,0)</f>
        <v>0</v>
      </c>
      <c r="S23" s="703">
        <f ca="1">IF(AND(S9&gt;=1,S$9&lt;=Assumptions!$M$57),(1+S17)*S13*$E$18*$E$23,0)</f>
        <v>0</v>
      </c>
      <c r="T23" s="703">
        <f ca="1">IF(AND(T9&gt;=1,T$9&lt;=Assumptions!$M$57),(1+T17)*T13*$E$18*$E$23,0)</f>
        <v>0</v>
      </c>
      <c r="U23" s="703">
        <f ca="1">IF(AND(U9&gt;=1,U$9&lt;=Assumptions!$M$57),(1+U17)*U13*$E$18*$E$23,0)</f>
        <v>0</v>
      </c>
      <c r="V23" s="703">
        <f ca="1">IF(AND(V9&gt;=1,V$9&lt;=Assumptions!$M$57),(1+V17)*V13*$E$18*$E$23,0)</f>
        <v>0</v>
      </c>
      <c r="W23" s="703">
        <f ca="1">IF(AND(W9&gt;=1,W$9&lt;=Assumptions!$M$57),(1+W17)*W13*$E$18*$E$23,0)</f>
        <v>0</v>
      </c>
      <c r="X23" s="703">
        <f ca="1">IF(AND(X9&gt;=1,X$9&lt;=Assumptions!$M$57),(1+X17)*X13*$E$18*$E$23,0)</f>
        <v>0</v>
      </c>
      <c r="Y23" s="703">
        <f ca="1">IF(AND(Y9&gt;=1,Y$9&lt;=Assumptions!$M$57),(1+Y17)*Y13*$E$18*$E$23,0)</f>
        <v>0</v>
      </c>
      <c r="Z23" s="703">
        <f ca="1">IF(AND(Z9&gt;=1,Z$9&lt;=Assumptions!$M$57),(1+Z17)*Z13*$E$18*$E$23,0)</f>
        <v>0</v>
      </c>
      <c r="AA23" s="703">
        <f ca="1">IF(AND(AA9&gt;=1,AA$9&lt;=Assumptions!$M$57),(1+AA17)*AA13*$E$18*$E$23,0)</f>
        <v>0</v>
      </c>
      <c r="AB23" s="703">
        <f ca="1">IF(AND(AB9&gt;=1,AB$9&lt;=Assumptions!$M$57),(1+AB17)*AB13*$E$18*$E$23,0)</f>
        <v>0</v>
      </c>
      <c r="AC23" s="703">
        <f ca="1">IF(AND(AC9&gt;=1,AC$9&lt;=Assumptions!$M$57),(1+AC17)*AC13*$E$18*$E$23,0)</f>
        <v>0</v>
      </c>
      <c r="AD23" s="703">
        <f ca="1">IF(AND(AD9&gt;=1,AD$9&lt;=Assumptions!$M$57),(1+AD17)*AD13*$E$18*$E$23,0)</f>
        <v>0</v>
      </c>
      <c r="AE23" s="703">
        <f ca="1">IF(AND(AE9&gt;=1,AE$9&lt;=Assumptions!$M$57),(1+AE17)*AE13*$E$18*$E$23,0)</f>
        <v>0</v>
      </c>
      <c r="AF23" s="703">
        <f ca="1">IF(AND(AF9&gt;=1,AF$9&lt;=Assumptions!$M$57),(1+AF17)*AF13*$E$18*$E$23,0)</f>
        <v>0</v>
      </c>
      <c r="AG23" s="703">
        <f ca="1">IF(AND(AG9&gt;=1,AG$9&lt;=Assumptions!$M$57),(1+AG17)*AG13*$E$18*$E$23,0)</f>
        <v>0</v>
      </c>
      <c r="AH23" s="703">
        <f ca="1">IF(AND(AH9&gt;=1,AH$9&lt;=Assumptions!$M$57),(1+AH17)*AH13*$E$18*$E$23,0)</f>
        <v>0</v>
      </c>
      <c r="AI23" s="703">
        <f ca="1">IF(AND(AI9&gt;=1,AI$9&lt;=Assumptions!$M$57),(1+AI17)*AI13*$E$18*$E$23,0)</f>
        <v>0</v>
      </c>
      <c r="AJ23" s="703">
        <f ca="1">IF(AND(AJ9&gt;=1,AJ$9&lt;=Assumptions!$M$57),(1+AJ17)*AJ13*$E$18*$E$23,0)</f>
        <v>0</v>
      </c>
      <c r="AK23" s="703">
        <f ca="1">IF(AND(AK9&gt;=1,AK$9&lt;=Assumptions!$M$57),(1+AK17)*AK13*$E$18*$E$23,0)</f>
        <v>0</v>
      </c>
      <c r="AL23" s="703">
        <f ca="1">IF(AND(AL9&gt;=1,AL$9&lt;=Assumptions!$M$57),(1+AL17)*AL13*$E$18*$E$23,0)</f>
        <v>0</v>
      </c>
      <c r="AM23" s="703">
        <f ca="1">IF(AND(AM9&gt;=1,AM$9&lt;=Assumptions!$M$57),(1+AM17)*AM13*$E$18*$E$23,0)</f>
        <v>0</v>
      </c>
      <c r="AN23" s="703">
        <f ca="1">IF(AND(AN9&gt;=1,AN$9&lt;=Assumptions!$M$57),(1+AN17)*AN13*$E$18*$E$23,0)</f>
        <v>0</v>
      </c>
      <c r="AO23" s="703">
        <f ca="1">IF(AND(AO9&gt;=1,AO$9&lt;=Assumptions!$M$57),(1+AO17)*AO13*$E$18*$E$23,0)</f>
        <v>0</v>
      </c>
      <c r="AP23" s="703">
        <f ca="1">IF(AND(AP9&gt;=1,AP$9&lt;=Assumptions!$M$57),(1+AP17)*AP13*$E$18*$E$23,0)</f>
        <v>0</v>
      </c>
      <c r="AQ23" s="703">
        <f ca="1">IF(AND(AQ9&gt;=1,AQ$9&lt;=Assumptions!$M$57),(1+AQ17)*AQ13*$E$18*$E$23,0)</f>
        <v>0</v>
      </c>
      <c r="AR23" s="703">
        <f ca="1">IF(AND(AR9&gt;=1,AR$9&lt;=Assumptions!$M$57),(1+AR17)*AR13*$E$18*$E$23,0)</f>
        <v>0</v>
      </c>
      <c r="AS23" s="703">
        <f ca="1">IF(AND(AS9&gt;=1,AS$9&lt;=Assumptions!$M$57),(1+AS17)*AS13*$E$18*$E$23,0)</f>
        <v>0</v>
      </c>
      <c r="AT23" s="703">
        <f ca="1">IF(AND(AT9&gt;=1,AT$9&lt;=Assumptions!$M$57),(1+AT17)*AT13*$E$18*$E$23,0)</f>
        <v>0</v>
      </c>
      <c r="AU23" s="703">
        <f ca="1">IF(AND(AU9&gt;=1,AU$9&lt;=Assumptions!$M$57),(1+AU17)*AU13*$E$18*$E$23,0)</f>
        <v>0</v>
      </c>
      <c r="AV23" s="703">
        <f ca="1">IF(AND(AV9&gt;=1,AV$9&lt;=Assumptions!$M$57),(1+AV17)*AV13*$E$18*$E$23,0)</f>
        <v>0</v>
      </c>
      <c r="AW23" s="703">
        <f ca="1">IF(AND(AW9&gt;=1,AW$9&lt;=Assumptions!$M$57),(1+AW17)*AW13*$E$18*$E$23,0)</f>
        <v>0</v>
      </c>
      <c r="AX23" s="703">
        <f ca="1">IF(AND(AX9&gt;=1,AX$9&lt;=Assumptions!$M$57),(1+AX17)*AX13*$E$18*$E$23,0)</f>
        <v>0</v>
      </c>
      <c r="AY23" s="703">
        <f ca="1">IF(AND(AY9&gt;=1,AY$9&lt;=Assumptions!$M$57),(1+AY17)*AY13*$E$18*$E$23,0)</f>
        <v>0</v>
      </c>
      <c r="AZ23" s="703">
        <f ca="1">IF(AND(AZ9&gt;=1,AZ$9&lt;=Assumptions!$M$57),(1+AZ17)*AZ13*$E$18*$E$23,0)</f>
        <v>0</v>
      </c>
      <c r="BA23" s="703">
        <f ca="1">IF(AND(BA9&gt;=1,BA$9&lt;=Assumptions!$M$57),(1+BA17)*BA13*$E$18*$E$23,0)</f>
        <v>0</v>
      </c>
      <c r="BB23" s="703">
        <f ca="1">IF(AND(BB9&gt;=1,BB$9&lt;=Assumptions!$M$57),(1+BB17)*BB13*$E$18*$E$23,0)</f>
        <v>0</v>
      </c>
      <c r="BC23" s="703">
        <f ca="1">IF(AND(BC9&gt;=1,BC$9&lt;=Assumptions!$M$57),(1+BC17)*BC13*$E$18*$E$23,0)</f>
        <v>0</v>
      </c>
      <c r="BD23" s="703">
        <f ca="1">IF(AND(BD9&gt;=1,BD$9&lt;=Assumptions!$M$57),(1+BD17)*BD13*$E$18*$E$23,0)</f>
        <v>0</v>
      </c>
      <c r="BE23" s="703">
        <f ca="1">IF(AND(BE9&gt;=1,BE$9&lt;=Assumptions!$M$57),(1+BE17)*BE13*$E$18*$E$23,0)</f>
        <v>0</v>
      </c>
      <c r="BF23" s="703">
        <f ca="1">IF(AND(BF9&gt;=1,BF$9&lt;=Assumptions!$M$57),(1+BF17)*BF13*$E$18*$E$23,0)</f>
        <v>0</v>
      </c>
      <c r="BG23" s="703">
        <f ca="1">IF(AND(BG9&gt;=1,BG$9&lt;=Assumptions!$M$57),(1+BG17)*BG13*$E$18*$E$23,0)</f>
        <v>0</v>
      </c>
      <c r="BH23" s="703">
        <f ca="1">IF(AND(BH9&gt;=1,BH$9&lt;=Assumptions!$M$57),(1+BH17)*BH13*$E$18*$E$23,0)</f>
        <v>0</v>
      </c>
      <c r="BI23" s="703">
        <f ca="1">IF(AND(BI9&gt;=1,BI$9&lt;=Assumptions!$M$57),(1+BI17)*BI13*$E$18*$E$23,0)</f>
        <v>0</v>
      </c>
      <c r="BJ23" s="703">
        <f ca="1">IF(AND(BJ9&gt;=1,BJ$9&lt;=Assumptions!$M$57),(1+BJ17)*BJ13*$E$18*$E$23,0)</f>
        <v>0</v>
      </c>
      <c r="BK23" s="703">
        <f ca="1">IF(AND(BK9&gt;=1,BK$9&lt;=Assumptions!$M$57),(1+BK17)*BK13*$E$18*$E$23,0)</f>
        <v>0</v>
      </c>
      <c r="BL23" s="703">
        <f ca="1">IF(AND(BL9&gt;=1,BL$9&lt;=Assumptions!$M$57),(1+BL17)*BL13*$E$18*$E$23,0)</f>
        <v>0</v>
      </c>
      <c r="BM23" s="703">
        <f ca="1">IF(AND(BM9&gt;=1,BM$9&lt;=Assumptions!$M$57),(1+BM17)*BM13*$E$18*$E$23,0)</f>
        <v>0</v>
      </c>
      <c r="BN23" s="703">
        <f ca="1">IF(AND(BN9&gt;=1,BN$9&lt;=Assumptions!$M$57),(1+BN17)*BN13*$E$18*$E$23,0)</f>
        <v>0</v>
      </c>
      <c r="BO23" s="703">
        <f ca="1">IF(AND(BO9&gt;=1,BO$9&lt;=Assumptions!$M$57),(1+BO17)*BO13*$E$18*$E$23,0)</f>
        <v>0</v>
      </c>
      <c r="BP23" s="703">
        <f ca="1">IF(AND(BP9&gt;=1,BP$9&lt;=Assumptions!$M$57),(1+BP17)*BP13*$E$18*$E$23,0)</f>
        <v>0</v>
      </c>
      <c r="BQ23" s="703">
        <f ca="1">IF(AND(BQ9&gt;=1,BQ$9&lt;=Assumptions!$M$57),(1+BQ17)*BQ13*$E$18*$E$23,0)</f>
        <v>0</v>
      </c>
      <c r="BR23" s="703">
        <f ca="1">IF(AND(BR9&gt;=1,BR$9&lt;=Assumptions!$M$57),(1+BR17)*BR13*$E$18*$E$23,0)</f>
        <v>0</v>
      </c>
      <c r="BS23" s="703">
        <f ca="1">IF(AND(BS9&gt;=1,BS$9&lt;=Assumptions!$M$57),(1+BS17)*BS13*$E$18*$E$23,0)</f>
        <v>0</v>
      </c>
      <c r="BT23" s="703">
        <f ca="1">IF(AND(BT9&gt;=1,BT$9&lt;=Assumptions!$M$57),(1+BT17)*BT13*$E$18*$E$23,0)</f>
        <v>0</v>
      </c>
      <c r="BU23" s="703">
        <f ca="1">IF(AND(BU9&gt;=1,BU$9&lt;=Assumptions!$M$57),(1+BU17)*BU13*$E$18*$E$23,0)</f>
        <v>0</v>
      </c>
      <c r="BV23" s="703">
        <f ca="1">IF(AND(BV9&gt;=1,BV$9&lt;=Assumptions!$M$57),(1+BV17)*BV13*$E$18*$E$23,0)</f>
        <v>0</v>
      </c>
      <c r="BW23" s="703">
        <f ca="1">IF(AND(BW9&gt;=1,BW$9&lt;=Assumptions!$M$57),(1+BW17)*BW13*$E$18*$E$23,0)</f>
        <v>0</v>
      </c>
      <c r="BX23" s="703">
        <f ca="1">IF(AND(BX9&gt;=1,BX$9&lt;=Assumptions!$M$57),(1+BX17)*BX13*$E$18*$E$23,0)</f>
        <v>0</v>
      </c>
      <c r="BY23" s="703">
        <f ca="1">IF(AND(BY9&gt;=1,BY$9&lt;=Assumptions!$M$57),(1+BY17)*BY13*$E$18*$E$23,0)</f>
        <v>0</v>
      </c>
      <c r="BZ23" s="703">
        <f ca="1">IF(AND(BZ9&gt;=1,BZ$9&lt;=Assumptions!$M$57),(1+BZ17)*BZ13*$E$18*$E$23,0)</f>
        <v>0</v>
      </c>
      <c r="CA23" s="703">
        <f ca="1">IF(AND(CA9&gt;=1,CA$9&lt;=Assumptions!$M$57),(1+CA17)*CA13*$E$18*$E$23,0)</f>
        <v>0</v>
      </c>
      <c r="CB23" s="703">
        <f ca="1">IF(AND(CB9&gt;=1,CB$9&lt;=Assumptions!$M$57),(1+CB17)*CB13*$E$18*$E$23,0)</f>
        <v>0</v>
      </c>
      <c r="CC23" s="703">
        <f ca="1">IF(AND(CC9&gt;=1,CC$9&lt;=Assumptions!$M$57),(1+CC17)*CC13*$E$18*$E$23,0)</f>
        <v>0</v>
      </c>
      <c r="CD23" s="703">
        <f ca="1">IF(AND(CD9&gt;=1,CD$9&lt;=Assumptions!$M$57),(1+CD17)*CD13*$E$18*$E$23,0)</f>
        <v>0</v>
      </c>
      <c r="CE23" s="703">
        <f ca="1">IF(AND(CE9&gt;=1,CE$9&lt;=Assumptions!$M$57),(1+CE17)*CE13*$E$18*$E$23,0)</f>
        <v>0</v>
      </c>
      <c r="CF23" s="703">
        <f ca="1">IF(AND(CF9&gt;=1,CF$9&lt;=Assumptions!$M$57),(1+CF17)*CF13*$E$18*$E$23,0)</f>
        <v>0</v>
      </c>
      <c r="CG23" s="703">
        <f ca="1">IF(AND(CG9&gt;=1,CG$9&lt;=Assumptions!$M$57),(1+CG17)*CG13*$E$18*$E$23,0)</f>
        <v>0</v>
      </c>
      <c r="CH23" s="703">
        <f ca="1">IF(AND(CH9&gt;=1,CH$9&lt;=Assumptions!$M$57),(1+CH17)*CH13*$E$18*$E$23,0)</f>
        <v>0</v>
      </c>
      <c r="CI23" s="703">
        <f ca="1">IF(AND(CI9&gt;=1,CI$9&lt;=Assumptions!$M$57),(1+CI17)*CI13*$E$18*$E$23,0)</f>
        <v>0</v>
      </c>
      <c r="CJ23" s="703">
        <f ca="1">IF(AND(CJ9&gt;=1,CJ$9&lt;=Assumptions!$M$57),(1+CJ17)*CJ13*$E$18*$E$23,0)</f>
        <v>0</v>
      </c>
      <c r="CK23" s="703">
        <f ca="1">IF(AND(CK9&gt;=1,CK$9&lt;=Assumptions!$M$57),(1+CK17)*CK13*$E$18*$E$23,0)</f>
        <v>0</v>
      </c>
      <c r="CL23" s="703">
        <f ca="1">IF(AND(CL9&gt;=1,CL$9&lt;=Assumptions!$M$57),(1+CL17)*CL13*$E$18*$E$23,0)</f>
        <v>0</v>
      </c>
      <c r="CM23" s="703">
        <f ca="1">IF(AND(CM9&gt;=1,CM$9&lt;=Assumptions!$M$57),(1+CM17)*CM13*$E$18*$E$23,0)</f>
        <v>0</v>
      </c>
      <c r="CN23" s="703">
        <f ca="1">IF(AND(CN9&gt;=1,CN$9&lt;=Assumptions!$M$57),(1+CN17)*CN13*$E$18*$E$23,0)</f>
        <v>0</v>
      </c>
      <c r="CO23" s="703">
        <f ca="1">IF(AND(CO9&gt;=1,CO$9&lt;=Assumptions!$M$57),(1+CO17)*CO13*$E$18*$E$23,0)</f>
        <v>0</v>
      </c>
      <c r="CP23" s="703">
        <f ca="1">IF(AND(CP9&gt;=1,CP$9&lt;=Assumptions!$M$57),(1+CP17)*CP13*$E$18*$E$23,0)</f>
        <v>0</v>
      </c>
      <c r="CQ23" s="703">
        <f ca="1">IF(AND(CQ9&gt;=1,CQ$9&lt;=Assumptions!$M$57),(1+CQ17)*CQ13*$E$18*$E$23,0)</f>
        <v>0</v>
      </c>
      <c r="CR23" s="703">
        <f ca="1">IF(AND(CR9&gt;=1,CR$9&lt;=Assumptions!$M$57),(1+CR17)*CR13*$E$18*$E$23,0)</f>
        <v>0</v>
      </c>
      <c r="CS23" s="703">
        <f ca="1">IF(AND(CS9&gt;=1,CS$9&lt;=Assumptions!$M$57),(1+CS17)*CS13*$E$18*$E$23,0)</f>
        <v>0</v>
      </c>
      <c r="CT23" s="703">
        <f ca="1">IF(AND(CT9&gt;=1,CT$9&lt;=Assumptions!$M$57),(1+CT17)*CT13*$E$18*$E$23,0)</f>
        <v>0</v>
      </c>
      <c r="CU23" s="703">
        <f ca="1">IF(AND(CU9&gt;=1,CU$9&lt;=Assumptions!$M$57),(1+CU17)*CU13*$E$18*$E$23,0)</f>
        <v>0</v>
      </c>
      <c r="CV23" s="703">
        <f ca="1">IF(AND(CV9&gt;=1,CV$9&lt;=Assumptions!$M$57),(1+CV17)*CV13*$E$18*$E$23,0)</f>
        <v>0</v>
      </c>
      <c r="CW23" s="703">
        <f ca="1">IF(AND(CW9&gt;=1,CW$9&lt;=Assumptions!$M$57),(1+CW17)*CW13*$E$18*$E$23,0)</f>
        <v>0</v>
      </c>
      <c r="CX23" s="703">
        <f ca="1">IF(AND(CX9&gt;=1,CX$9&lt;=Assumptions!$M$57),(1+CX17)*CX13*$E$18*$E$23,0)</f>
        <v>0</v>
      </c>
      <c r="CY23" s="703">
        <f ca="1">IF(AND(CY9&gt;=1,CY$9&lt;=Assumptions!$M$57),(1+CY17)*CY13*$E$18*$E$23,0)</f>
        <v>0</v>
      </c>
      <c r="CZ23" s="703">
        <f ca="1">IF(AND(CZ9&gt;=1,CZ$9&lt;=Assumptions!$M$57),(1+CZ17)*CZ13*$E$18*$E$23,0)</f>
        <v>0</v>
      </c>
      <c r="DA23" s="703">
        <f ca="1">IF(AND(DA9&gt;=1,DA$9&lt;=Assumptions!$M$57),(1+DA17)*DA13*$E$18*$E$23,0)</f>
        <v>0</v>
      </c>
      <c r="DB23" s="703">
        <f ca="1">IF(AND(DB9&gt;=1,DB$9&lt;=Assumptions!$M$57),(1+DB17)*DB13*$E$18*$E$23,0)</f>
        <v>0</v>
      </c>
      <c r="DC23" s="703">
        <f ca="1">IF(AND(DC9&gt;=1,DC$9&lt;=Assumptions!$M$57),(1+DC17)*DC13*$E$18*$E$23,0)</f>
        <v>0</v>
      </c>
      <c r="DD23" s="703">
        <f ca="1">IF(AND(DD9&gt;=1,DD$9&lt;=Assumptions!$M$57),(1+DD17)*DD13*$E$18*$E$23,0)</f>
        <v>0</v>
      </c>
      <c r="DE23" s="703">
        <f ca="1">IF(AND(DE9&gt;=1,DE$9&lt;=Assumptions!$M$57),(1+DE17)*DE13*$E$18*$E$23,0)</f>
        <v>0</v>
      </c>
      <c r="DF23" s="703">
        <f ca="1">IF(AND(DF9&gt;=1,DF$9&lt;=Assumptions!$M$57),(1+DF17)*DF13*$E$18*$E$23,0)</f>
        <v>0</v>
      </c>
      <c r="DG23" s="703">
        <f ca="1">IF(AND(DG9&gt;=1,DG$9&lt;=Assumptions!$M$57),(1+DG17)*DG13*$E$18*$E$23,0)</f>
        <v>0</v>
      </c>
      <c r="DH23" s="703">
        <f ca="1">IF(AND(DH9&gt;=1,DH$9&lt;=Assumptions!$M$57),(1+DH17)*DH13*$E$18*$E$23,0)</f>
        <v>0</v>
      </c>
      <c r="DI23" s="703">
        <f ca="1">IF(AND(DI9&gt;=1,DI$9&lt;=Assumptions!$M$57),(1+DI17)*DI13*$E$18*$E$23,0)</f>
        <v>0</v>
      </c>
      <c r="DJ23" s="703">
        <f ca="1">IF(AND(DJ9&gt;=1,DJ$9&lt;=Assumptions!$M$57),(1+DJ17)*DJ13*$E$18*$E$23,0)</f>
        <v>0</v>
      </c>
      <c r="DK23" s="703">
        <f ca="1">IF(AND(DK9&gt;=1,DK$9&lt;=Assumptions!$M$57),(1+DK17)*DK13*$E$18*$E$23,0)</f>
        <v>0</v>
      </c>
      <c r="DL23" s="703">
        <f ca="1">IF(AND(DL9&gt;=1,DL$9&lt;=Assumptions!$M$57),(1+DL17)*DL13*$E$18*$E$23,0)</f>
        <v>0</v>
      </c>
      <c r="DM23" s="703">
        <f ca="1">IF(AND(DM9&gt;=1,DM$9&lt;=Assumptions!$M$57),(1+DM17)*DM13*$E$18*$E$23,0)</f>
        <v>0</v>
      </c>
      <c r="DN23" s="703">
        <f ca="1">IF(AND(DN9&gt;=1,DN$9&lt;=Assumptions!$M$57),(1+DN17)*DN13*$E$18*$E$23,0)</f>
        <v>0</v>
      </c>
      <c r="DO23" s="703">
        <f ca="1">IF(AND(DO9&gt;=1,DO$9&lt;=Assumptions!$M$57),(1+DO17)*DO13*$E$18*$E$23,0)</f>
        <v>0</v>
      </c>
      <c r="DP23" s="703">
        <f ca="1">IF(AND(DP9&gt;=1,DP$9&lt;=Assumptions!$M$57),(1+DP17)*DP13*$E$18*$E$23,0)</f>
        <v>0</v>
      </c>
      <c r="DQ23" s="703">
        <f ca="1">IF(AND(DQ9&gt;=1,DQ$9&lt;=Assumptions!$M$57),(1+DQ17)*DQ13*$E$18*$E$23,0)</f>
        <v>0</v>
      </c>
      <c r="DR23" s="703">
        <f ca="1">IF(AND(DR9&gt;=1,DR$9&lt;=Assumptions!$M$57),(1+DR17)*DR13*$E$18*$E$23,0)</f>
        <v>0</v>
      </c>
      <c r="DS23" s="703">
        <f ca="1">IF(AND(DS9&gt;=1,DS$9&lt;=Assumptions!$M$57),(1+DS17)*DS13*$E$18*$E$23,0)</f>
        <v>0</v>
      </c>
      <c r="DT23" s="703">
        <f ca="1">IF(AND(DT9&gt;=1,DT$9&lt;=Assumptions!$M$57),(1+DT17)*DT13*$E$18*$E$23,0)</f>
        <v>0</v>
      </c>
      <c r="DU23" s="703">
        <f ca="1">IF(AND(DU9&gt;=1,DU$9&lt;=Assumptions!$M$57),(1+DU17)*DU13*$E$18*$E$23,0)</f>
        <v>0</v>
      </c>
      <c r="DV23" s="703">
        <f ca="1">IF(AND(DV9&gt;=1,DV$9&lt;=Assumptions!$M$57),(1+DV17)*DV13*$E$18*$E$23,0)</f>
        <v>0</v>
      </c>
      <c r="DW23" s="703">
        <f ca="1">IF(AND(DW9&gt;=1,DW$9&lt;=Assumptions!$M$57),(1+DW17)*DW13*$E$18*$E$23,0)</f>
        <v>0</v>
      </c>
      <c r="DX23" s="703">
        <f ca="1">IF(AND(DX9&gt;=1,DX$9&lt;=Assumptions!$M$57),(1+DX17)*DX13*$E$18*$E$23,0)</f>
        <v>0</v>
      </c>
      <c r="DY23" s="703">
        <f ca="1">IF(AND(DY9&gt;=1,DY$9&lt;=Assumptions!$M$57),(1+DY17)*DY13*$E$18*$E$23,0)</f>
        <v>0</v>
      </c>
      <c r="DZ23" s="703">
        <f ca="1">IF(AND(DZ9&gt;=1,DZ$9&lt;=Assumptions!$M$57),(1+DZ17)*DZ13*$E$18*$E$23,0)</f>
        <v>0</v>
      </c>
      <c r="EA23" s="703">
        <f ca="1">IF(AND(EA9&gt;=1,EA$9&lt;=Assumptions!$M$57),(1+EA17)*EA13*$E$18*$E$23,0)</f>
        <v>0</v>
      </c>
      <c r="EB23" s="389"/>
      <c r="EC23" s="392" t="s">
        <v>65</v>
      </c>
    </row>
    <row r="24" spans="1:133" s="390" customFormat="1" outlineLevel="1">
      <c r="A24" s="389"/>
      <c r="B24" s="389"/>
      <c r="C24" s="389"/>
      <c r="D24" s="403" t="s">
        <v>504</v>
      </c>
      <c r="E24" s="406">
        <f>Assumptions!H55</f>
        <v>2.7909813450535834</v>
      </c>
      <c r="F24" s="701"/>
      <c r="G24" s="702"/>
      <c r="H24" s="701"/>
      <c r="I24" s="795">
        <f>SUM(K24:EA24)</f>
        <v>0</v>
      </c>
      <c r="J24" s="701"/>
      <c r="K24" s="703"/>
      <c r="L24" s="703"/>
      <c r="M24" s="703">
        <f>IF(AND(M10&gt;=1,M$9&lt;=Assumptions!$M$57),(1+M17)*M14*$E$19*$E$24,0)</f>
        <v>0</v>
      </c>
      <c r="N24" s="703">
        <f>IF(AND(N10&gt;=1,N$9&lt;=Assumptions!$M$57),(1+N17)*N14*$E$19*$E$24,0)</f>
        <v>0</v>
      </c>
      <c r="O24" s="703">
        <f>IF(AND(O10&gt;=1,O$9&lt;=Assumptions!$M$57),(1+O17)*O14*$E$19*$E$24,0)</f>
        <v>0</v>
      </c>
      <c r="P24" s="703">
        <f>IF(AND(P10&gt;=1,P$9&lt;=Assumptions!$M$57),(1+P17)*P14*$E$19*$E$24,0)</f>
        <v>0</v>
      </c>
      <c r="Q24" s="703">
        <f>IF(AND(Q10&gt;=1,Q$9&lt;=Assumptions!$M$57),(1+Q17)*Q14*$E$19*$E$24,0)</f>
        <v>0</v>
      </c>
      <c r="R24" s="703">
        <f>IF(AND(R10&gt;=1,R$9&lt;=Assumptions!$M$57),(1+R17)*R14*$E$19*$E$24,0)</f>
        <v>0</v>
      </c>
      <c r="S24" s="703">
        <f>IF(AND(S10&gt;=1,S$9&lt;=Assumptions!$M$57),(1+S17)*S14*$E$19*$E$24,0)</f>
        <v>0</v>
      </c>
      <c r="T24" s="703">
        <f>IF(AND(T10&gt;=1,T$9&lt;=Assumptions!$M$57),(1+T17)*T14*$E$19*$E$24,0)</f>
        <v>0</v>
      </c>
      <c r="U24" s="703">
        <f>IF(AND(U10&gt;=1,U$9&lt;=Assumptions!$M$57),(1+U17)*U14*$E$19*$E$24,0)</f>
        <v>0</v>
      </c>
      <c r="V24" s="703">
        <f>IF(AND(V10&gt;=1,V$9&lt;=Assumptions!$M$57),(1+V17)*V14*$E$19*$E$24,0)</f>
        <v>0</v>
      </c>
      <c r="W24" s="703">
        <f>IF(AND(W10&gt;=1,W$9&lt;=Assumptions!$M$57),(1+W17)*W14*$E$19*$E$24,0)</f>
        <v>0</v>
      </c>
      <c r="X24" s="703">
        <f>IF(AND(X10&gt;=1,X$9&lt;=Assumptions!$M$57),(1+X17)*X14*$E$19*$E$24,0)</f>
        <v>0</v>
      </c>
      <c r="Y24" s="703">
        <f>IF(AND(Y10&gt;=1,Y$9&lt;=Assumptions!$M$57),(1+Y17)*Y14*$E$19*$E$24,0)</f>
        <v>0</v>
      </c>
      <c r="Z24" s="703">
        <f>IF(AND(Z10&gt;=1,Z$9&lt;=Assumptions!$M$57),(1+Z17)*Z14*$E$19*$E$24,0)</f>
        <v>0</v>
      </c>
      <c r="AA24" s="703">
        <f>IF(AND(AA10&gt;=1,AA$9&lt;=Assumptions!$M$57),(1+AA17)*AA14*$E$19*$E$24,0)</f>
        <v>0</v>
      </c>
      <c r="AB24" s="703">
        <f>IF(AND(AB10&gt;=1,AB$9&lt;=Assumptions!$M$57),(1+AB17)*AB14*$E$19*$E$24,0)</f>
        <v>0</v>
      </c>
      <c r="AC24" s="703">
        <f>IF(AND(AC10&gt;=1,AC$9&lt;=Assumptions!$M$57),(1+AC17)*AC14*$E$19*$E$24,0)</f>
        <v>0</v>
      </c>
      <c r="AD24" s="703">
        <f>IF(AND(AD10&gt;=1,AD$9&lt;=Assumptions!$M$57),(1+AD17)*AD14*$E$19*$E$24,0)</f>
        <v>0</v>
      </c>
      <c r="AE24" s="703">
        <f>IF(AND(AE10&gt;=1,AE$9&lt;=Assumptions!$M$57),(1+AE17)*AE14*$E$19*$E$24,0)</f>
        <v>0</v>
      </c>
      <c r="AF24" s="703">
        <f>IF(AND(AF10&gt;=1,AF$9&lt;=Assumptions!$M$57),(1+AF17)*AF14*$E$19*$E$24,0)</f>
        <v>0</v>
      </c>
      <c r="AG24" s="703">
        <f>IF(AND(AG10&gt;=1,AG$9&lt;=Assumptions!$M$57),(1+AG17)*AG14*$E$19*$E$24,0)</f>
        <v>0</v>
      </c>
      <c r="AH24" s="703">
        <f>IF(AND(AH10&gt;=1,AH$9&lt;=Assumptions!$M$57),(1+AH17)*AH14*$E$19*$E$24,0)</f>
        <v>0</v>
      </c>
      <c r="AI24" s="703">
        <f>IF(AND(AI10&gt;=1,AI$9&lt;=Assumptions!$M$57),(1+AI17)*AI14*$E$19*$E$24,0)</f>
        <v>0</v>
      </c>
      <c r="AJ24" s="703">
        <f>IF(AND(AJ10&gt;=1,AJ$9&lt;=Assumptions!$M$57),(1+AJ17)*AJ14*$E$19*$E$24,0)</f>
        <v>0</v>
      </c>
      <c r="AK24" s="703">
        <f>IF(AND(AK10&gt;=1,AK$9&lt;=Assumptions!$M$57),(1+AK17)*AK14*$E$19*$E$24,0)</f>
        <v>0</v>
      </c>
      <c r="AL24" s="703">
        <f>IF(AND(AL10&gt;=1,AL$9&lt;=Assumptions!$M$57),(1+AL17)*AL14*$E$19*$E$24,0)</f>
        <v>0</v>
      </c>
      <c r="AM24" s="703">
        <f>IF(AND(AM10&gt;=1,AM$9&lt;=Assumptions!$M$57),(1+AM17)*AM14*$E$19*$E$24,0)</f>
        <v>0</v>
      </c>
      <c r="AN24" s="703">
        <f>IF(AND(AN10&gt;=1,AN$9&lt;=Assumptions!$M$57),(1+AN17)*AN14*$E$19*$E$24,0)</f>
        <v>0</v>
      </c>
      <c r="AO24" s="703">
        <f>IF(AND(AO10&gt;=1,AO$9&lt;=Assumptions!$M$57),(1+AO17)*AO14*$E$19*$E$24,0)</f>
        <v>0</v>
      </c>
      <c r="AP24" s="703">
        <f>IF(AND(AP10&gt;=1,AP$9&lt;=Assumptions!$M$57),(1+AP17)*AP14*$E$19*$E$24,0)</f>
        <v>0</v>
      </c>
      <c r="AQ24" s="703">
        <f>IF(AND(AQ10&gt;=1,AQ$9&lt;=Assumptions!$M$57),(1+AQ17)*AQ14*$E$19*$E$24,0)</f>
        <v>0</v>
      </c>
      <c r="AR24" s="703">
        <f>IF(AND(AR10&gt;=1,AR$9&lt;=Assumptions!$M$57),(1+AR17)*AR14*$E$19*$E$24,0)</f>
        <v>0</v>
      </c>
      <c r="AS24" s="703">
        <f>IF(AND(AS10&gt;=1,AS$9&lt;=Assumptions!$M$57),(1+AS17)*AS14*$E$19*$E$24,0)</f>
        <v>0</v>
      </c>
      <c r="AT24" s="703">
        <f>IF(AND(AT10&gt;=1,AT$9&lt;=Assumptions!$M$57),(1+AT17)*AT14*$E$19*$E$24,0)</f>
        <v>0</v>
      </c>
      <c r="AU24" s="703">
        <f>IF(AND(AU10&gt;=1,AU$9&lt;=Assumptions!$M$57),(1+AU17)*AU14*$E$19*$E$24,0)</f>
        <v>0</v>
      </c>
      <c r="AV24" s="703">
        <f>IF(AND(AV10&gt;=1,AV$9&lt;=Assumptions!$M$57),(1+AV17)*AV14*$E$19*$E$24,0)</f>
        <v>0</v>
      </c>
      <c r="AW24" s="703">
        <f>IF(AND(AW10&gt;=1,AW$9&lt;=Assumptions!$M$57),(1+AW17)*AW14*$E$19*$E$24,0)</f>
        <v>0</v>
      </c>
      <c r="AX24" s="703">
        <f>IF(AND(AX10&gt;=1,AX$9&lt;=Assumptions!$M$57),(1+AX17)*AX14*$E$19*$E$24,0)</f>
        <v>0</v>
      </c>
      <c r="AY24" s="703">
        <f>IF(AND(AY10&gt;=1,AY$9&lt;=Assumptions!$M$57),(1+AY17)*AY14*$E$19*$E$24,0)</f>
        <v>0</v>
      </c>
      <c r="AZ24" s="703">
        <f>IF(AND(AZ10&gt;=1,AZ$9&lt;=Assumptions!$M$57),(1+AZ17)*AZ14*$E$19*$E$24,0)</f>
        <v>0</v>
      </c>
      <c r="BA24" s="703">
        <f>IF(AND(BA10&gt;=1,BA$9&lt;=Assumptions!$M$57),(1+BA17)*BA14*$E$19*$E$24,0)</f>
        <v>0</v>
      </c>
      <c r="BB24" s="703">
        <f>IF(AND(BB10&gt;=1,BB$9&lt;=Assumptions!$M$57),(1+BB17)*BB14*$E$19*$E$24,0)</f>
        <v>0</v>
      </c>
      <c r="BC24" s="703">
        <f>IF(AND(BC10&gt;=1,BC$9&lt;=Assumptions!$M$57),(1+BC17)*BC14*$E$19*$E$24,0)</f>
        <v>0</v>
      </c>
      <c r="BD24" s="703">
        <f>IF(AND(BD10&gt;=1,BD$9&lt;=Assumptions!$M$57),(1+BD17)*BD14*$E$19*$E$24,0)</f>
        <v>0</v>
      </c>
      <c r="BE24" s="703">
        <f>IF(AND(BE10&gt;=1,BE$9&lt;=Assumptions!$M$57),(1+BE17)*BE14*$E$19*$E$24,0)</f>
        <v>0</v>
      </c>
      <c r="BF24" s="703">
        <f>IF(AND(BF10&gt;=1,BF$9&lt;=Assumptions!$M$57),(1+BF17)*BF14*$E$19*$E$24,0)</f>
        <v>0</v>
      </c>
      <c r="BG24" s="703">
        <f>IF(AND(BG10&gt;=1,BG$9&lt;=Assumptions!$M$57),(1+BG17)*BG14*$E$19*$E$24,0)</f>
        <v>0</v>
      </c>
      <c r="BH24" s="703">
        <f>IF(AND(BH10&gt;=1,BH$9&lt;=Assumptions!$M$57),(1+BH17)*BH14*$E$19*$E$24,0)</f>
        <v>0</v>
      </c>
      <c r="BI24" s="703">
        <f>IF(AND(BI10&gt;=1,BI$9&lt;=Assumptions!$M$57),(1+BI17)*BI14*$E$19*$E$24,0)</f>
        <v>0</v>
      </c>
      <c r="BJ24" s="703">
        <f>IF(AND(BJ10&gt;=1,BJ$9&lt;=Assumptions!$M$57),(1+BJ17)*BJ14*$E$19*$E$24,0)</f>
        <v>0</v>
      </c>
      <c r="BK24" s="703">
        <f>IF(AND(BK10&gt;=1,BK$9&lt;=Assumptions!$M$57),(1+BK17)*BK14*$E$19*$E$24,0)</f>
        <v>0</v>
      </c>
      <c r="BL24" s="703">
        <f>IF(AND(BL10&gt;=1,BL$9&lt;=Assumptions!$M$57),(1+BL17)*BL14*$E$19*$E$24,0)</f>
        <v>0</v>
      </c>
      <c r="BM24" s="703">
        <f>IF(AND(BM10&gt;=1,BM$9&lt;=Assumptions!$M$57),(1+BM17)*BM14*$E$19*$E$24,0)</f>
        <v>0</v>
      </c>
      <c r="BN24" s="703">
        <f>IF(AND(BN10&gt;=1,BN$9&lt;=Assumptions!$M$57),(1+BN17)*BN14*$E$19*$E$24,0)</f>
        <v>0</v>
      </c>
      <c r="BO24" s="703">
        <f>IF(AND(BO10&gt;=1,BO$9&lt;=Assumptions!$M$57),(1+BO17)*BO14*$E$19*$E$24,0)</f>
        <v>0</v>
      </c>
      <c r="BP24" s="703">
        <f>IF(AND(BP10&gt;=1,BP$9&lt;=Assumptions!$M$57),(1+BP17)*BP14*$E$19*$E$24,0)</f>
        <v>0</v>
      </c>
      <c r="BQ24" s="703">
        <f>IF(AND(BQ10&gt;=1,BQ$9&lt;=Assumptions!$M$57),(1+BQ17)*BQ14*$E$19*$E$24,0)</f>
        <v>0</v>
      </c>
      <c r="BR24" s="703">
        <f>IF(AND(BR10&gt;=1,BR$9&lt;=Assumptions!$M$57),(1+BR17)*BR14*$E$19*$E$24,0)</f>
        <v>0</v>
      </c>
      <c r="BS24" s="703">
        <f>IF(AND(BS10&gt;=1,BS$9&lt;=Assumptions!$M$57),(1+BS17)*BS14*$E$19*$E$24,0)</f>
        <v>0</v>
      </c>
      <c r="BT24" s="703">
        <f>IF(AND(BT10&gt;=1,BT$9&lt;=Assumptions!$M$57),(1+BT17)*BT14*$E$19*$E$24,0)</f>
        <v>0</v>
      </c>
      <c r="BU24" s="703">
        <f>IF(AND(BU10&gt;=1,BU$9&lt;=Assumptions!$M$57),(1+BU17)*BU14*$E$19*$E$24,0)</f>
        <v>0</v>
      </c>
      <c r="BV24" s="703">
        <f>IF(AND(BV10&gt;=1,BV$9&lt;=Assumptions!$M$57),(1+BV17)*BV14*$E$19*$E$24,0)</f>
        <v>0</v>
      </c>
      <c r="BW24" s="703">
        <f>IF(AND(BW10&gt;=1,BW$9&lt;=Assumptions!$M$57),(1+BW17)*BW14*$E$19*$E$24,0)</f>
        <v>0</v>
      </c>
      <c r="BX24" s="703">
        <f>IF(AND(BX10&gt;=1,BX$9&lt;=Assumptions!$M$57),(1+BX17)*BX14*$E$19*$E$24,0)</f>
        <v>0</v>
      </c>
      <c r="BY24" s="703">
        <f>IF(AND(BY10&gt;=1,BY$9&lt;=Assumptions!$M$57),(1+BY17)*BY14*$E$19*$E$24,0)</f>
        <v>0</v>
      </c>
      <c r="BZ24" s="703">
        <f>IF(AND(BZ10&gt;=1,BZ$9&lt;=Assumptions!$M$57),(1+BZ17)*BZ14*$E$19*$E$24,0)</f>
        <v>0</v>
      </c>
      <c r="CA24" s="703">
        <f>IF(AND(CA10&gt;=1,CA$9&lt;=Assumptions!$M$57),(1+CA17)*CA14*$E$19*$E$24,0)</f>
        <v>0</v>
      </c>
      <c r="CB24" s="703">
        <f>IF(AND(CB10&gt;=1,CB$9&lt;=Assumptions!$M$57),(1+CB17)*CB14*$E$19*$E$24,0)</f>
        <v>0</v>
      </c>
      <c r="CC24" s="703">
        <f>IF(AND(CC10&gt;=1,CC$9&lt;=Assumptions!$M$57),(1+CC17)*CC14*$E$19*$E$24,0)</f>
        <v>0</v>
      </c>
      <c r="CD24" s="703">
        <f>IF(AND(CD10&gt;=1,CD$9&lt;=Assumptions!$M$57),(1+CD17)*CD14*$E$19*$E$24,0)</f>
        <v>0</v>
      </c>
      <c r="CE24" s="703">
        <f>IF(AND(CE10&gt;=1,CE$9&lt;=Assumptions!$M$57),(1+CE17)*CE14*$E$19*$E$24,0)</f>
        <v>0</v>
      </c>
      <c r="CF24" s="703">
        <f>IF(AND(CF10&gt;=1,CF$9&lt;=Assumptions!$M$57),(1+CF17)*CF14*$E$19*$E$24,0)</f>
        <v>0</v>
      </c>
      <c r="CG24" s="703">
        <f>IF(AND(CG10&gt;=1,CG$9&lt;=Assumptions!$M$57),(1+CG17)*CG14*$E$19*$E$24,0)</f>
        <v>0</v>
      </c>
      <c r="CH24" s="703">
        <f>IF(AND(CH10&gt;=1,CH$9&lt;=Assumptions!$M$57),(1+CH17)*CH14*$E$19*$E$24,0)</f>
        <v>0</v>
      </c>
      <c r="CI24" s="703">
        <f>IF(AND(CI10&gt;=1,CI$9&lt;=Assumptions!$M$57),(1+CI17)*CI14*$E$19*$E$24,0)</f>
        <v>0</v>
      </c>
      <c r="CJ24" s="703">
        <f>IF(AND(CJ10&gt;=1,CJ$9&lt;=Assumptions!$M$57),(1+CJ17)*CJ14*$E$19*$E$24,0)</f>
        <v>0</v>
      </c>
      <c r="CK24" s="703">
        <f>IF(AND(CK10&gt;=1,CK$9&lt;=Assumptions!$M$57),(1+CK17)*CK14*$E$19*$E$24,0)</f>
        <v>0</v>
      </c>
      <c r="CL24" s="703">
        <f>IF(AND(CL10&gt;=1,CL$9&lt;=Assumptions!$M$57),(1+CL17)*CL14*$E$19*$E$24,0)</f>
        <v>0</v>
      </c>
      <c r="CM24" s="703">
        <f>IF(AND(CM10&gt;=1,CM$9&lt;=Assumptions!$M$57),(1+CM17)*CM14*$E$19*$E$24,0)</f>
        <v>0</v>
      </c>
      <c r="CN24" s="703">
        <f>IF(AND(CN10&gt;=1,CN$9&lt;=Assumptions!$M$57),(1+CN17)*CN14*$E$19*$E$24,0)</f>
        <v>0</v>
      </c>
      <c r="CO24" s="703">
        <f>IF(AND(CO10&gt;=1,CO$9&lt;=Assumptions!$M$57),(1+CO17)*CO14*$E$19*$E$24,0)</f>
        <v>0</v>
      </c>
      <c r="CP24" s="703">
        <f>IF(AND(CP10&gt;=1,CP$9&lt;=Assumptions!$M$57),(1+CP17)*CP14*$E$19*$E$24,0)</f>
        <v>0</v>
      </c>
      <c r="CQ24" s="703">
        <f>IF(AND(CQ10&gt;=1,CQ$9&lt;=Assumptions!$M$57),(1+CQ17)*CQ14*$E$19*$E$24,0)</f>
        <v>0</v>
      </c>
      <c r="CR24" s="703">
        <f>IF(AND(CR10&gt;=1,CR$9&lt;=Assumptions!$M$57),(1+CR17)*CR14*$E$19*$E$24,0)</f>
        <v>0</v>
      </c>
      <c r="CS24" s="703">
        <f>IF(AND(CS10&gt;=1,CS$9&lt;=Assumptions!$M$57),(1+CS17)*CS14*$E$19*$E$24,0)</f>
        <v>0</v>
      </c>
      <c r="CT24" s="703">
        <f>IF(AND(CT10&gt;=1,CT$9&lt;=Assumptions!$M$57),(1+CT17)*CT14*$E$19*$E$24,0)</f>
        <v>0</v>
      </c>
      <c r="CU24" s="703">
        <f>IF(AND(CU10&gt;=1,CU$9&lt;=Assumptions!$M$57),(1+CU17)*CU14*$E$19*$E$24,0)</f>
        <v>0</v>
      </c>
      <c r="CV24" s="703">
        <f>IF(AND(CV10&gt;=1,CV$9&lt;=Assumptions!$M$57),(1+CV17)*CV14*$E$19*$E$24,0)</f>
        <v>0</v>
      </c>
      <c r="CW24" s="703">
        <f>IF(AND(CW10&gt;=1,CW$9&lt;=Assumptions!$M$57),(1+CW17)*CW14*$E$19*$E$24,0)</f>
        <v>0</v>
      </c>
      <c r="CX24" s="703">
        <f>IF(AND(CX10&gt;=1,CX$9&lt;=Assumptions!$M$57),(1+CX17)*CX14*$E$19*$E$24,0)</f>
        <v>0</v>
      </c>
      <c r="CY24" s="703">
        <f>IF(AND(CY10&gt;=1,CY$9&lt;=Assumptions!$M$57),(1+CY17)*CY14*$E$19*$E$24,0)</f>
        <v>0</v>
      </c>
      <c r="CZ24" s="703">
        <f>IF(AND(CZ10&gt;=1,CZ$9&lt;=Assumptions!$M$57),(1+CZ17)*CZ14*$E$19*$E$24,0)</f>
        <v>0</v>
      </c>
      <c r="DA24" s="703">
        <f>IF(AND(DA10&gt;=1,DA$9&lt;=Assumptions!$M$57),(1+DA17)*DA14*$E$19*$E$24,0)</f>
        <v>0</v>
      </c>
      <c r="DB24" s="703">
        <f>IF(AND(DB10&gt;=1,DB$9&lt;=Assumptions!$M$57),(1+DB17)*DB14*$E$19*$E$24,0)</f>
        <v>0</v>
      </c>
      <c r="DC24" s="703">
        <f>IF(AND(DC10&gt;=1,DC$9&lt;=Assumptions!$M$57),(1+DC17)*DC14*$E$19*$E$24,0)</f>
        <v>0</v>
      </c>
      <c r="DD24" s="703">
        <f>IF(AND(DD10&gt;=1,DD$9&lt;=Assumptions!$M$57),(1+DD17)*DD14*$E$19*$E$24,0)</f>
        <v>0</v>
      </c>
      <c r="DE24" s="703">
        <f>IF(AND(DE10&gt;=1,DE$9&lt;=Assumptions!$M$57),(1+DE17)*DE14*$E$19*$E$24,0)</f>
        <v>0</v>
      </c>
      <c r="DF24" s="703">
        <f>IF(AND(DF10&gt;=1,DF$9&lt;=Assumptions!$M$57),(1+DF17)*DF14*$E$19*$E$24,0)</f>
        <v>0</v>
      </c>
      <c r="DG24" s="703">
        <f>IF(AND(DG10&gt;=1,DG$9&lt;=Assumptions!$M$57),(1+DG17)*DG14*$E$19*$E$24,0)</f>
        <v>0</v>
      </c>
      <c r="DH24" s="703">
        <f>IF(AND(DH10&gt;=1,DH$9&lt;=Assumptions!$M$57),(1+DH17)*DH14*$E$19*$E$24,0)</f>
        <v>0</v>
      </c>
      <c r="DI24" s="703">
        <f>IF(AND(DI10&gt;=1,DI$9&lt;=Assumptions!$M$57),(1+DI17)*DI14*$E$19*$E$24,0)</f>
        <v>0</v>
      </c>
      <c r="DJ24" s="703">
        <f>IF(AND(DJ10&gt;=1,DJ$9&lt;=Assumptions!$M$57),(1+DJ17)*DJ14*$E$19*$E$24,0)</f>
        <v>0</v>
      </c>
      <c r="DK24" s="703">
        <f>IF(AND(DK10&gt;=1,DK$9&lt;=Assumptions!$M$57),(1+DK17)*DK14*$E$19*$E$24,0)</f>
        <v>0</v>
      </c>
      <c r="DL24" s="703">
        <f>IF(AND(DL10&gt;=1,DL$9&lt;=Assumptions!$M$57),(1+DL17)*DL14*$E$19*$E$24,0)</f>
        <v>0</v>
      </c>
      <c r="DM24" s="703">
        <f>IF(AND(DM10&gt;=1,DM$9&lt;=Assumptions!$M$57),(1+DM17)*DM14*$E$19*$E$24,0)</f>
        <v>0</v>
      </c>
      <c r="DN24" s="703">
        <f>IF(AND(DN10&gt;=1,DN$9&lt;=Assumptions!$M$57),(1+DN17)*DN14*$E$19*$E$24,0)</f>
        <v>0</v>
      </c>
      <c r="DO24" s="703">
        <f>IF(AND(DO10&gt;=1,DO$9&lt;=Assumptions!$M$57),(1+DO17)*DO14*$E$19*$E$24,0)</f>
        <v>0</v>
      </c>
      <c r="DP24" s="703">
        <f>IF(AND(DP10&gt;=1,DP$9&lt;=Assumptions!$M$57),(1+DP17)*DP14*$E$19*$E$24,0)</f>
        <v>0</v>
      </c>
      <c r="DQ24" s="703">
        <f>IF(AND(DQ10&gt;=1,DQ$9&lt;=Assumptions!$M$57),(1+DQ17)*DQ14*$E$19*$E$24,0)</f>
        <v>0</v>
      </c>
      <c r="DR24" s="703">
        <f>IF(AND(DR10&gt;=1,DR$9&lt;=Assumptions!$M$57),(1+DR17)*DR14*$E$19*$E$24,0)</f>
        <v>0</v>
      </c>
      <c r="DS24" s="703">
        <f>IF(AND(DS10&gt;=1,DS$9&lt;=Assumptions!$M$57),(1+DS17)*DS14*$E$19*$E$24,0)</f>
        <v>0</v>
      </c>
      <c r="DT24" s="703">
        <f>IF(AND(DT10&gt;=1,DT$9&lt;=Assumptions!$M$57),(1+DT17)*DT14*$E$19*$E$24,0)</f>
        <v>0</v>
      </c>
      <c r="DU24" s="703">
        <f>IF(AND(DU10&gt;=1,DU$9&lt;=Assumptions!$M$57),(1+DU17)*DU14*$E$19*$E$24,0)</f>
        <v>0</v>
      </c>
      <c r="DV24" s="703">
        <f>IF(AND(DV10&gt;=1,DV$9&lt;=Assumptions!$M$57),(1+DV17)*DV14*$E$19*$E$24,0)</f>
        <v>0</v>
      </c>
      <c r="DW24" s="703">
        <f>IF(AND(DW10&gt;=1,DW$9&lt;=Assumptions!$M$57),(1+DW17)*DW14*$E$19*$E$24,0)</f>
        <v>0</v>
      </c>
      <c r="DX24" s="703">
        <f>IF(AND(DX10&gt;=1,DX$9&lt;=Assumptions!$M$57),(1+DX17)*DX14*$E$19*$E$24,0)</f>
        <v>0</v>
      </c>
      <c r="DY24" s="703">
        <f>IF(AND(DY10&gt;=1,DY$9&lt;=Assumptions!$M$57),(1+DY17)*DY14*$E$19*$E$24,0)</f>
        <v>0</v>
      </c>
      <c r="DZ24" s="703">
        <f>IF(AND(DZ10&gt;=1,DZ$9&lt;=Assumptions!$M$57),(1+DZ17)*DZ14*$E$19*$E$24,0)</f>
        <v>0</v>
      </c>
      <c r="EA24" s="703">
        <f>IF(AND(EA10&gt;=1,EA$9&lt;=Assumptions!$M$57),(1+EA17)*EA14*$E$19*$E$24,0)</f>
        <v>0</v>
      </c>
      <c r="EB24" s="389"/>
      <c r="EC24" s="392" t="s">
        <v>65</v>
      </c>
    </row>
    <row r="25" spans="1:133" s="390" customFormat="1" outlineLevel="1">
      <c r="A25" s="389"/>
      <c r="B25" s="389"/>
      <c r="C25" s="389"/>
      <c r="D25" s="403" t="str">
        <f>CONCATENATE("Revenue - ",Assumptions!J$54)</f>
        <v>Revenue - Ancillary Fees</v>
      </c>
      <c r="E25" s="406">
        <f>Assumptions!J55</f>
        <v>0.18144767030988315</v>
      </c>
      <c r="F25" s="701"/>
      <c r="G25" s="389"/>
      <c r="H25" s="701"/>
      <c r="I25" s="795">
        <f t="shared" ref="I25" ca="1" si="22">SUM(K25:EA25)</f>
        <v>0</v>
      </c>
      <c r="J25" s="701"/>
      <c r="K25" s="703"/>
      <c r="L25" s="703">
        <f ca="1">IF(AND(L9&gt;=1,L$9&lt;=Assumptions!$M$57),(1+L17)*L15*$E$20*$E$25,0)</f>
        <v>0</v>
      </c>
      <c r="M25" s="703">
        <f ca="1">IF(AND(M9&gt;=1,M$9&lt;=Assumptions!$M$57),(1+M17)*M15*$E$20*$E$25,0)</f>
        <v>0</v>
      </c>
      <c r="N25" s="703">
        <f ca="1">IF(AND(N9&gt;=1,N$9&lt;=Assumptions!$M$57),(1+N17)*N15*$E$20*$E$25,0)</f>
        <v>0</v>
      </c>
      <c r="O25" s="703">
        <f ca="1">IF(AND(O9&gt;=1,O$9&lt;=Assumptions!$M$57),(1+O17)*O15*$E$20*$E$25,0)</f>
        <v>0</v>
      </c>
      <c r="P25" s="703">
        <f ca="1">IF(AND(P9&gt;=1,P$9&lt;=Assumptions!$M$57),(1+P17)*P15*$E$20*$E$25,0)</f>
        <v>0</v>
      </c>
      <c r="Q25" s="703">
        <f ca="1">IF(AND(Q9&gt;=1,Q$9&lt;=Assumptions!$M$57),(1+Q17)*Q15*$E$20*$E$25,0)</f>
        <v>0</v>
      </c>
      <c r="R25" s="703">
        <f ca="1">IF(AND(R9&gt;=1,R$9&lt;=Assumptions!$M$57),(1+R17)*R15*$E$20*$E$25,0)</f>
        <v>0</v>
      </c>
      <c r="S25" s="703">
        <f ca="1">IF(AND(S9&gt;=1,S$9&lt;=Assumptions!$M$57),(1+S17)*S15*$E$20*$E$25,0)</f>
        <v>0</v>
      </c>
      <c r="T25" s="703">
        <f ca="1">IF(AND(T9&gt;=1,T$9&lt;=Assumptions!$M$57),(1+T17)*T15*$E$20*$E$25,0)</f>
        <v>0</v>
      </c>
      <c r="U25" s="703">
        <f ca="1">IF(AND(U9&gt;=1,U$9&lt;=Assumptions!$M$57),(1+U17)*U15*$E$20*$E$25,0)</f>
        <v>0</v>
      </c>
      <c r="V25" s="703">
        <f ca="1">IF(AND(V9&gt;=1,V$9&lt;=Assumptions!$M$57),(1+V17)*V15*$E$20*$E$25,0)</f>
        <v>0</v>
      </c>
      <c r="W25" s="703">
        <f ca="1">IF(AND(W9&gt;=1,W$9&lt;=Assumptions!$M$57),(1+W17)*W15*$E$20*$E$25,0)</f>
        <v>0</v>
      </c>
      <c r="X25" s="703">
        <f ca="1">IF(AND(X9&gt;=1,X$9&lt;=Assumptions!$M$57),(1+X17)*X15*$E$20*$E$25,0)</f>
        <v>0</v>
      </c>
      <c r="Y25" s="703">
        <f ca="1">IF(AND(Y9&gt;=1,Y$9&lt;=Assumptions!$M$57),(1+Y17)*Y15*$E$20*$E$25,0)</f>
        <v>0</v>
      </c>
      <c r="Z25" s="703">
        <f ca="1">IF(AND(Z9&gt;=1,Z$9&lt;=Assumptions!$M$57),(1+Z17)*Z15*$E$20*$E$25,0)</f>
        <v>0</v>
      </c>
      <c r="AA25" s="703">
        <f ca="1">IF(AND(AA9&gt;=1,AA$9&lt;=Assumptions!$M$57),(1+AA17)*AA15*$E$20*$E$25,0)</f>
        <v>0</v>
      </c>
      <c r="AB25" s="703">
        <f ca="1">IF(AND(AB9&gt;=1,AB$9&lt;=Assumptions!$M$57),(1+AB17)*AB15*$E$20*$E$25,0)</f>
        <v>0</v>
      </c>
      <c r="AC25" s="703">
        <f ca="1">IF(AND(AC9&gt;=1,AC$9&lt;=Assumptions!$M$57),(1+AC17)*AC15*$E$20*$E$25,0)</f>
        <v>0</v>
      </c>
      <c r="AD25" s="703">
        <f ca="1">IF(AND(AD9&gt;=1,AD$9&lt;=Assumptions!$M$57),(1+AD17)*AD15*$E$20*$E$25,0)</f>
        <v>0</v>
      </c>
      <c r="AE25" s="703">
        <f ca="1">IF(AND(AE9&gt;=1,AE$9&lt;=Assumptions!$M$57),(1+AE17)*AE15*$E$20*$E$25,0)</f>
        <v>0</v>
      </c>
      <c r="AF25" s="703">
        <f ca="1">IF(AND(AF9&gt;=1,AF$9&lt;=Assumptions!$M$57),(1+AF17)*AF15*$E$20*$E$25,0)</f>
        <v>0</v>
      </c>
      <c r="AG25" s="703">
        <f ca="1">IF(AND(AG9&gt;=1,AG$9&lt;=Assumptions!$M$57),(1+AG17)*AG15*$E$20*$E$25,0)</f>
        <v>0</v>
      </c>
      <c r="AH25" s="703">
        <f ca="1">IF(AND(AH9&gt;=1,AH$9&lt;=Assumptions!$M$57),(1+AH17)*AH15*$E$20*$E$25,0)</f>
        <v>0</v>
      </c>
      <c r="AI25" s="703">
        <f ca="1">IF(AND(AI9&gt;=1,AI$9&lt;=Assumptions!$M$57),(1+AI17)*AI15*$E$20*$E$25,0)</f>
        <v>0</v>
      </c>
      <c r="AJ25" s="703">
        <f ca="1">IF(AND(AJ9&gt;=1,AJ$9&lt;=Assumptions!$M$57),(1+AJ17)*AJ15*$E$20*$E$25,0)</f>
        <v>0</v>
      </c>
      <c r="AK25" s="703">
        <f ca="1">IF(AND(AK9&gt;=1,AK$9&lt;=Assumptions!$M$57),(1+AK17)*AK15*$E$20*$E$25,0)</f>
        <v>0</v>
      </c>
      <c r="AL25" s="703">
        <f ca="1">IF(AND(AL9&gt;=1,AL$9&lt;=Assumptions!$M$57),(1+AL17)*AL15*$E$20*$E$25,0)</f>
        <v>0</v>
      </c>
      <c r="AM25" s="703">
        <f ca="1">IF(AND(AM9&gt;=1,AM$9&lt;=Assumptions!$M$57),(1+AM17)*AM15*$E$20*$E$25,0)</f>
        <v>0</v>
      </c>
      <c r="AN25" s="703">
        <f ca="1">IF(AND(AN9&gt;=1,AN$9&lt;=Assumptions!$M$57),(1+AN17)*AN15*$E$20*$E$25,0)</f>
        <v>0</v>
      </c>
      <c r="AO25" s="703">
        <f ca="1">IF(AND(AO9&gt;=1,AO$9&lt;=Assumptions!$M$57),(1+AO17)*AO15*$E$20*$E$25,0)</f>
        <v>0</v>
      </c>
      <c r="AP25" s="703">
        <f ca="1">IF(AND(AP9&gt;=1,AP$9&lt;=Assumptions!$M$57),(1+AP17)*AP15*$E$20*$E$25,0)</f>
        <v>0</v>
      </c>
      <c r="AQ25" s="703">
        <f ca="1">IF(AND(AQ9&gt;=1,AQ$9&lt;=Assumptions!$M$57),(1+AQ17)*AQ15*$E$20*$E$25,0)</f>
        <v>0</v>
      </c>
      <c r="AR25" s="703">
        <f ca="1">IF(AND(AR9&gt;=1,AR$9&lt;=Assumptions!$M$57),(1+AR17)*AR15*$E$20*$E$25,0)</f>
        <v>0</v>
      </c>
      <c r="AS25" s="703">
        <f ca="1">IF(AND(AS9&gt;=1,AS$9&lt;=Assumptions!$M$57),(1+AS17)*AS15*$E$20*$E$25,0)</f>
        <v>0</v>
      </c>
      <c r="AT25" s="703">
        <f ca="1">IF(AND(AT9&gt;=1,AT$9&lt;=Assumptions!$M$57),(1+AT17)*AT15*$E$20*$E$25,0)</f>
        <v>0</v>
      </c>
      <c r="AU25" s="703">
        <f ca="1">IF(AND(AU9&gt;=1,AU$9&lt;=Assumptions!$M$57),(1+AU17)*AU15*$E$20*$E$25,0)</f>
        <v>0</v>
      </c>
      <c r="AV25" s="703">
        <f ca="1">IF(AND(AV9&gt;=1,AV$9&lt;=Assumptions!$M$57),(1+AV17)*AV15*$E$20*$E$25,0)</f>
        <v>0</v>
      </c>
      <c r="AW25" s="703">
        <f ca="1">IF(AND(AW9&gt;=1,AW$9&lt;=Assumptions!$M$57),(1+AW17)*AW15*$E$20*$E$25,0)</f>
        <v>0</v>
      </c>
      <c r="AX25" s="703">
        <f ca="1">IF(AND(AX9&gt;=1,AX$9&lt;=Assumptions!$M$57),(1+AX17)*AX15*$E$20*$E$25,0)</f>
        <v>0</v>
      </c>
      <c r="AY25" s="703">
        <f ca="1">IF(AND(AY9&gt;=1,AY$9&lt;=Assumptions!$M$57),(1+AY17)*AY15*$E$20*$E$25,0)</f>
        <v>0</v>
      </c>
      <c r="AZ25" s="703">
        <f ca="1">IF(AND(AZ9&gt;=1,AZ$9&lt;=Assumptions!$M$57),(1+AZ17)*AZ15*$E$20*$E$25,0)</f>
        <v>0</v>
      </c>
      <c r="BA25" s="703">
        <f ca="1">IF(AND(BA9&gt;=1,BA$9&lt;=Assumptions!$M$57),(1+BA17)*BA15*$E$20*$E$25,0)</f>
        <v>0</v>
      </c>
      <c r="BB25" s="703">
        <f ca="1">IF(AND(BB9&gt;=1,BB$9&lt;=Assumptions!$M$57),(1+BB17)*BB15*$E$20*$E$25,0)</f>
        <v>0</v>
      </c>
      <c r="BC25" s="703">
        <f ca="1">IF(AND(BC9&gt;=1,BC$9&lt;=Assumptions!$M$57),(1+BC17)*BC15*$E$20*$E$25,0)</f>
        <v>0</v>
      </c>
      <c r="BD25" s="703">
        <f ca="1">IF(AND(BD9&gt;=1,BD$9&lt;=Assumptions!$M$57),(1+BD17)*BD15*$E$20*$E$25,0)</f>
        <v>0</v>
      </c>
      <c r="BE25" s="703">
        <f ca="1">IF(AND(BE9&gt;=1,BE$9&lt;=Assumptions!$M$57),(1+BE17)*BE15*$E$20*$E$25,0)</f>
        <v>0</v>
      </c>
      <c r="BF25" s="703">
        <f ca="1">IF(AND(BF9&gt;=1,BF$9&lt;=Assumptions!$M$57),(1+BF17)*BF15*$E$20*$E$25,0)</f>
        <v>0</v>
      </c>
      <c r="BG25" s="703">
        <f ca="1">IF(AND(BG9&gt;=1,BG$9&lt;=Assumptions!$M$57),(1+BG17)*BG15*$E$20*$E$25,0)</f>
        <v>0</v>
      </c>
      <c r="BH25" s="703">
        <f ca="1">IF(AND(BH9&gt;=1,BH$9&lt;=Assumptions!$M$57),(1+BH17)*BH15*$E$20*$E$25,0)</f>
        <v>0</v>
      </c>
      <c r="BI25" s="703">
        <f ca="1">IF(AND(BI9&gt;=1,BI$9&lt;=Assumptions!$M$57),(1+BI17)*BI15*$E$20*$E$25,0)</f>
        <v>0</v>
      </c>
      <c r="BJ25" s="703">
        <f ca="1">IF(AND(BJ9&gt;=1,BJ$9&lt;=Assumptions!$M$57),(1+BJ17)*BJ15*$E$20*$E$25,0)</f>
        <v>0</v>
      </c>
      <c r="BK25" s="703">
        <f ca="1">IF(AND(BK9&gt;=1,BK$9&lt;=Assumptions!$M$57),(1+BK17)*BK15*$E$20*$E$25,0)</f>
        <v>0</v>
      </c>
      <c r="BL25" s="703">
        <f ca="1">IF(AND(BL9&gt;=1,BL$9&lt;=Assumptions!$M$57),(1+BL17)*BL15*$E$20*$E$25,0)</f>
        <v>0</v>
      </c>
      <c r="BM25" s="703">
        <f ca="1">IF(AND(BM9&gt;=1,BM$9&lt;=Assumptions!$M$57),(1+BM17)*BM15*$E$20*$E$25,0)</f>
        <v>0</v>
      </c>
      <c r="BN25" s="703">
        <f ca="1">IF(AND(BN9&gt;=1,BN$9&lt;=Assumptions!$M$57),(1+BN17)*BN15*$E$20*$E$25,0)</f>
        <v>0</v>
      </c>
      <c r="BO25" s="703">
        <f ca="1">IF(AND(BO9&gt;=1,BO$9&lt;=Assumptions!$M$57),(1+BO17)*BO15*$E$20*$E$25,0)</f>
        <v>0</v>
      </c>
      <c r="BP25" s="703">
        <f ca="1">IF(AND(BP9&gt;=1,BP$9&lt;=Assumptions!$M$57),(1+BP17)*BP15*$E$20*$E$25,0)</f>
        <v>0</v>
      </c>
      <c r="BQ25" s="703">
        <f ca="1">IF(AND(BQ9&gt;=1,BQ$9&lt;=Assumptions!$M$57),(1+BQ17)*BQ15*$E$20*$E$25,0)</f>
        <v>0</v>
      </c>
      <c r="BR25" s="703">
        <f ca="1">IF(AND(BR9&gt;=1,BR$8&lt;=Assumptions!$M$58),(1+BR17)*BR15*$E$20*$E$25,0)</f>
        <v>0</v>
      </c>
      <c r="BS25" s="703">
        <f ca="1">IF(AND(BS9&gt;=1,BS$8&lt;=Assumptions!$M$58),(1+BS17)*BS15*$E$20*$E$25,0)</f>
        <v>0</v>
      </c>
      <c r="BT25" s="703">
        <f ca="1">IF(AND(BT9&gt;=1,BT$9&lt;=Assumptions!$M$57),(1+BT17)*BT15*$E$20*$E$25,0)</f>
        <v>0</v>
      </c>
      <c r="BU25" s="703">
        <f ca="1">IF(AND(BU9&gt;=1,BU$9&lt;=Assumptions!$M$57),(1+BU17)*BU15*$E$20*$E$25,0)</f>
        <v>0</v>
      </c>
      <c r="BV25" s="703">
        <f ca="1">IF(AND(BV9&gt;=1,BV$9&lt;=Assumptions!$M$57),(1+BV17)*BV15*$E$20*$E$25,0)</f>
        <v>0</v>
      </c>
      <c r="BW25" s="703">
        <f ca="1">IF(AND(BW9&gt;=1,BW$9&lt;=Assumptions!$M$57),(1+BW17)*BW15*$E$20*$E$25,0)</f>
        <v>0</v>
      </c>
      <c r="BX25" s="703">
        <f ca="1">IF(AND(BX9&gt;=1,BX$9&lt;=Assumptions!$M$57),(1+BX17)*BX15*$E$20*$E$25,0)</f>
        <v>0</v>
      </c>
      <c r="BY25" s="703">
        <f ca="1">IF(AND(BY9&gt;=1,BY$9&lt;=Assumptions!$M$57),(1+BY17)*BY15*$E$20*$E$25,0)</f>
        <v>0</v>
      </c>
      <c r="BZ25" s="703">
        <f ca="1">IF(AND(BZ9&gt;=1,BZ$9&lt;=Assumptions!$M$57),(1+BZ17)*BZ15*$E$20*$E$25,0)</f>
        <v>0</v>
      </c>
      <c r="CA25" s="703">
        <f ca="1">IF(AND(CA9&gt;=1,CA$9&lt;=Assumptions!$M$57),(1+CA17)*CA15*$E$20*$E$25,0)</f>
        <v>0</v>
      </c>
      <c r="CB25" s="703">
        <f ca="1">IF(AND(CB9&gt;=1,CB$9&lt;=Assumptions!$M$57),(1+CB17)*CB15*$E$20*$E$25,0)</f>
        <v>0</v>
      </c>
      <c r="CC25" s="703">
        <f ca="1">IF(AND(CC9&gt;=1,CC$9&lt;=Assumptions!$M$57),(1+CC17)*CC15*$E$20*$E$25,0)</f>
        <v>0</v>
      </c>
      <c r="CD25" s="703">
        <f ca="1">IF(AND(CD9&gt;=1,CD$9&lt;=Assumptions!$M$57),(1+CD17)*CD15*$E$20*$E$25,0)</f>
        <v>0</v>
      </c>
      <c r="CE25" s="703">
        <f ca="1">IF(AND(CE9&gt;=1,CE$9&lt;=Assumptions!$M$57),(1+CE17)*CE15*$E$20*$E$25,0)</f>
        <v>0</v>
      </c>
      <c r="CF25" s="703">
        <f ca="1">IF(AND(CF9&gt;=1,CF$9&lt;=Assumptions!$M$57),(1+CF17)*CF15*$E$20*$E$25,0)</f>
        <v>0</v>
      </c>
      <c r="CG25" s="703">
        <f ca="1">IF(AND(CG9&gt;=1,CG$9&lt;=Assumptions!$M$57),(1+CG17)*CG15*$E$20*$E$25,0)</f>
        <v>0</v>
      </c>
      <c r="CH25" s="703">
        <f ca="1">IF(AND(CH9&gt;=1,CH$9&lt;=Assumptions!$M$57),(1+CH17)*CH15*$E$20*$E$25,0)</f>
        <v>0</v>
      </c>
      <c r="CI25" s="703">
        <f ca="1">IF(AND(CI9&gt;=1,CI$9&lt;=Assumptions!$M$57),(1+CI17)*CI15*$E$20*$E$25,0)</f>
        <v>0</v>
      </c>
      <c r="CJ25" s="703">
        <f ca="1">IF(AND(CJ9&gt;=1,CJ$9&lt;=Assumptions!$M$57),(1+CJ17)*CJ15*$E$20*$E$25,0)</f>
        <v>0</v>
      </c>
      <c r="CK25" s="703">
        <f ca="1">IF(AND(CK9&gt;=1,CK$9&lt;=Assumptions!$M$57),(1+CK17)*CK15*$E$20*$E$25,0)</f>
        <v>0</v>
      </c>
      <c r="CL25" s="703">
        <f ca="1">IF(AND(CL9&gt;=1,CL$9&lt;=Assumptions!$M$57),(1+CL17)*CL15*$E$20*$E$25,0)</f>
        <v>0</v>
      </c>
      <c r="CM25" s="703">
        <f ca="1">IF(AND(CM9&gt;=1,CM$9&lt;=Assumptions!$M$57),(1+CM17)*CM15*$E$20*$E$25,0)</f>
        <v>0</v>
      </c>
      <c r="CN25" s="703">
        <f ca="1">IF(AND(CN9&gt;=1,CN$9&lt;=Assumptions!$M$57),(1+CN17)*CN15*$E$20*$E$25,0)</f>
        <v>0</v>
      </c>
      <c r="CO25" s="703">
        <f ca="1">IF(AND(CO9&gt;=1,CO$9&lt;=Assumptions!$M$57),(1+CO17)*CO15*$E$20*$E$25,0)</f>
        <v>0</v>
      </c>
      <c r="CP25" s="703">
        <f ca="1">IF(AND(CP9&gt;=1,CP$9&lt;=Assumptions!$M$57),(1+CP17)*CP15*$E$20*$E$25,0)</f>
        <v>0</v>
      </c>
      <c r="CQ25" s="703">
        <f ca="1">IF(AND(CQ9&gt;=1,CQ$9&lt;=Assumptions!$M$57),(1+CQ17)*CQ15*$E$20*$E$25,0)</f>
        <v>0</v>
      </c>
      <c r="CR25" s="703">
        <f ca="1">IF(AND(CR9&gt;=1,CR$9&lt;=Assumptions!$M$57),(1+CR17)*CR15*$E$20*$E$25,0)</f>
        <v>0</v>
      </c>
      <c r="CS25" s="703">
        <f ca="1">IF(AND(CS9&gt;=1,CS$9&lt;=Assumptions!$M$57),(1+CS17)*CS15*$E$20*$E$25,0)</f>
        <v>0</v>
      </c>
      <c r="CT25" s="703">
        <f ca="1">IF(AND(CT9&gt;=1,CT$9&lt;=Assumptions!$M$57),(1+CT17)*CT15*$E$20*$E$25,0)</f>
        <v>0</v>
      </c>
      <c r="CU25" s="703">
        <f ca="1">IF(AND(CU9&gt;=1,CU$9&lt;=Assumptions!$M$57),(1+CU17)*CU15*$E$20*$E$25,0)</f>
        <v>0</v>
      </c>
      <c r="CV25" s="703">
        <f ca="1">IF(AND(CV9&gt;=1,CV$9&lt;=Assumptions!$M$57),(1+CV17)*CV15*$E$20*$E$25,0)</f>
        <v>0</v>
      </c>
      <c r="CW25" s="703">
        <f ca="1">IF(AND(CW9&gt;=1,CW$9&lt;=Assumptions!$M$57),(1+CW17)*CW15*$E$20*$E$25,0)</f>
        <v>0</v>
      </c>
      <c r="CX25" s="703">
        <f ca="1">IF(AND(CX9&gt;=1,CX$9&lt;=Assumptions!$M$57),(1+CX17)*CX15*$E$20*$E$25,0)</f>
        <v>0</v>
      </c>
      <c r="CY25" s="703">
        <f ca="1">IF(AND(CY9&gt;=1,CY$9&lt;=Assumptions!$M$57),(1+CY17)*CY15*$E$20*$E$25,0)</f>
        <v>0</v>
      </c>
      <c r="CZ25" s="703">
        <f ca="1">IF(AND(CZ9&gt;=1,CZ$9&lt;=Assumptions!$M$57),(1+CZ17)*CZ15*$E$20*$E$25,0)</f>
        <v>0</v>
      </c>
      <c r="DA25" s="703">
        <f ca="1">IF(AND(DA9&gt;=1,DA$9&lt;=Assumptions!$M$57),(1+DA17)*DA15*$E$20*$E$25,0)</f>
        <v>0</v>
      </c>
      <c r="DB25" s="703">
        <f ca="1">IF(AND(DB9&gt;=1,DB$9&lt;=Assumptions!$M$57),(1+DB17)*DB15*$E$20*$E$25,0)</f>
        <v>0</v>
      </c>
      <c r="DC25" s="703">
        <f ca="1">IF(AND(DC9&gt;=1,DC$9&lt;=Assumptions!$M$57),(1+DC17)*DC15*$E$20*$E$25,0)</f>
        <v>0</v>
      </c>
      <c r="DD25" s="703">
        <f ca="1">IF(AND(DD9&gt;=1,DD$9&lt;=Assumptions!$M$57),(1+DD17)*DD15*$E$20*$E$25,0)</f>
        <v>0</v>
      </c>
      <c r="DE25" s="703">
        <f ca="1">IF(AND(DE9&gt;=1,DE$9&lt;=Assumptions!$M$57),(1+DE17)*DE15*$E$20*$E$25,0)</f>
        <v>0</v>
      </c>
      <c r="DF25" s="703">
        <f ca="1">IF(AND(DF9&gt;=1,DF$9&lt;=Assumptions!$M$57),(1+DF17)*DF15*$E$20*$E$25,0)</f>
        <v>0</v>
      </c>
      <c r="DG25" s="703">
        <f ca="1">IF(AND(DG9&gt;=1,DG$9&lt;=Assumptions!$M$57),(1+DG17)*DG15*$E$20*$E$25,0)</f>
        <v>0</v>
      </c>
      <c r="DH25" s="703">
        <f ca="1">IF(AND(DH9&gt;=1,DH$9&lt;=Assumptions!$M$57),(1+DH17)*DH15*$E$20*$E$25,0)</f>
        <v>0</v>
      </c>
      <c r="DI25" s="703">
        <f ca="1">IF(AND(DI9&gt;=1,DI$9&lt;=Assumptions!$M$57),(1+DI17)*DI15*$E$20*$E$25,0)</f>
        <v>0</v>
      </c>
      <c r="DJ25" s="703">
        <f ca="1">IF(AND(DJ9&gt;=1,DJ$9&lt;=Assumptions!$M$57),(1+DJ17)*DJ15*$E$20*$E$25,0)</f>
        <v>0</v>
      </c>
      <c r="DK25" s="703">
        <f ca="1">IF(AND(DK9&gt;=1,DK$9&lt;=Assumptions!$M$57),(1+DK17)*DK15*$E$20*$E$25,0)</f>
        <v>0</v>
      </c>
      <c r="DL25" s="703">
        <f ca="1">IF(AND(DL9&gt;=1,DL$9&lt;=Assumptions!$M$57),(1+DL17)*DL15*$E$20*$E$25,0)</f>
        <v>0</v>
      </c>
      <c r="DM25" s="703">
        <f ca="1">IF(AND(DM9&gt;=1,DM$9&lt;=Assumptions!$M$57),(1+DM17)*DM15*$E$20*$E$25,0)</f>
        <v>0</v>
      </c>
      <c r="DN25" s="703">
        <f ca="1">IF(AND(DN9&gt;=1,DN$9&lt;=Assumptions!$M$57),(1+DN17)*DN15*$E$20*$E$25,0)</f>
        <v>0</v>
      </c>
      <c r="DO25" s="703">
        <f ca="1">IF(AND(DO9&gt;=1,DO$9&lt;=Assumptions!$M$57),(1+DO17)*DO15*$E$20*$E$25,0)</f>
        <v>0</v>
      </c>
      <c r="DP25" s="703">
        <f ca="1">IF(AND(DP9&gt;=1,DP$9&lt;=Assumptions!$M$57),(1+DP17)*DP15*$E$20*$E$25,0)</f>
        <v>0</v>
      </c>
      <c r="DQ25" s="703">
        <f ca="1">IF(AND(DQ9&gt;=1,DQ$9&lt;=Assumptions!$M$57),(1+DQ17)*DQ15*$E$20*$E$25,0)</f>
        <v>0</v>
      </c>
      <c r="DR25" s="703">
        <f ca="1">IF(AND(DR9&gt;=1,DR$9&lt;=Assumptions!$M$57),(1+DR17)*DR15*$E$20*$E$25,0)</f>
        <v>0</v>
      </c>
      <c r="DS25" s="703">
        <f ca="1">IF(AND(DS9&gt;=1,DS$9&lt;=Assumptions!$M$57),(1+DS17)*DS15*$E$20*$E$25,0)</f>
        <v>0</v>
      </c>
      <c r="DT25" s="703">
        <f ca="1">IF(AND(DT9&gt;=1,DT$9&lt;=Assumptions!$M$57),(1+DT17)*DT15*$E$20*$E$25,0)</f>
        <v>0</v>
      </c>
      <c r="DU25" s="703">
        <f ca="1">IF(AND(DU9&gt;=1,DU$9&lt;=Assumptions!$M$57),(1+DU17)*DU15*$E$20*$E$25,0)</f>
        <v>0</v>
      </c>
      <c r="DV25" s="703">
        <f ca="1">IF(AND(DV9&gt;=1,DV$9&lt;=Assumptions!$M$57),(1+DV17)*DV15*$E$20*$E$25,0)</f>
        <v>0</v>
      </c>
      <c r="DW25" s="703">
        <f ca="1">IF(AND(DW9&gt;=1,DW$9&lt;=Assumptions!$M$57),(1+DW17)*DW15*$E$20*$E$25,0)</f>
        <v>0</v>
      </c>
      <c r="DX25" s="703">
        <f ca="1">IF(AND(DX9&gt;=1,DX$9&lt;=Assumptions!$M$57),(1+DX17)*DX15*$E$20*$E$25,0)</f>
        <v>0</v>
      </c>
      <c r="DY25" s="703">
        <f ca="1">IF(AND(DY9&gt;=1,DY$9&lt;=Assumptions!$M$57),(1+DY17)*DY15*$E$20*$E$25,0)</f>
        <v>0</v>
      </c>
      <c r="DZ25" s="703">
        <f ca="1">IF(AND(DZ9&gt;=1,DZ$9&lt;=Assumptions!$M$57),(1+DZ17)*DZ15*$E$20*$E$25,0)</f>
        <v>0</v>
      </c>
      <c r="EA25" s="703">
        <f ca="1">IF(AND(EA9&gt;=1,EA$9&lt;=Assumptions!$M$57),(1+EA17)*EA15*$E$20*$E$25,0)</f>
        <v>0</v>
      </c>
      <c r="EB25" s="389"/>
      <c r="EC25" s="392" t="s">
        <v>65</v>
      </c>
    </row>
    <row r="26" spans="1:133" s="390" customFormat="1" outlineLevel="1">
      <c r="A26" s="389"/>
      <c r="B26" s="389"/>
      <c r="C26" s="389"/>
      <c r="D26" s="389"/>
      <c r="E26" s="701"/>
      <c r="F26" s="701"/>
      <c r="G26" s="389"/>
      <c r="H26" s="701"/>
      <c r="I26" s="796"/>
      <c r="J26" s="701"/>
      <c r="K26" s="389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703"/>
      <c r="AB26" s="703"/>
      <c r="AC26" s="703"/>
      <c r="AD26" s="703"/>
      <c r="AE26" s="703"/>
      <c r="AF26" s="703"/>
      <c r="AG26" s="703"/>
      <c r="AH26" s="703"/>
      <c r="AI26" s="703"/>
      <c r="AJ26" s="703"/>
      <c r="AK26" s="703"/>
      <c r="AL26" s="703"/>
      <c r="AM26" s="703"/>
      <c r="AN26" s="703"/>
      <c r="AO26" s="703"/>
      <c r="AP26" s="703"/>
      <c r="AQ26" s="703"/>
      <c r="AR26" s="703"/>
      <c r="AS26" s="703"/>
      <c r="AT26" s="703"/>
      <c r="AU26" s="703"/>
      <c r="AV26" s="703"/>
      <c r="AW26" s="703"/>
      <c r="AX26" s="703"/>
      <c r="AY26" s="703"/>
      <c r="AZ26" s="703"/>
      <c r="BA26" s="703"/>
      <c r="BB26" s="703"/>
      <c r="BC26" s="703"/>
      <c r="BD26" s="703"/>
      <c r="BE26" s="703"/>
      <c r="BF26" s="703"/>
      <c r="BG26" s="703"/>
      <c r="BH26" s="703"/>
      <c r="BI26" s="703"/>
      <c r="BJ26" s="703"/>
      <c r="BK26" s="703"/>
      <c r="BL26" s="703"/>
      <c r="BM26" s="703"/>
      <c r="BN26" s="703"/>
      <c r="BO26" s="703"/>
      <c r="BP26" s="703"/>
      <c r="BQ26" s="703"/>
      <c r="BR26" s="703"/>
      <c r="BS26" s="703"/>
      <c r="BT26" s="703"/>
      <c r="BU26" s="703"/>
      <c r="BV26" s="703"/>
      <c r="BW26" s="703"/>
      <c r="BX26" s="703"/>
      <c r="BY26" s="703"/>
      <c r="BZ26" s="703"/>
      <c r="CA26" s="703"/>
      <c r="CB26" s="703"/>
      <c r="CC26" s="703"/>
      <c r="CD26" s="703"/>
      <c r="CE26" s="703"/>
      <c r="CF26" s="703"/>
      <c r="CG26" s="703"/>
      <c r="CH26" s="703"/>
      <c r="CI26" s="703"/>
      <c r="CJ26" s="703"/>
      <c r="CK26" s="703"/>
      <c r="CL26" s="703"/>
      <c r="CM26" s="703"/>
      <c r="CN26" s="703"/>
      <c r="CO26" s="703"/>
      <c r="CP26" s="703"/>
      <c r="CQ26" s="703"/>
      <c r="CR26" s="703"/>
      <c r="CS26" s="703"/>
      <c r="CT26" s="703"/>
      <c r="CU26" s="703"/>
      <c r="CV26" s="703"/>
      <c r="CW26" s="703"/>
      <c r="CX26" s="703"/>
      <c r="CY26" s="703"/>
      <c r="CZ26" s="703"/>
      <c r="DA26" s="703"/>
      <c r="DB26" s="703"/>
      <c r="DC26" s="703"/>
      <c r="DD26" s="703"/>
      <c r="DE26" s="703"/>
      <c r="DF26" s="703"/>
      <c r="DG26" s="703"/>
      <c r="DH26" s="703"/>
      <c r="DI26" s="703"/>
      <c r="DJ26" s="703"/>
      <c r="DK26" s="703"/>
      <c r="DL26" s="703"/>
      <c r="DM26" s="703"/>
      <c r="DN26" s="703"/>
      <c r="DO26" s="703"/>
      <c r="DP26" s="703"/>
      <c r="DQ26" s="703"/>
      <c r="DR26" s="703"/>
      <c r="DS26" s="703"/>
      <c r="DT26" s="703"/>
      <c r="DU26" s="703"/>
      <c r="DV26" s="703"/>
      <c r="DW26" s="703"/>
      <c r="DX26" s="703"/>
      <c r="DY26" s="703"/>
      <c r="DZ26" s="703"/>
      <c r="EA26" s="703"/>
      <c r="EB26" s="389"/>
      <c r="EC26" s="392" t="s">
        <v>65</v>
      </c>
    </row>
    <row r="27" spans="1:133" s="390" customFormat="1" outlineLevel="1">
      <c r="A27" s="389"/>
      <c r="B27" s="389"/>
      <c r="C27" s="389"/>
      <c r="D27" s="409" t="s">
        <v>28</v>
      </c>
      <c r="E27" s="701"/>
      <c r="F27" s="701"/>
      <c r="G27" s="389"/>
      <c r="H27" s="701"/>
      <c r="I27" s="795">
        <f t="shared" ref="I27:I28" ca="1" si="23">SUM(K27:EA27)</f>
        <v>0</v>
      </c>
      <c r="J27" s="701"/>
      <c r="K27" s="703"/>
      <c r="L27" s="703">
        <f ca="1">-IF(L9&lt;=Assumptions!$M$57,(((L18-K18)*Assumptions!$I$77*$E$23*(1+L$17))+((L19-K19)*Assumptions!$I$77*$E$24*(1+L$17))),0)</f>
        <v>0</v>
      </c>
      <c r="M27" s="703">
        <f ca="1">-IF(M9&lt;=Assumptions!$M$57,(((M18-L18)*Assumptions!$I$77*$E$23*(1+M$17))+((M19-L19)*Assumptions!$I$77*$E$24*(1+M$17))),0)</f>
        <v>0</v>
      </c>
      <c r="N27" s="703">
        <f ca="1">-IF(N9&lt;=Assumptions!$M$57,(((N18-M18)*Assumptions!$I$77*$E$23*(1+N$17))+((N19-M19)*Assumptions!$I$77*$E$24*(1+N$17))),0)</f>
        <v>0</v>
      </c>
      <c r="O27" s="703">
        <f ca="1">-IF(O9&lt;=Assumptions!$M$57,(((O18-N18)*Assumptions!$I$77*$E$23*(1+O$17))+((O19-N19)*Assumptions!$I$77*$E$24*(1+O$17))),0)</f>
        <v>0</v>
      </c>
      <c r="P27" s="703">
        <f ca="1">-IF(P9&lt;=Assumptions!$M$57,(((P18-O18)*Assumptions!$I$77*$E$23*(1+P$17))+((P19-O19)*Assumptions!$I$77*$E$24*(1+P$17))),0)</f>
        <v>0</v>
      </c>
      <c r="Q27" s="703">
        <f ca="1">-IF(Q9&lt;=Assumptions!$M$57,(((Q18-P18)*Assumptions!$I$77*$E$23*(1+Q$17))+((Q19-P19)*Assumptions!$I$77*$E$24*(1+Q$17))),0)</f>
        <v>0</v>
      </c>
      <c r="R27" s="703">
        <f ca="1">-IF(R9&lt;=Assumptions!$M$57,(((R18-Q18)*Assumptions!$I$77*$E$23*(1+R$17))+((R19-Q19)*Assumptions!$I$77*$E$24*(1+R$17))),0)</f>
        <v>0</v>
      </c>
      <c r="S27" s="703">
        <f ca="1">-IF(S9&lt;=Assumptions!$M$57,(((S18-R18)*Assumptions!$I$77*$E$23*(1+S$17))+((S19-R19)*Assumptions!$I$77*$E$24*(1+S$17))),0)</f>
        <v>0</v>
      </c>
      <c r="T27" s="703">
        <f ca="1">-IF(T9&lt;=Assumptions!$M$57,(((T18-S18)*Assumptions!$I$77*$E$23*(1+T$17))+((T19-S19)*Assumptions!$I$77*$E$24*(1+T$17))),0)</f>
        <v>0</v>
      </c>
      <c r="U27" s="703">
        <f ca="1">-IF(U9&lt;=Assumptions!$M$57,(((U18-T18)*Assumptions!$I$77*$E$23*(1+U$17))+((U19-T19)*Assumptions!$I$77*$E$24*(1+U$17))),0)</f>
        <v>0</v>
      </c>
      <c r="V27" s="703">
        <f ca="1">-IF(V9&lt;=Assumptions!$M$57,(((V18-U18)*Assumptions!$I$77*$E$23*(1+V$17))+((V19-U19)*Assumptions!$I$77*$E$24*(1+V$17))),0)</f>
        <v>0</v>
      </c>
      <c r="W27" s="703">
        <f ca="1">-IF(W9&lt;=Assumptions!$M$57,(((W18-V18)*Assumptions!$I$77*$E$23*(1+W$17))+((W19-V19)*Assumptions!$I$77*$E$24*(1+W$17))),0)</f>
        <v>0</v>
      </c>
      <c r="X27" s="703">
        <f ca="1">-IF(X9&lt;=Assumptions!$M$57,(((X18-W18)*Assumptions!$I$77*$E$23*(1+X$17))+((X19-W19)*Assumptions!$I$77*$E$24*(1+X$17))),0)</f>
        <v>0</v>
      </c>
      <c r="Y27" s="703">
        <f ca="1">-IF(Y9&lt;=Assumptions!$M$57,(((Y18-X18)*Assumptions!$I$77*$E$23*(1+Y$17))+((Y19-X19)*Assumptions!$I$77*$E$24*(1+Y$17))),0)</f>
        <v>0</v>
      </c>
      <c r="Z27" s="703">
        <f ca="1">-IF(Z9&lt;=Assumptions!$M$57,(((Z18-Y18)*Assumptions!$I$77*$E$23*(1+Z$17))+((Z19-Y19)*Assumptions!$I$77*$E$24*(1+Z$17))),0)</f>
        <v>0</v>
      </c>
      <c r="AA27" s="703">
        <f ca="1">-IF(AA9&lt;=Assumptions!$M$57,(((AA18-Z18)*Assumptions!$I$77*$E$23*(1+AA$17))+((AA19-Z19)*Assumptions!$I$77*$E$24*(1+AA$17))),0)</f>
        <v>0</v>
      </c>
      <c r="AB27" s="703">
        <f ca="1">-IF(AB9&lt;=Assumptions!$M$57,(((AB18-AA18)*Assumptions!$I$77*$E$23*(1+AB$17))+((AB19-AA19)*Assumptions!$I$77*$E$24*(1+AB$17))),0)</f>
        <v>0</v>
      </c>
      <c r="AC27" s="703">
        <f ca="1">-IF(AC9&lt;=Assumptions!$M$57,(((AC18-AB18)*Assumptions!$I$77*$E$23*(1+AC$17))+((AC19-AB19)*Assumptions!$I$77*$E$24*(1+AC$17))),0)</f>
        <v>0</v>
      </c>
      <c r="AD27" s="703">
        <f ca="1">-IF(AD9&lt;=Assumptions!$M$57,(((AD18-AC18)*Assumptions!$I$77*$E$23*(1+AD$17))+((AD19-AC19)*Assumptions!$I$77*$E$24*(1+AD$17))),0)</f>
        <v>0</v>
      </c>
      <c r="AE27" s="703">
        <f ca="1">-IF(AE9&lt;=Assumptions!$M$57,(((AE18-AD18)*Assumptions!$I$77*$E$23*(1+AE$17))+((AE19-AD19)*Assumptions!$I$77*$E$24*(1+AE$17))),0)</f>
        <v>0</v>
      </c>
      <c r="AF27" s="703">
        <f ca="1">-IF(AF9&lt;=Assumptions!$M$57,(((AF18-AE18)*Assumptions!$I$77*$E$23*(1+AF$17))+((AF19-AE19)*Assumptions!$I$77*$E$24*(1+AF$17))),0)</f>
        <v>0</v>
      </c>
      <c r="AG27" s="703">
        <f ca="1">-IF(AG9&lt;=Assumptions!$M$57,(((AG18-AF18)*Assumptions!$I$77*$E$23*(1+AG$17))+((AG19-AF19)*Assumptions!$I$77*$E$24*(1+AG$17))),0)</f>
        <v>0</v>
      </c>
      <c r="AH27" s="703">
        <f ca="1">-IF(AH9&lt;=Assumptions!$M$57,(((AH18-AG18)*Assumptions!$I$77*$E$23*(1+AH$17))+((AH19-AG19)*Assumptions!$I$77*$E$24*(1+AH$17))),0)</f>
        <v>0</v>
      </c>
      <c r="AI27" s="703">
        <f ca="1">-IF(AI9&lt;=Assumptions!$M$57,(((AI18-AH18)*Assumptions!$I$77*$E$23*(1+AI$17))+((AI19-AH19)*Assumptions!$I$77*$E$24*(1+AI$17))),0)</f>
        <v>0</v>
      </c>
      <c r="AJ27" s="703">
        <f ca="1">-IF(AJ9&lt;=Assumptions!$M$57,(((AJ18-AI18)*Assumptions!$I$77*$E$23*(1+AJ$17))+((AJ19-AI19)*Assumptions!$I$77*$E$24*(1+AJ$17))),0)</f>
        <v>0</v>
      </c>
      <c r="AK27" s="703">
        <f ca="1">-IF(AK9&lt;=Assumptions!$M$57,(((AK18-AJ18)*Assumptions!$I$77*$E$23*(1+AK$17))+((AK19-AJ19)*Assumptions!$I$77*$E$24*(1+AK$17))),0)</f>
        <v>0</v>
      </c>
      <c r="AL27" s="703">
        <f ca="1">-IF(AL9&lt;=Assumptions!$M$57,(((AL18-AK18)*Assumptions!$I$77*$E$23*(1+AL$17))+((AL19-AK19)*Assumptions!$I$77*$E$24*(1+AL$17))),0)</f>
        <v>0</v>
      </c>
      <c r="AM27" s="703">
        <f ca="1">-IF(AM9&lt;=Assumptions!$M$57,(((AM18-AL18)*Assumptions!$I$77*$E$23*(1+AM$17))+((AM19-AL19)*Assumptions!$I$77*$E$24*(1+AM$17))),0)</f>
        <v>0</v>
      </c>
      <c r="AN27" s="703">
        <f ca="1">-IF(AN9&lt;=Assumptions!$M$57,(((AN18-AM18)*Assumptions!$I$77*$E$23*(1+AN$17))+((AN19-AM19)*Assumptions!$I$77*$E$24*(1+AN$17))),0)</f>
        <v>0</v>
      </c>
      <c r="AO27" s="703">
        <f ca="1">-IF(AO9&lt;=Assumptions!$M$57,(((AO18-AN18)*Assumptions!$I$77*$E$23*(1+AO$17))+((AO19-AN19)*Assumptions!$I$77*$E$24*(1+AO$17))),0)</f>
        <v>0</v>
      </c>
      <c r="AP27" s="703">
        <f ca="1">-IF(AP9&lt;=Assumptions!$M$57,(((AP18-AO18)*Assumptions!$I$77*$E$23*(1+AP$17))+((AP19-AO19)*Assumptions!$I$77*$E$24*(1+AP$17))),0)</f>
        <v>0</v>
      </c>
      <c r="AQ27" s="703">
        <f ca="1">-IF(AQ9&lt;=Assumptions!$M$57,(((AQ18-AP18)*Assumptions!$I$77*$E$23*(1+AQ$17))+((AQ19-AP19)*Assumptions!$I$77*$E$24*(1+AQ$17))),0)</f>
        <v>0</v>
      </c>
      <c r="AR27" s="703">
        <f ca="1">-IF(AR9&lt;=Assumptions!$M$57,(((AR18-AQ18)*Assumptions!$I$77*$E$23*(1+AR$17))+((AR19-AQ19)*Assumptions!$I$77*$E$24*(1+AR$17))),0)</f>
        <v>0</v>
      </c>
      <c r="AS27" s="703">
        <f ca="1">-IF(AS9&lt;=Assumptions!$M$57,(((AS18-AR18)*Assumptions!$I$77*$E$23*(1+AS$17))+((AS19-AR19)*Assumptions!$I$77*$E$24*(1+AS$17))),0)</f>
        <v>0</v>
      </c>
      <c r="AT27" s="703">
        <f ca="1">-IF(AT9&lt;=Assumptions!$M$57,(((AT18-AS18)*Assumptions!$I$77*$E$23*(1+AT$17))+((AT19-AS19)*Assumptions!$I$77*$E$24*(1+AT$17))),0)</f>
        <v>0</v>
      </c>
      <c r="AU27" s="703">
        <f ca="1">-IF(AU9&lt;=Assumptions!$M$57,(((AU18-AT18)*Assumptions!$I$77*$E$23*(1+AU$17))+((AU19-AT19)*Assumptions!$I$77*$E$24*(1+AU$17))),0)</f>
        <v>0</v>
      </c>
      <c r="AV27" s="703">
        <f ca="1">-IF(AV9&lt;=Assumptions!$M$57,(((AV18-AU18)*Assumptions!$I$77*$E$23*(1+AV$17))+((AV19-AU19)*Assumptions!$I$77*$E$24*(1+AV$17))),0)</f>
        <v>0</v>
      </c>
      <c r="AW27" s="703">
        <f ca="1">-IF(AW9&lt;=Assumptions!$M$57,(((AW18-AV18)*Assumptions!$I$77*$E$23*(1+AW$17))+((AW19-AV19)*Assumptions!$I$77*$E$24*(1+AW$17))),0)</f>
        <v>0</v>
      </c>
      <c r="AX27" s="703">
        <f ca="1">-IF(AX9&lt;=Assumptions!$M$57,(((AX18-AW18)*Assumptions!$I$77*$E$23*(1+AX$17))+((AX19-AW19)*Assumptions!$I$77*$E$24*(1+AX$17))),0)</f>
        <v>0</v>
      </c>
      <c r="AY27" s="703">
        <f ca="1">-IF(AY9&lt;=Assumptions!$M$57,(((AY18-AX18)*Assumptions!$I$77*$E$23*(1+AY$17))+((AY19-AX19)*Assumptions!$I$77*$E$24*(1+AY$17))),0)</f>
        <v>0</v>
      </c>
      <c r="AZ27" s="703">
        <f ca="1">-IF(AZ9&lt;=Assumptions!$M$57,(((AZ18-AY18)*Assumptions!$I$77*$E$23*(1+AZ$17))+((AZ19-AY19)*Assumptions!$I$77*$E$24*(1+AZ$17))),0)</f>
        <v>0</v>
      </c>
      <c r="BA27" s="703">
        <f ca="1">-IF(BA9&lt;=Assumptions!$M$57,(((BA18-AZ18)*Assumptions!$I$77*$E$23*(1+BA$17))+((BA19-AZ19)*Assumptions!$I$77*$E$24*(1+BA$17))),0)</f>
        <v>0</v>
      </c>
      <c r="BB27" s="703">
        <f ca="1">-IF(BB9&lt;=Assumptions!$M$57,(((BB18-BA18)*Assumptions!$I$77*$E$23*(1+BB$17))+((BB19-BA19)*Assumptions!$I$77*$E$24*(1+BB$17))),0)</f>
        <v>0</v>
      </c>
      <c r="BC27" s="703">
        <f ca="1">-IF(BC9&lt;=Assumptions!$M$57,(((BC18-BB18)*Assumptions!$I$77*$E$23*(1+BC$17))+((BC19-BB19)*Assumptions!$I$77*$E$24*(1+BC$17))),0)</f>
        <v>0</v>
      </c>
      <c r="BD27" s="703">
        <f ca="1">-IF(BD9&lt;=Assumptions!$M$57,(((BD18-BC18)*Assumptions!$I$77*$E$23*(1+BD$17))+((BD19-BC19)*Assumptions!$I$77*$E$24*(1+BD$17))),0)</f>
        <v>0</v>
      </c>
      <c r="BE27" s="703">
        <f ca="1">-IF(BE9&lt;=Assumptions!$M$57,(((BE18-BD18)*Assumptions!$I$77*$E$23*(1+BE$17))+((BE19-BD19)*Assumptions!$I$77*$E$24*(1+BE$17))),0)</f>
        <v>0</v>
      </c>
      <c r="BF27" s="703">
        <f ca="1">-IF(BF9&lt;=Assumptions!$M$57,(((BF18-BE18)*Assumptions!$I$77*$E$23*(1+BF$17))+((BF19-BE19)*Assumptions!$I$77*$E$24*(1+BF$17))),0)</f>
        <v>0</v>
      </c>
      <c r="BG27" s="703">
        <f ca="1">-IF(BG9&lt;=Assumptions!$M$57,(((BG18-BF18)*Assumptions!$I$77*$E$23*(1+BG$17))+((BG19-BF19)*Assumptions!$I$77*$E$24*(1+BG$17))),0)</f>
        <v>0</v>
      </c>
      <c r="BH27" s="703">
        <f ca="1">-IF(BH9&lt;=Assumptions!$M$57,(((BH18-BG18)*Assumptions!$I$77*$E$23*(1+BH$17))+((BH19-BG19)*Assumptions!$I$77*$E$24*(1+BH$17))),0)</f>
        <v>0</v>
      </c>
      <c r="BI27" s="703">
        <f ca="1">-IF(BI9&lt;=Assumptions!$M$57,(((BI18-BH18)*Assumptions!$I$77*$E$23*(1+BI$17))+((BI19-BH19)*Assumptions!$I$77*$E$24*(1+BI$17))),0)</f>
        <v>0</v>
      </c>
      <c r="BJ27" s="703">
        <f ca="1">-IF(BJ9&lt;=Assumptions!$M$57,(((BJ18-BI18)*Assumptions!$I$77*$E$23*(1+BJ$17))+((BJ19-BI19)*Assumptions!$I$77*$E$24*(1+BJ$17))),0)</f>
        <v>0</v>
      </c>
      <c r="BK27" s="703">
        <f ca="1">-IF(BK9&lt;=Assumptions!$M$57,(((BK18-BJ18)*Assumptions!$I$77*$E$23*(1+BK$17))+((BK19-BJ19)*Assumptions!$I$77*$E$24*(1+BK$17))),0)</f>
        <v>0</v>
      </c>
      <c r="BL27" s="703">
        <f ca="1">-IF(BL9&lt;=Assumptions!$M$57,(((BL18-BK18)*Assumptions!$I$77*$E$23*(1+BL$17))+((BL19-BK19)*Assumptions!$I$77*$E$24*(1+BL$17))),0)</f>
        <v>0</v>
      </c>
      <c r="BM27" s="703">
        <f ca="1">-IF(BM9&lt;=Assumptions!$M$57,(((BM18-BL18)*Assumptions!$I$77*$E$23*(1+BM$17))+((BM19-BL19)*Assumptions!$I$77*$E$24*(1+BM$17))),0)</f>
        <v>0</v>
      </c>
      <c r="BN27" s="703">
        <f ca="1">-IF(BN9&lt;=Assumptions!$M$57,(((BN18-BM18)*Assumptions!$I$77*$E$23*(1+BN$17))+((BN19-BM19)*Assumptions!$I$77*$E$24*(1+BN$17))),0)</f>
        <v>0</v>
      </c>
      <c r="BO27" s="703">
        <f ca="1">-IF(BO9&lt;=Assumptions!$M$57,(((BO18-BN18)*Assumptions!$I$77*$E$23*(1+BO$17))+((BO19-BN19)*Assumptions!$I$77*$E$24*(1+BO$17))),0)</f>
        <v>0</v>
      </c>
      <c r="BP27" s="703">
        <f ca="1">-IF(BP9&lt;=Assumptions!$M$57,(((BP18-BO18)*Assumptions!$I$77*$E$23*(1+BP$17))+((BP19-BO19)*Assumptions!$I$77*$E$24*(1+BP$17))),0)</f>
        <v>0</v>
      </c>
      <c r="BQ27" s="703">
        <f ca="1">-IF(BQ9&lt;=Assumptions!$M$57,(((BQ18-BP18)*Assumptions!$I$77*$E$23*(1+BQ$17))+((BQ19-BP19)*Assumptions!$I$77*$E$24*(1+BQ$17))),0)</f>
        <v>0</v>
      </c>
      <c r="BR27" s="703">
        <f ca="1">-IF(BR9&lt;=Assumptions!$M$57,(((BR18-BQ18)*Assumptions!$I$77*$E$23*(1+BR$17))+((BR19-BQ19)*Assumptions!$I$77*$E$24*(1+BR$17))),0)</f>
        <v>0</v>
      </c>
      <c r="BS27" s="703">
        <f ca="1">-IF(BS9&lt;=Assumptions!$M$57,(((BS18-BR18)*Assumptions!$I$77*$E$23*(1+BS$17))+((BS19-BR19)*Assumptions!$I$77*$E$24*(1+BS$17))),0)</f>
        <v>0</v>
      </c>
      <c r="BT27" s="703">
        <f ca="1">-IF(BT9&lt;=Assumptions!$M$57,(((BT18-BS18)*Assumptions!$I$77*$E$23*(1+BT$17))+((BT19-BS19)*Assumptions!$I$77*$E$24*(1+BT$17))),0)</f>
        <v>0</v>
      </c>
      <c r="BU27" s="703">
        <f ca="1">-IF(BU9&lt;=Assumptions!$M$57,(((BU18-BT18)*Assumptions!$I$77*$E$23*(1+BU$17))+((BU19-BT19)*Assumptions!$I$77*$E$24*(1+BU$17))),0)</f>
        <v>0</v>
      </c>
      <c r="BV27" s="703">
        <f ca="1">-IF(BV9&lt;=Assumptions!$M$57,(((BV18-BU18)*Assumptions!$I$77*$E$23*(1+BV$17))+((BV19-BU19)*Assumptions!$I$77*$E$24*(1+BV$17))),0)</f>
        <v>0</v>
      </c>
      <c r="BW27" s="703">
        <f ca="1">-IF(BW9&lt;=Assumptions!$M$57,(((BW18-BV18)*Assumptions!$I$77*$E$23*(1+BW$17))+((BW19-BV19)*Assumptions!$I$77*$E$24*(1+BW$17))),0)</f>
        <v>0</v>
      </c>
      <c r="BX27" s="703">
        <f ca="1">-IF(BX9&lt;=Assumptions!$M$57,(((BX18-BW18)*Assumptions!$I$77*$E$23*(1+BX$17))+((BX19-BW19)*Assumptions!$I$77*$E$24*(1+BX$17))),0)</f>
        <v>0</v>
      </c>
      <c r="BY27" s="703">
        <f ca="1">-IF(BY9&lt;=Assumptions!$M$57,(((BY18-BX18)*Assumptions!$I$77*$E$23*(1+BY$17))+((BY19-BX19)*Assumptions!$I$77*$E$24*(1+BY$17))),0)</f>
        <v>0</v>
      </c>
      <c r="BZ27" s="703">
        <f ca="1">-IF(BZ9&lt;=Assumptions!$M$57,(((BZ18-BY18)*Assumptions!$I$77*$E$23*(1+BZ$17))+((BZ19-BY19)*Assumptions!$I$77*$E$24*(1+BZ$17))),0)</f>
        <v>0</v>
      </c>
      <c r="CA27" s="703">
        <f ca="1">-IF(CA9&lt;=Assumptions!$M$57,(((CA18-BZ18)*Assumptions!$I$77*$E$23*(1+CA$17))+((CA19-BZ19)*Assumptions!$I$77*$E$24*(1+CA$17))),0)</f>
        <v>0</v>
      </c>
      <c r="CB27" s="703">
        <f ca="1">-IF(CB9&lt;=Assumptions!$M$57,(((CB18-CA18)*Assumptions!$I$77*$E$23*(1+CB$17))+((CB19-CA19)*Assumptions!$I$77*$E$24*(1+CB$17))),0)</f>
        <v>0</v>
      </c>
      <c r="CC27" s="703">
        <f ca="1">-IF(CC9&lt;=Assumptions!$M$57,(((CC18-CB18)*Assumptions!$I$77*$E$23*(1+CC$17))+((CC19-CB19)*Assumptions!$I$77*$E$24*(1+CC$17))),0)</f>
        <v>0</v>
      </c>
      <c r="CD27" s="703">
        <f ca="1">-IF(CD9&lt;=Assumptions!$M$57,(((CD18-CC18)*Assumptions!$I$77*$E$23*(1+CD$17))+((CD19-CC19)*Assumptions!$I$77*$E$24*(1+CD$17))),0)</f>
        <v>0</v>
      </c>
      <c r="CE27" s="703">
        <f ca="1">-IF(CE9&lt;=Assumptions!$M$57,(((CE18-CD18)*Assumptions!$I$77*$E$23*(1+CE$17))+((CE19-CD19)*Assumptions!$I$77*$E$24*(1+CE$17))),0)</f>
        <v>0</v>
      </c>
      <c r="CF27" s="703">
        <f ca="1">-IF(CF9&lt;=Assumptions!$M$57,(((CF18-CE18)*Assumptions!$I$77*$E$23*(1+CF$17))+((CF19-CE19)*Assumptions!$I$77*$E$24*(1+CF$17))),0)</f>
        <v>0</v>
      </c>
      <c r="CG27" s="703">
        <f ca="1">-IF(CG9&lt;=Assumptions!$M$57,(((CG18-CF18)*Assumptions!$I$77*$E$23*(1+CG$17))+((CG19-CF19)*Assumptions!$I$77*$E$24*(1+CG$17))),0)</f>
        <v>0</v>
      </c>
      <c r="CH27" s="703">
        <f ca="1">-IF(CH9&lt;=Assumptions!$M$57,(((CH18-CG18)*Assumptions!$I$77*$E$23*(1+CH$17))+((CH19-CG19)*Assumptions!$I$77*$E$24*(1+CH$17))),0)</f>
        <v>0</v>
      </c>
      <c r="CI27" s="703">
        <f ca="1">-IF(CI9&lt;=Assumptions!$M$57,(((CI18-CH18)*Assumptions!$I$77*$E$23*(1+CI$17))+((CI19-CH19)*Assumptions!$I$77*$E$24*(1+CI$17))),0)</f>
        <v>0</v>
      </c>
      <c r="CJ27" s="703">
        <f ca="1">-IF(CJ9&lt;=Assumptions!$M$57,(((CJ18-CI18)*Assumptions!$I$77*$E$23*(1+CJ$17))+((CJ19-CI19)*Assumptions!$I$77*$E$24*(1+CJ$17))),0)</f>
        <v>0</v>
      </c>
      <c r="CK27" s="703">
        <f ca="1">-IF(CK9&lt;=Assumptions!$M$57,(((CK18-CJ18)*Assumptions!$I$77*$E$23*(1+CK$17))+((CK19-CJ19)*Assumptions!$I$77*$E$24*(1+CK$17))),0)</f>
        <v>0</v>
      </c>
      <c r="CL27" s="703">
        <f ca="1">-IF(CL9&lt;=Assumptions!$M$57,(((CL18-CK18)*Assumptions!$I$77*$E$23*(1+CL$17))+((CL19-CK19)*Assumptions!$I$77*$E$24*(1+CL$17))),0)</f>
        <v>0</v>
      </c>
      <c r="CM27" s="703">
        <f ca="1">-IF(CM9&lt;=Assumptions!$M$57,(((CM18-CL18)*Assumptions!$I$77*$E$23*(1+CM$17))+((CM19-CL19)*Assumptions!$I$77*$E$24*(1+CM$17))),0)</f>
        <v>0</v>
      </c>
      <c r="CN27" s="703">
        <f ca="1">-IF(CN9&lt;=Assumptions!$M$57,(((CN18-CM18)*Assumptions!$I$77*$E$23*(1+CN$17))+((CN19-CM19)*Assumptions!$I$77*$E$24*(1+CN$17))),0)</f>
        <v>0</v>
      </c>
      <c r="CO27" s="703">
        <f ca="1">-IF(CO9&lt;=Assumptions!$M$57,(((CO18-CN18)*Assumptions!$I$77*$E$23*(1+CO$17))+((CO19-CN19)*Assumptions!$I$77*$E$24*(1+CO$17))),0)</f>
        <v>0</v>
      </c>
      <c r="CP27" s="703">
        <f ca="1">-IF(CP9&lt;=Assumptions!$M$57,(((CP18-CO18)*Assumptions!$I$77*$E$23*(1+CP$17))+((CP19-CO19)*Assumptions!$I$77*$E$24*(1+CP$17))),0)</f>
        <v>0</v>
      </c>
      <c r="CQ27" s="703">
        <f ca="1">-IF(CQ9&lt;=Assumptions!$M$57,(((CQ18-CP18)*Assumptions!$I$77*$E$23*(1+CQ$17))+((CQ19-CP19)*Assumptions!$I$77*$E$24*(1+CQ$17))),0)</f>
        <v>0</v>
      </c>
      <c r="CR27" s="703">
        <f ca="1">-IF(CR9&lt;=Assumptions!$M$57,(((CR18-CQ18)*Assumptions!$I$77*$E$23*(1+CR$17))+((CR19-CQ19)*Assumptions!$I$77*$E$24*(1+CR$17))),0)</f>
        <v>0</v>
      </c>
      <c r="CS27" s="703">
        <f ca="1">-IF(CS9&lt;=Assumptions!$M$57,(((CS18-CR18)*Assumptions!$I$77*$E$23*(1+CS$17))+((CS19-CR19)*Assumptions!$I$77*$E$24*(1+CS$17))),0)</f>
        <v>0</v>
      </c>
      <c r="CT27" s="703">
        <f ca="1">-IF(CT9&lt;=Assumptions!$M$57,(((CT18-CS18)*Assumptions!$I$77*$E$23*(1+CT$17))+((CT19-CS19)*Assumptions!$I$77*$E$24*(1+CT$17))),0)</f>
        <v>0</v>
      </c>
      <c r="CU27" s="703">
        <f ca="1">-IF(CU9&lt;=Assumptions!$M$57,(((CU18-CT18)*Assumptions!$I$77*$E$23*(1+CU$17))+((CU19-CT19)*Assumptions!$I$77*$E$24*(1+CU$17))),0)</f>
        <v>0</v>
      </c>
      <c r="CV27" s="703">
        <f ca="1">-IF(CV9&lt;=Assumptions!$M$57,(((CV18-CU18)*Assumptions!$I$77*$E$23*(1+CV$17))+((CV19-CU19)*Assumptions!$I$77*$E$24*(1+CV$17))),0)</f>
        <v>0</v>
      </c>
      <c r="CW27" s="703">
        <f ca="1">-IF(CW9&lt;=Assumptions!$M$57,(((CW18-CV18)*Assumptions!$I$77*$E$23*(1+CW$17))+((CW19-CV19)*Assumptions!$I$77*$E$24*(1+CW$17))),0)</f>
        <v>0</v>
      </c>
      <c r="CX27" s="703">
        <f ca="1">-IF(CX9&lt;=Assumptions!$M$57,(((CX18-CW18)*Assumptions!$I$77*$E$23*(1+CX$17))+((CX19-CW19)*Assumptions!$I$77*$E$24*(1+CX$17))),0)</f>
        <v>0</v>
      </c>
      <c r="CY27" s="703">
        <f ca="1">-IF(CY9&lt;=Assumptions!$M$57,(((CY18-CX18)*Assumptions!$I$77*$E$23*(1+CY$17))+((CY19-CX19)*Assumptions!$I$77*$E$24*(1+CY$17))),0)</f>
        <v>0</v>
      </c>
      <c r="CZ27" s="703">
        <f ca="1">-IF(CZ9&lt;=Assumptions!$M$57,(((CZ18-CY18)*Assumptions!$I$77*$E$23*(1+CZ$17))+((CZ19-CY19)*Assumptions!$I$77*$E$24*(1+CZ$17))),0)</f>
        <v>0</v>
      </c>
      <c r="DA27" s="703">
        <f ca="1">-IF(DA9&lt;=Assumptions!$M$57,(((DA18-CZ18)*Assumptions!$I$77*$E$23*(1+DA$17))+((DA19-CZ19)*Assumptions!$I$77*$E$24*(1+DA$17))),0)</f>
        <v>0</v>
      </c>
      <c r="DB27" s="703">
        <f ca="1">-IF(DB9&lt;=Assumptions!$M$57,(((DB18-DA18)*Assumptions!$I$77*$E$23*(1+DB$17))+((DB19-DA19)*Assumptions!$I$77*$E$24*(1+DB$17))),0)</f>
        <v>0</v>
      </c>
      <c r="DC27" s="703">
        <f ca="1">-IF(DC9&lt;=Assumptions!$M$57,(((DC18-DB18)*Assumptions!$I$77*$E$23*(1+DC$17))+((DC19-DB19)*Assumptions!$I$77*$E$24*(1+DC$17))),0)</f>
        <v>0</v>
      </c>
      <c r="DD27" s="703">
        <f ca="1">-IF(DD9&lt;=Assumptions!$M$57,(((DD18-DC18)*Assumptions!$I$77*$E$23*(1+DD$17))+((DD19-DC19)*Assumptions!$I$77*$E$24*(1+DD$17))),0)</f>
        <v>0</v>
      </c>
      <c r="DE27" s="703">
        <f ca="1">-IF(DE9&lt;=Assumptions!$M$57,(((DE18-DD18)*Assumptions!$I$77*$E$23*(1+DE$17))+((DE19-DD19)*Assumptions!$I$77*$E$24*(1+DE$17))),0)</f>
        <v>0</v>
      </c>
      <c r="DF27" s="703">
        <f ca="1">-IF(DF9&lt;=Assumptions!$M$57,(((DF18-DE18)*Assumptions!$I$77*$E$23*(1+DF$17))+((DF19-DE19)*Assumptions!$I$77*$E$24*(1+DF$17))),0)</f>
        <v>0</v>
      </c>
      <c r="DG27" s="703">
        <f ca="1">-IF(DG9&lt;=Assumptions!$M$57,(((DG18-DF18)*Assumptions!$I$77*$E$23*(1+DG$17))+((DG19-DF19)*Assumptions!$I$77*$E$24*(1+DG$17))),0)</f>
        <v>0</v>
      </c>
      <c r="DH27" s="703">
        <f ca="1">-IF(DH9&lt;=Assumptions!$M$57,(((DH18-DG18)*Assumptions!$I$77*$E$23*(1+DH$17))+((DH19-DG19)*Assumptions!$I$77*$E$24*(1+DH$17))),0)</f>
        <v>0</v>
      </c>
      <c r="DI27" s="703">
        <f ca="1">-IF(DI9&lt;=Assumptions!$M$57,(((DI18-DH18)*Assumptions!$I$77*$E$23*(1+DI$17))+((DI19-DH19)*Assumptions!$I$77*$E$24*(1+DI$17))),0)</f>
        <v>0</v>
      </c>
      <c r="DJ27" s="703">
        <f ca="1">-IF(DJ9&lt;=Assumptions!$M$57,(((DJ18-DI18)*Assumptions!$I$77*$E$23*(1+DJ$17))+((DJ19-DI19)*Assumptions!$I$77*$E$24*(1+DJ$17))),0)</f>
        <v>0</v>
      </c>
      <c r="DK27" s="703">
        <f ca="1">-IF(DK9&lt;=Assumptions!$M$57,(((DK18-DJ18)*Assumptions!$I$77*$E$23*(1+DK$17))+((DK19-DJ19)*Assumptions!$I$77*$E$24*(1+DK$17))),0)</f>
        <v>0</v>
      </c>
      <c r="DL27" s="703">
        <f ca="1">-IF(DL9&lt;=Assumptions!$M$57,(((DL18-DK18)*Assumptions!$I$77*$E$23*(1+DL$17))+((DL19-DK19)*Assumptions!$I$77*$E$24*(1+DL$17))),0)</f>
        <v>0</v>
      </c>
      <c r="DM27" s="703">
        <f ca="1">-IF(DM9&lt;=Assumptions!$M$57,(((DM18-DL18)*Assumptions!$I$77*$E$23*(1+DM$17))+((DM19-DL19)*Assumptions!$I$77*$E$24*(1+DM$17))),0)</f>
        <v>0</v>
      </c>
      <c r="DN27" s="703">
        <f ca="1">-IF(DN9&lt;=Assumptions!$M$57,(((DN18-DM18)*Assumptions!$I$77*$E$23*(1+DN$17))+((DN19-DM19)*Assumptions!$I$77*$E$24*(1+DN$17))),0)</f>
        <v>0</v>
      </c>
      <c r="DO27" s="703">
        <f ca="1">-IF(DO9&lt;=Assumptions!$M$57,(((DO18-DN18)*Assumptions!$I$77*$E$23*(1+DO$17))+((DO19-DN19)*Assumptions!$I$77*$E$24*(1+DO$17))),0)</f>
        <v>0</v>
      </c>
      <c r="DP27" s="703">
        <f ca="1">-IF(DP9&lt;=Assumptions!$M$57,(((DP18-DO18)*Assumptions!$I$77*$E$23*(1+DP$17))+((DP19-DO19)*Assumptions!$I$77*$E$24*(1+DP$17))),0)</f>
        <v>0</v>
      </c>
      <c r="DQ27" s="703">
        <f ca="1">-IF(DQ9&lt;=Assumptions!$M$57,(((DQ18-DP18)*Assumptions!$I$77*$E$23*(1+DQ$17))+((DQ19-DP19)*Assumptions!$I$77*$E$24*(1+DQ$17))),0)</f>
        <v>0</v>
      </c>
      <c r="DR27" s="703">
        <f ca="1">-IF(DR9&lt;=Assumptions!$M$57,(((DR18-DQ18)*Assumptions!$I$77*$E$23*(1+DR$17))+((DR19-DQ19)*Assumptions!$I$77*$E$24*(1+DR$17))),0)</f>
        <v>0</v>
      </c>
      <c r="DS27" s="703">
        <f ca="1">-IF(DS9&lt;=Assumptions!$M$57,(((DS18-DR18)*Assumptions!$I$77*$E$23*(1+DS$17))+((DS19-DR19)*Assumptions!$I$77*$E$24*(1+DS$17))),0)</f>
        <v>0</v>
      </c>
      <c r="DT27" s="703">
        <f ca="1">-IF(DT9&lt;=Assumptions!$M$57,(((DT18-DS18)*Assumptions!$I$77*$E$23*(1+DT$17))+((DT19-DS19)*Assumptions!$I$77*$E$24*(1+DT$17))),0)</f>
        <v>0</v>
      </c>
      <c r="DU27" s="703">
        <f ca="1">-IF(DU9&lt;=Assumptions!$M$57,(((DU18-DT18)*Assumptions!$I$77*$E$23*(1+DU$17))+((DU19-DT19)*Assumptions!$I$77*$E$24*(1+DU$17))),0)</f>
        <v>0</v>
      </c>
      <c r="DV27" s="703">
        <f ca="1">-IF(DV9&lt;=Assumptions!$M$57,(((DV18-DU18)*Assumptions!$I$77*$E$23*(1+DV$17))+((DV19-DU19)*Assumptions!$I$77*$E$24*(1+DV$17))),0)</f>
        <v>0</v>
      </c>
      <c r="DW27" s="703">
        <f ca="1">-IF(DW9&lt;=Assumptions!$M$57,(((DW18-DV18)*Assumptions!$I$77*$E$23*(1+DW$17))+((DW19-DV19)*Assumptions!$I$77*$E$24*(1+DW$17))),0)</f>
        <v>0</v>
      </c>
      <c r="DX27" s="703">
        <f ca="1">-IF(DX9&lt;=Assumptions!$M$57,(((DX18-DW18)*Assumptions!$I$77*$E$23*(1+DX$17))+((DX19-DW19)*Assumptions!$I$77*$E$24*(1+DX$17))),0)</f>
        <v>0</v>
      </c>
      <c r="DY27" s="703">
        <f ca="1">-IF(DY9&lt;=Assumptions!$M$57,(((DY18-DX18)*Assumptions!$I$77*$E$23*(1+DY$17))+((DY19-DX19)*Assumptions!$I$77*$E$24*(1+DY$17))),0)</f>
        <v>0</v>
      </c>
      <c r="DZ27" s="703">
        <f ca="1">-IF(DZ9&lt;=Assumptions!$M$57,(((DZ18-DY18)*Assumptions!$I$77*$E$23*(1+DZ$17))+((DZ19-DY19)*Assumptions!$I$77*$E$24*(1+DZ$17))),0)</f>
        <v>0</v>
      </c>
      <c r="EA27" s="703">
        <f ca="1">-IF(EA9&lt;=Assumptions!$M$57,(((EA18-DZ18)*Assumptions!$I$77*$E$23*(1+EA$17))+((EA19-DZ19)*Assumptions!$I$77*$E$24*(1+EA$17))),0)</f>
        <v>0</v>
      </c>
      <c r="EB27" s="389"/>
      <c r="EC27" s="392" t="s">
        <v>65</v>
      </c>
    </row>
    <row r="28" spans="1:133" s="390" customFormat="1" outlineLevel="1">
      <c r="A28" s="389"/>
      <c r="B28" s="389"/>
      <c r="C28" s="389"/>
      <c r="D28" s="410" t="s">
        <v>33</v>
      </c>
      <c r="E28" s="411"/>
      <c r="F28" s="411"/>
      <c r="G28" s="411"/>
      <c r="H28" s="411"/>
      <c r="I28" s="797">
        <f t="shared" ca="1" si="23"/>
        <v>0</v>
      </c>
      <c r="J28" s="701"/>
      <c r="K28" s="411"/>
      <c r="L28" s="411">
        <f t="shared" ref="L28:AQ28" ca="1" si="24">SUM(L23:L25)+SUM(L27:L27)</f>
        <v>0</v>
      </c>
      <c r="M28" s="411">
        <f t="shared" ca="1" si="24"/>
        <v>0</v>
      </c>
      <c r="N28" s="411">
        <f t="shared" ca="1" si="24"/>
        <v>0</v>
      </c>
      <c r="O28" s="411">
        <f t="shared" ca="1" si="24"/>
        <v>0</v>
      </c>
      <c r="P28" s="411">
        <f t="shared" ca="1" si="24"/>
        <v>0</v>
      </c>
      <c r="Q28" s="411">
        <f t="shared" ca="1" si="24"/>
        <v>0</v>
      </c>
      <c r="R28" s="411">
        <f t="shared" ca="1" si="24"/>
        <v>0</v>
      </c>
      <c r="S28" s="411">
        <f t="shared" ca="1" si="24"/>
        <v>0</v>
      </c>
      <c r="T28" s="411">
        <f t="shared" ca="1" si="24"/>
        <v>0</v>
      </c>
      <c r="U28" s="411">
        <f t="shared" ca="1" si="24"/>
        <v>0</v>
      </c>
      <c r="V28" s="411">
        <f t="shared" ca="1" si="24"/>
        <v>0</v>
      </c>
      <c r="W28" s="411">
        <f t="shared" ca="1" si="24"/>
        <v>0</v>
      </c>
      <c r="X28" s="411">
        <f t="shared" ca="1" si="24"/>
        <v>0</v>
      </c>
      <c r="Y28" s="411">
        <f t="shared" ca="1" si="24"/>
        <v>0</v>
      </c>
      <c r="Z28" s="411">
        <f t="shared" ca="1" si="24"/>
        <v>0</v>
      </c>
      <c r="AA28" s="411">
        <f t="shared" ca="1" si="24"/>
        <v>0</v>
      </c>
      <c r="AB28" s="411">
        <f t="shared" ca="1" si="24"/>
        <v>0</v>
      </c>
      <c r="AC28" s="411">
        <f t="shared" ca="1" si="24"/>
        <v>0</v>
      </c>
      <c r="AD28" s="411">
        <f t="shared" ca="1" si="24"/>
        <v>0</v>
      </c>
      <c r="AE28" s="411">
        <f t="shared" ca="1" si="24"/>
        <v>0</v>
      </c>
      <c r="AF28" s="411">
        <f t="shared" ca="1" si="24"/>
        <v>0</v>
      </c>
      <c r="AG28" s="411">
        <f t="shared" ca="1" si="24"/>
        <v>0</v>
      </c>
      <c r="AH28" s="411">
        <f t="shared" ca="1" si="24"/>
        <v>0</v>
      </c>
      <c r="AI28" s="411">
        <f t="shared" ca="1" si="24"/>
        <v>0</v>
      </c>
      <c r="AJ28" s="411">
        <f t="shared" ca="1" si="24"/>
        <v>0</v>
      </c>
      <c r="AK28" s="411">
        <f t="shared" ca="1" si="24"/>
        <v>0</v>
      </c>
      <c r="AL28" s="411">
        <f t="shared" ca="1" si="24"/>
        <v>0</v>
      </c>
      <c r="AM28" s="411">
        <f t="shared" ca="1" si="24"/>
        <v>0</v>
      </c>
      <c r="AN28" s="411">
        <f t="shared" ca="1" si="24"/>
        <v>0</v>
      </c>
      <c r="AO28" s="411">
        <f t="shared" ca="1" si="24"/>
        <v>0</v>
      </c>
      <c r="AP28" s="411">
        <f t="shared" ca="1" si="24"/>
        <v>0</v>
      </c>
      <c r="AQ28" s="411">
        <f t="shared" ca="1" si="24"/>
        <v>0</v>
      </c>
      <c r="AR28" s="411">
        <f t="shared" ref="AR28:BW28" ca="1" si="25">SUM(AR23:AR25)+SUM(AR27:AR27)</f>
        <v>0</v>
      </c>
      <c r="AS28" s="411">
        <f t="shared" ca="1" si="25"/>
        <v>0</v>
      </c>
      <c r="AT28" s="411">
        <f t="shared" ca="1" si="25"/>
        <v>0</v>
      </c>
      <c r="AU28" s="411">
        <f t="shared" ca="1" si="25"/>
        <v>0</v>
      </c>
      <c r="AV28" s="411">
        <f t="shared" ca="1" si="25"/>
        <v>0</v>
      </c>
      <c r="AW28" s="411">
        <f t="shared" ca="1" si="25"/>
        <v>0</v>
      </c>
      <c r="AX28" s="411">
        <f t="shared" ca="1" si="25"/>
        <v>0</v>
      </c>
      <c r="AY28" s="411">
        <f t="shared" ca="1" si="25"/>
        <v>0</v>
      </c>
      <c r="AZ28" s="411">
        <f t="shared" ca="1" si="25"/>
        <v>0</v>
      </c>
      <c r="BA28" s="411">
        <f t="shared" ca="1" si="25"/>
        <v>0</v>
      </c>
      <c r="BB28" s="411">
        <f t="shared" ca="1" si="25"/>
        <v>0</v>
      </c>
      <c r="BC28" s="411">
        <f t="shared" ca="1" si="25"/>
        <v>0</v>
      </c>
      <c r="BD28" s="411">
        <f t="shared" ca="1" si="25"/>
        <v>0</v>
      </c>
      <c r="BE28" s="411">
        <f t="shared" ca="1" si="25"/>
        <v>0</v>
      </c>
      <c r="BF28" s="411">
        <f t="shared" ca="1" si="25"/>
        <v>0</v>
      </c>
      <c r="BG28" s="411">
        <f t="shared" ca="1" si="25"/>
        <v>0</v>
      </c>
      <c r="BH28" s="411">
        <f t="shared" ca="1" si="25"/>
        <v>0</v>
      </c>
      <c r="BI28" s="411">
        <f t="shared" ca="1" si="25"/>
        <v>0</v>
      </c>
      <c r="BJ28" s="411">
        <f t="shared" ca="1" si="25"/>
        <v>0</v>
      </c>
      <c r="BK28" s="411">
        <f t="shared" ca="1" si="25"/>
        <v>0</v>
      </c>
      <c r="BL28" s="411">
        <f t="shared" ca="1" si="25"/>
        <v>0</v>
      </c>
      <c r="BM28" s="411">
        <f t="shared" ca="1" si="25"/>
        <v>0</v>
      </c>
      <c r="BN28" s="411">
        <f t="shared" ca="1" si="25"/>
        <v>0</v>
      </c>
      <c r="BO28" s="411">
        <f t="shared" ca="1" si="25"/>
        <v>0</v>
      </c>
      <c r="BP28" s="411">
        <f t="shared" ca="1" si="25"/>
        <v>0</v>
      </c>
      <c r="BQ28" s="411">
        <f t="shared" ca="1" si="25"/>
        <v>0</v>
      </c>
      <c r="BR28" s="411">
        <f t="shared" ca="1" si="25"/>
        <v>0</v>
      </c>
      <c r="BS28" s="411">
        <f t="shared" ca="1" si="25"/>
        <v>0</v>
      </c>
      <c r="BT28" s="411">
        <f t="shared" ca="1" si="25"/>
        <v>0</v>
      </c>
      <c r="BU28" s="411">
        <f t="shared" ca="1" si="25"/>
        <v>0</v>
      </c>
      <c r="BV28" s="411">
        <f t="shared" ca="1" si="25"/>
        <v>0</v>
      </c>
      <c r="BW28" s="411">
        <f t="shared" ca="1" si="25"/>
        <v>0</v>
      </c>
      <c r="BX28" s="411">
        <f t="shared" ref="BX28:DC28" ca="1" si="26">SUM(BX23:BX25)+SUM(BX27:BX27)</f>
        <v>0</v>
      </c>
      <c r="BY28" s="411">
        <f t="shared" ca="1" si="26"/>
        <v>0</v>
      </c>
      <c r="BZ28" s="411">
        <f t="shared" ca="1" si="26"/>
        <v>0</v>
      </c>
      <c r="CA28" s="411">
        <f t="shared" ca="1" si="26"/>
        <v>0</v>
      </c>
      <c r="CB28" s="411">
        <f t="shared" ca="1" si="26"/>
        <v>0</v>
      </c>
      <c r="CC28" s="411">
        <f t="shared" ca="1" si="26"/>
        <v>0</v>
      </c>
      <c r="CD28" s="411">
        <f t="shared" ca="1" si="26"/>
        <v>0</v>
      </c>
      <c r="CE28" s="411">
        <f t="shared" ca="1" si="26"/>
        <v>0</v>
      </c>
      <c r="CF28" s="411">
        <f t="shared" ca="1" si="26"/>
        <v>0</v>
      </c>
      <c r="CG28" s="411">
        <f t="shared" ca="1" si="26"/>
        <v>0</v>
      </c>
      <c r="CH28" s="411">
        <f t="shared" ca="1" si="26"/>
        <v>0</v>
      </c>
      <c r="CI28" s="411">
        <f t="shared" ca="1" si="26"/>
        <v>0</v>
      </c>
      <c r="CJ28" s="411">
        <f t="shared" ca="1" si="26"/>
        <v>0</v>
      </c>
      <c r="CK28" s="411">
        <f t="shared" ca="1" si="26"/>
        <v>0</v>
      </c>
      <c r="CL28" s="411">
        <f t="shared" ca="1" si="26"/>
        <v>0</v>
      </c>
      <c r="CM28" s="411">
        <f t="shared" ca="1" si="26"/>
        <v>0</v>
      </c>
      <c r="CN28" s="411">
        <f t="shared" ca="1" si="26"/>
        <v>0</v>
      </c>
      <c r="CO28" s="411">
        <f t="shared" ca="1" si="26"/>
        <v>0</v>
      </c>
      <c r="CP28" s="411">
        <f t="shared" ca="1" si="26"/>
        <v>0</v>
      </c>
      <c r="CQ28" s="411">
        <f t="shared" ca="1" si="26"/>
        <v>0</v>
      </c>
      <c r="CR28" s="411">
        <f t="shared" ca="1" si="26"/>
        <v>0</v>
      </c>
      <c r="CS28" s="411">
        <f t="shared" ca="1" si="26"/>
        <v>0</v>
      </c>
      <c r="CT28" s="411">
        <f t="shared" ca="1" si="26"/>
        <v>0</v>
      </c>
      <c r="CU28" s="411">
        <f t="shared" ca="1" si="26"/>
        <v>0</v>
      </c>
      <c r="CV28" s="411">
        <f t="shared" ca="1" si="26"/>
        <v>0</v>
      </c>
      <c r="CW28" s="411">
        <f t="shared" ca="1" si="26"/>
        <v>0</v>
      </c>
      <c r="CX28" s="411">
        <f t="shared" ca="1" si="26"/>
        <v>0</v>
      </c>
      <c r="CY28" s="411">
        <f t="shared" ca="1" si="26"/>
        <v>0</v>
      </c>
      <c r="CZ28" s="411">
        <f t="shared" ca="1" si="26"/>
        <v>0</v>
      </c>
      <c r="DA28" s="411">
        <f t="shared" ca="1" si="26"/>
        <v>0</v>
      </c>
      <c r="DB28" s="411">
        <f t="shared" ca="1" si="26"/>
        <v>0</v>
      </c>
      <c r="DC28" s="411">
        <f t="shared" ca="1" si="26"/>
        <v>0</v>
      </c>
      <c r="DD28" s="411">
        <f t="shared" ref="DD28:EA28" ca="1" si="27">SUM(DD23:DD25)+SUM(DD27:DD27)</f>
        <v>0</v>
      </c>
      <c r="DE28" s="411">
        <f t="shared" ca="1" si="27"/>
        <v>0</v>
      </c>
      <c r="DF28" s="411">
        <f t="shared" ca="1" si="27"/>
        <v>0</v>
      </c>
      <c r="DG28" s="411">
        <f t="shared" ca="1" si="27"/>
        <v>0</v>
      </c>
      <c r="DH28" s="411">
        <f t="shared" ca="1" si="27"/>
        <v>0</v>
      </c>
      <c r="DI28" s="411">
        <f t="shared" ca="1" si="27"/>
        <v>0</v>
      </c>
      <c r="DJ28" s="411">
        <f t="shared" ca="1" si="27"/>
        <v>0</v>
      </c>
      <c r="DK28" s="411">
        <f t="shared" ca="1" si="27"/>
        <v>0</v>
      </c>
      <c r="DL28" s="411">
        <f t="shared" ca="1" si="27"/>
        <v>0</v>
      </c>
      <c r="DM28" s="411">
        <f t="shared" ca="1" si="27"/>
        <v>0</v>
      </c>
      <c r="DN28" s="411">
        <f t="shared" ca="1" si="27"/>
        <v>0</v>
      </c>
      <c r="DO28" s="411">
        <f t="shared" ca="1" si="27"/>
        <v>0</v>
      </c>
      <c r="DP28" s="411">
        <f t="shared" ca="1" si="27"/>
        <v>0</v>
      </c>
      <c r="DQ28" s="411">
        <f t="shared" ca="1" si="27"/>
        <v>0</v>
      </c>
      <c r="DR28" s="411">
        <f t="shared" ca="1" si="27"/>
        <v>0</v>
      </c>
      <c r="DS28" s="411">
        <f t="shared" ca="1" si="27"/>
        <v>0</v>
      </c>
      <c r="DT28" s="411">
        <f t="shared" ca="1" si="27"/>
        <v>0</v>
      </c>
      <c r="DU28" s="411">
        <f t="shared" ca="1" si="27"/>
        <v>0</v>
      </c>
      <c r="DV28" s="411">
        <f t="shared" ca="1" si="27"/>
        <v>0</v>
      </c>
      <c r="DW28" s="411">
        <f t="shared" ca="1" si="27"/>
        <v>0</v>
      </c>
      <c r="DX28" s="411">
        <f t="shared" ca="1" si="27"/>
        <v>0</v>
      </c>
      <c r="DY28" s="411">
        <f t="shared" ca="1" si="27"/>
        <v>0</v>
      </c>
      <c r="DZ28" s="411">
        <f t="shared" ca="1" si="27"/>
        <v>0</v>
      </c>
      <c r="EA28" s="411">
        <f t="shared" ca="1" si="27"/>
        <v>0</v>
      </c>
      <c r="EB28" s="389"/>
      <c r="EC28" s="392" t="s">
        <v>65</v>
      </c>
    </row>
    <row r="29" spans="1:133" s="390" customFormat="1" outlineLevel="1">
      <c r="A29" s="389"/>
      <c r="B29" s="389"/>
      <c r="C29" s="389"/>
      <c r="D29" s="412"/>
      <c r="E29" s="701"/>
      <c r="F29" s="701"/>
      <c r="G29" s="389"/>
      <c r="H29" s="701"/>
      <c r="I29" s="798"/>
      <c r="J29" s="701"/>
      <c r="K29" s="413"/>
      <c r="L29" s="413"/>
      <c r="M29" s="413"/>
      <c r="N29" s="413"/>
      <c r="O29" s="413"/>
      <c r="P29" s="413"/>
      <c r="Q29" s="413"/>
      <c r="R29" s="413"/>
      <c r="S29" s="413"/>
      <c r="T29" s="413"/>
      <c r="U29" s="413"/>
      <c r="V29" s="413"/>
      <c r="W29" s="413"/>
      <c r="X29" s="413"/>
      <c r="Y29" s="413"/>
      <c r="Z29" s="413"/>
      <c r="AA29" s="413"/>
      <c r="AB29" s="413"/>
      <c r="AC29" s="413"/>
      <c r="AD29" s="413"/>
      <c r="AE29" s="413"/>
      <c r="AF29" s="413"/>
      <c r="AG29" s="413"/>
      <c r="AH29" s="413"/>
      <c r="AI29" s="413"/>
      <c r="AJ29" s="413"/>
      <c r="AK29" s="413"/>
      <c r="AL29" s="413"/>
      <c r="AM29" s="413"/>
      <c r="AN29" s="413"/>
      <c r="AO29" s="413"/>
      <c r="AP29" s="413"/>
      <c r="AQ29" s="413"/>
      <c r="AR29" s="413"/>
      <c r="AS29" s="413"/>
      <c r="AT29" s="413"/>
      <c r="AU29" s="413"/>
      <c r="AV29" s="413"/>
      <c r="AW29" s="413"/>
      <c r="AX29" s="413"/>
      <c r="AY29" s="413"/>
      <c r="AZ29" s="413"/>
      <c r="BA29" s="413"/>
      <c r="BB29" s="413"/>
      <c r="BC29" s="413"/>
      <c r="BD29" s="413"/>
      <c r="BE29" s="413"/>
      <c r="BF29" s="413"/>
      <c r="BG29" s="413"/>
      <c r="BH29" s="413"/>
      <c r="BI29" s="413"/>
      <c r="BJ29" s="413"/>
      <c r="BK29" s="413"/>
      <c r="BL29" s="413"/>
      <c r="BM29" s="413"/>
      <c r="BN29" s="413"/>
      <c r="BO29" s="413"/>
      <c r="BP29" s="413"/>
      <c r="BQ29" s="413"/>
      <c r="BR29" s="413"/>
      <c r="BS29" s="413"/>
      <c r="BT29" s="413"/>
      <c r="BU29" s="413"/>
      <c r="BV29" s="413"/>
      <c r="BW29" s="413"/>
      <c r="BX29" s="413"/>
      <c r="BY29" s="413"/>
      <c r="BZ29" s="413"/>
      <c r="CA29" s="413"/>
      <c r="CB29" s="413"/>
      <c r="CC29" s="413"/>
      <c r="CD29" s="413"/>
      <c r="CE29" s="413"/>
      <c r="CF29" s="413"/>
      <c r="CG29" s="413"/>
      <c r="CH29" s="413"/>
      <c r="CI29" s="413"/>
      <c r="CJ29" s="413"/>
      <c r="CK29" s="413"/>
      <c r="CL29" s="413"/>
      <c r="CM29" s="413"/>
      <c r="CN29" s="413"/>
      <c r="CO29" s="413"/>
      <c r="CP29" s="413"/>
      <c r="CQ29" s="413"/>
      <c r="CR29" s="413"/>
      <c r="CS29" s="413"/>
      <c r="CT29" s="413"/>
      <c r="CU29" s="413"/>
      <c r="CV29" s="413"/>
      <c r="CW29" s="413"/>
      <c r="CX29" s="413"/>
      <c r="CY29" s="413"/>
      <c r="CZ29" s="413"/>
      <c r="DA29" s="413"/>
      <c r="DB29" s="413"/>
      <c r="DC29" s="413"/>
      <c r="DD29" s="413"/>
      <c r="DE29" s="413"/>
      <c r="DF29" s="413"/>
      <c r="DG29" s="413"/>
      <c r="DH29" s="413"/>
      <c r="DI29" s="413"/>
      <c r="DJ29" s="413"/>
      <c r="DK29" s="413"/>
      <c r="DL29" s="413"/>
      <c r="DM29" s="413"/>
      <c r="DN29" s="413"/>
      <c r="DO29" s="413"/>
      <c r="DP29" s="413"/>
      <c r="DQ29" s="413"/>
      <c r="DR29" s="413"/>
      <c r="DS29" s="413"/>
      <c r="DT29" s="413"/>
      <c r="DU29" s="413"/>
      <c r="DV29" s="413"/>
      <c r="DW29" s="413"/>
      <c r="DX29" s="413"/>
      <c r="DY29" s="413"/>
      <c r="DZ29" s="413"/>
      <c r="EA29" s="413"/>
      <c r="EB29" s="389"/>
      <c r="EC29" s="392" t="s">
        <v>65</v>
      </c>
    </row>
    <row r="30" spans="1:133" s="390" customFormat="1" outlineLevel="1">
      <c r="A30" s="389"/>
      <c r="C30" s="389"/>
      <c r="D30" s="412"/>
      <c r="E30" s="711" t="s">
        <v>221</v>
      </c>
      <c r="F30" s="711"/>
      <c r="G30" s="711" t="s">
        <v>249</v>
      </c>
      <c r="H30" s="701"/>
      <c r="I30" s="793"/>
      <c r="J30" s="701"/>
      <c r="K30" s="414"/>
      <c r="L30" s="750">
        <f>INDEX('Annual-CF'!$L$30:$U$30,MATCH('Monthly-CF'!L$9,'Annual-CF'!$L$9:$U$9,0))</f>
        <v>0</v>
      </c>
      <c r="M30" s="750">
        <f>INDEX('Annual-CF'!$L$30:$U$30,MATCH('Monthly-CF'!M$9,'Annual-CF'!$L$9:$U$9,0))</f>
        <v>0</v>
      </c>
      <c r="N30" s="750">
        <f>INDEX('Annual-CF'!$L$30:$U$30,MATCH('Monthly-CF'!N$9,'Annual-CF'!$L$9:$U$9,0))</f>
        <v>0</v>
      </c>
      <c r="O30" s="750">
        <f>INDEX('Annual-CF'!$L$30:$U$30,MATCH('Monthly-CF'!O$9,'Annual-CF'!$L$9:$U$9,0))</f>
        <v>0</v>
      </c>
      <c r="P30" s="750">
        <f>INDEX('Annual-CF'!$L$30:$U$30,MATCH('Monthly-CF'!P$9,'Annual-CF'!$L$9:$U$9,0))</f>
        <v>0</v>
      </c>
      <c r="Q30" s="750">
        <f>INDEX('Annual-CF'!$L$30:$U$30,MATCH('Monthly-CF'!Q$9,'Annual-CF'!$L$9:$U$9,0))</f>
        <v>0</v>
      </c>
      <c r="R30" s="750">
        <f>INDEX('Annual-CF'!$L$30:$U$30,MATCH('Monthly-CF'!R$9,'Annual-CF'!$L$9:$U$9,0))</f>
        <v>0</v>
      </c>
      <c r="S30" s="750">
        <f>INDEX('Annual-CF'!$L$30:$U$30,MATCH('Monthly-CF'!S$9,'Annual-CF'!$L$9:$U$9,0))</f>
        <v>0</v>
      </c>
      <c r="T30" s="750">
        <f>INDEX('Annual-CF'!$L$30:$U$30,MATCH('Monthly-CF'!T$9,'Annual-CF'!$L$9:$U$9,0))</f>
        <v>0</v>
      </c>
      <c r="U30" s="750">
        <f>INDEX('Annual-CF'!$L$30:$U$30,MATCH('Monthly-CF'!U$9,'Annual-CF'!$L$9:$U$9,0))</f>
        <v>0</v>
      </c>
      <c r="V30" s="750">
        <f>INDEX('Annual-CF'!$L$30:$U$30,MATCH('Monthly-CF'!V$9,'Annual-CF'!$L$9:$U$9,0))</f>
        <v>0</v>
      </c>
      <c r="W30" s="750">
        <f>INDEX('Annual-CF'!$L$30:$U$30,MATCH('Monthly-CF'!W$9,'Annual-CF'!$L$9:$U$9,0))</f>
        <v>0</v>
      </c>
      <c r="X30" s="750">
        <f>INDEX('Annual-CF'!$L$30:$U$30,MATCH('Monthly-CF'!X$9,'Annual-CF'!$L$9:$U$9,0))</f>
        <v>0.03</v>
      </c>
      <c r="Y30" s="750">
        <f>INDEX('Annual-CF'!$L$30:$U$30,MATCH('Monthly-CF'!Y$9,'Annual-CF'!$L$9:$U$9,0))</f>
        <v>0.03</v>
      </c>
      <c r="Z30" s="750">
        <f>INDEX('Annual-CF'!$L$30:$U$30,MATCH('Monthly-CF'!Z$9,'Annual-CF'!$L$9:$U$9,0))</f>
        <v>0.03</v>
      </c>
      <c r="AA30" s="750">
        <f>INDEX('Annual-CF'!$L$30:$U$30,MATCH('Monthly-CF'!AA$9,'Annual-CF'!$L$9:$U$9,0))</f>
        <v>0.03</v>
      </c>
      <c r="AB30" s="750">
        <f>INDEX('Annual-CF'!$L$30:$U$30,MATCH('Monthly-CF'!AB$9,'Annual-CF'!$L$9:$U$9,0))</f>
        <v>0.03</v>
      </c>
      <c r="AC30" s="750">
        <f>INDEX('Annual-CF'!$L$30:$U$30,MATCH('Monthly-CF'!AC$9,'Annual-CF'!$L$9:$U$9,0))</f>
        <v>0.03</v>
      </c>
      <c r="AD30" s="750">
        <f>INDEX('Annual-CF'!$L$30:$U$30,MATCH('Monthly-CF'!AD$9,'Annual-CF'!$L$9:$U$9,0))</f>
        <v>0.03</v>
      </c>
      <c r="AE30" s="750">
        <f>INDEX('Annual-CF'!$L$30:$U$30,MATCH('Monthly-CF'!AE$9,'Annual-CF'!$L$9:$U$9,0))</f>
        <v>0.03</v>
      </c>
      <c r="AF30" s="750">
        <f>INDEX('Annual-CF'!$L$30:$U$30,MATCH('Monthly-CF'!AF$9,'Annual-CF'!$L$9:$U$9,0))</f>
        <v>0.03</v>
      </c>
      <c r="AG30" s="750">
        <f>INDEX('Annual-CF'!$L$30:$U$30,MATCH('Monthly-CF'!AG$9,'Annual-CF'!$L$9:$U$9,0))</f>
        <v>0.03</v>
      </c>
      <c r="AH30" s="750">
        <f>INDEX('Annual-CF'!$L$30:$U$30,MATCH('Monthly-CF'!AH$9,'Annual-CF'!$L$9:$U$9,0))</f>
        <v>0.03</v>
      </c>
      <c r="AI30" s="750">
        <f>INDEX('Annual-CF'!$L$30:$U$30,MATCH('Monthly-CF'!AI$9,'Annual-CF'!$L$9:$U$9,0))</f>
        <v>0.03</v>
      </c>
      <c r="AJ30" s="750">
        <f>INDEX('Annual-CF'!$L$30:$U$30,MATCH('Monthly-CF'!AJ$9,'Annual-CF'!$L$9:$U$9,0))</f>
        <v>6.0899999999999954E-2</v>
      </c>
      <c r="AK30" s="750">
        <f>INDEX('Annual-CF'!$L$30:$U$30,MATCH('Monthly-CF'!AK$9,'Annual-CF'!$L$9:$U$9,0))</f>
        <v>6.0899999999999954E-2</v>
      </c>
      <c r="AL30" s="750">
        <f>INDEX('Annual-CF'!$L$30:$U$30,MATCH('Monthly-CF'!AL$9,'Annual-CF'!$L$9:$U$9,0))</f>
        <v>6.0899999999999954E-2</v>
      </c>
      <c r="AM30" s="750">
        <f>INDEX('Annual-CF'!$L$30:$U$30,MATCH('Monthly-CF'!AM$9,'Annual-CF'!$L$9:$U$9,0))</f>
        <v>6.0899999999999954E-2</v>
      </c>
      <c r="AN30" s="750">
        <f>INDEX('Annual-CF'!$L$30:$U$30,MATCH('Monthly-CF'!AN$9,'Annual-CF'!$L$9:$U$9,0))</f>
        <v>6.0899999999999954E-2</v>
      </c>
      <c r="AO30" s="750">
        <f>INDEX('Annual-CF'!$L$30:$U$30,MATCH('Monthly-CF'!AO$9,'Annual-CF'!$L$9:$U$9,0))</f>
        <v>6.0899999999999954E-2</v>
      </c>
      <c r="AP30" s="750">
        <f>INDEX('Annual-CF'!$L$30:$U$30,MATCH('Monthly-CF'!AP$9,'Annual-CF'!$L$9:$U$9,0))</f>
        <v>6.0899999999999954E-2</v>
      </c>
      <c r="AQ30" s="750">
        <f>INDEX('Annual-CF'!$L$30:$U$30,MATCH('Monthly-CF'!AQ$9,'Annual-CF'!$L$9:$U$9,0))</f>
        <v>6.0899999999999954E-2</v>
      </c>
      <c r="AR30" s="750">
        <f>INDEX('Annual-CF'!$L$30:$U$30,MATCH('Monthly-CF'!AR$9,'Annual-CF'!$L$9:$U$9,0))</f>
        <v>6.0899999999999954E-2</v>
      </c>
      <c r="AS30" s="750">
        <f>INDEX('Annual-CF'!$L$30:$U$30,MATCH('Monthly-CF'!AS$9,'Annual-CF'!$L$9:$U$9,0))</f>
        <v>6.0899999999999954E-2</v>
      </c>
      <c r="AT30" s="750">
        <f>INDEX('Annual-CF'!$L$30:$U$30,MATCH('Monthly-CF'!AT$9,'Annual-CF'!$L$9:$U$9,0))</f>
        <v>6.0899999999999954E-2</v>
      </c>
      <c r="AU30" s="750">
        <f>INDEX('Annual-CF'!$L$30:$U$30,MATCH('Monthly-CF'!AU$9,'Annual-CF'!$L$9:$U$9,0))</f>
        <v>6.0899999999999954E-2</v>
      </c>
      <c r="AV30" s="750">
        <f>INDEX('Annual-CF'!$L$30:$U$30,MATCH('Monthly-CF'!AV$9,'Annual-CF'!$L$9:$U$9,0))</f>
        <v>9.2727000000000004E-2</v>
      </c>
      <c r="AW30" s="750">
        <f>INDEX('Annual-CF'!$L$30:$U$30,MATCH('Monthly-CF'!AW$9,'Annual-CF'!$L$9:$U$9,0))</f>
        <v>9.2727000000000004E-2</v>
      </c>
      <c r="AX30" s="750">
        <f>INDEX('Annual-CF'!$L$30:$U$30,MATCH('Monthly-CF'!AX$9,'Annual-CF'!$L$9:$U$9,0))</f>
        <v>9.2727000000000004E-2</v>
      </c>
      <c r="AY30" s="750">
        <f>INDEX('Annual-CF'!$L$30:$U$30,MATCH('Monthly-CF'!AY$9,'Annual-CF'!$L$9:$U$9,0))</f>
        <v>9.2727000000000004E-2</v>
      </c>
      <c r="AZ30" s="750">
        <f>INDEX('Annual-CF'!$L$30:$U$30,MATCH('Monthly-CF'!AZ$9,'Annual-CF'!$L$9:$U$9,0))</f>
        <v>9.2727000000000004E-2</v>
      </c>
      <c r="BA30" s="750">
        <f>INDEX('Annual-CF'!$L$30:$U$30,MATCH('Monthly-CF'!BA$9,'Annual-CF'!$L$9:$U$9,0))</f>
        <v>9.2727000000000004E-2</v>
      </c>
      <c r="BB30" s="750">
        <f>INDEX('Annual-CF'!$L$30:$U$30,MATCH('Monthly-CF'!BB$9,'Annual-CF'!$L$9:$U$9,0))</f>
        <v>9.2727000000000004E-2</v>
      </c>
      <c r="BC30" s="750">
        <f>INDEX('Annual-CF'!$L$30:$U$30,MATCH('Monthly-CF'!BC$9,'Annual-CF'!$L$9:$U$9,0))</f>
        <v>9.2727000000000004E-2</v>
      </c>
      <c r="BD30" s="750">
        <f>INDEX('Annual-CF'!$L$30:$U$30,MATCH('Monthly-CF'!BD$9,'Annual-CF'!$L$9:$U$9,0))</f>
        <v>9.2727000000000004E-2</v>
      </c>
      <c r="BE30" s="750">
        <f>INDEX('Annual-CF'!$L$30:$U$30,MATCH('Monthly-CF'!BE$9,'Annual-CF'!$L$9:$U$9,0))</f>
        <v>9.2727000000000004E-2</v>
      </c>
      <c r="BF30" s="750">
        <f>INDEX('Annual-CF'!$L$30:$U$30,MATCH('Monthly-CF'!BF$9,'Annual-CF'!$L$9:$U$9,0))</f>
        <v>9.2727000000000004E-2</v>
      </c>
      <c r="BG30" s="750">
        <f>INDEX('Annual-CF'!$L$30:$U$30,MATCH('Monthly-CF'!BG$9,'Annual-CF'!$L$9:$U$9,0))</f>
        <v>9.2727000000000004E-2</v>
      </c>
      <c r="BH30" s="750">
        <f>INDEX('Annual-CF'!$L$30:$U$30,MATCH('Monthly-CF'!BH$9,'Annual-CF'!$L$9:$U$9,0))</f>
        <v>0.12550881000000014</v>
      </c>
      <c r="BI30" s="750">
        <f>INDEX('Annual-CF'!$L$30:$U$30,MATCH('Monthly-CF'!BI$9,'Annual-CF'!$L$9:$U$9,0))</f>
        <v>0.12550881000000014</v>
      </c>
      <c r="BJ30" s="750">
        <f>INDEX('Annual-CF'!$L$30:$U$30,MATCH('Monthly-CF'!BJ$9,'Annual-CF'!$L$9:$U$9,0))</f>
        <v>0.12550881000000014</v>
      </c>
      <c r="BK30" s="750">
        <f>INDEX('Annual-CF'!$L$30:$U$30,MATCH('Monthly-CF'!BK$9,'Annual-CF'!$L$9:$U$9,0))</f>
        <v>0.12550881000000014</v>
      </c>
      <c r="BL30" s="750">
        <f>INDEX('Annual-CF'!$L$30:$U$30,MATCH('Monthly-CF'!BL$9,'Annual-CF'!$L$9:$U$9,0))</f>
        <v>0.12550881000000014</v>
      </c>
      <c r="BM30" s="750">
        <f>INDEX('Annual-CF'!$L$30:$U$30,MATCH('Monthly-CF'!BM$9,'Annual-CF'!$L$9:$U$9,0))</f>
        <v>0.12550881000000014</v>
      </c>
      <c r="BN30" s="750">
        <f>INDEX('Annual-CF'!$L$30:$U$30,MATCH('Monthly-CF'!BN$9,'Annual-CF'!$L$9:$U$9,0))</f>
        <v>0.12550881000000014</v>
      </c>
      <c r="BO30" s="750">
        <f>INDEX('Annual-CF'!$L$30:$U$30,MATCH('Monthly-CF'!BO$9,'Annual-CF'!$L$9:$U$9,0))</f>
        <v>0.12550881000000014</v>
      </c>
      <c r="BP30" s="750">
        <f>INDEX('Annual-CF'!$L$30:$U$30,MATCH('Monthly-CF'!BP$9,'Annual-CF'!$L$9:$U$9,0))</f>
        <v>0.12550881000000014</v>
      </c>
      <c r="BQ30" s="750">
        <f>INDEX('Annual-CF'!$L$30:$U$30,MATCH('Monthly-CF'!BQ$9,'Annual-CF'!$L$9:$U$9,0))</f>
        <v>0.12550881000000014</v>
      </c>
      <c r="BR30" s="750">
        <f>INDEX('Annual-CF'!$L$30:$U$30,MATCH('Monthly-CF'!BR$9,'Annual-CF'!$L$9:$U$9,0))</f>
        <v>0.12550881000000014</v>
      </c>
      <c r="BS30" s="750">
        <f>INDEX('Annual-CF'!$L$30:$U$30,MATCH('Monthly-CF'!BS$9,'Annual-CF'!$L$9:$U$9,0))</f>
        <v>0.12550881000000014</v>
      </c>
      <c r="BT30" s="750">
        <f>INDEX('Annual-CF'!$L$30:$U$30,MATCH('Monthly-CF'!BT$9,'Annual-CF'!$L$9:$U$9,0))</f>
        <v>0.15927407430000007</v>
      </c>
      <c r="BU30" s="750">
        <f>INDEX('Annual-CF'!$L$30:$U$30,MATCH('Monthly-CF'!BU$9,'Annual-CF'!$L$9:$U$9,0))</f>
        <v>0.15927407430000007</v>
      </c>
      <c r="BV30" s="750">
        <f>INDEX('Annual-CF'!$L$30:$U$30,MATCH('Monthly-CF'!BV$9,'Annual-CF'!$L$9:$U$9,0))</f>
        <v>0.15927407430000007</v>
      </c>
      <c r="BW30" s="750">
        <f>INDEX('Annual-CF'!$L$30:$U$30,MATCH('Monthly-CF'!BW$9,'Annual-CF'!$L$9:$U$9,0))</f>
        <v>0.15927407430000007</v>
      </c>
      <c r="BX30" s="750">
        <f>INDEX('Annual-CF'!$L$30:$U$30,MATCH('Monthly-CF'!BX$9,'Annual-CF'!$L$9:$U$9,0))</f>
        <v>0.15927407430000007</v>
      </c>
      <c r="BY30" s="750">
        <f>INDEX('Annual-CF'!$L$30:$U$30,MATCH('Monthly-CF'!BY$9,'Annual-CF'!$L$9:$U$9,0))</f>
        <v>0.15927407430000007</v>
      </c>
      <c r="BZ30" s="750">
        <f>INDEX('Annual-CF'!$L$30:$U$30,MATCH('Monthly-CF'!BZ$9,'Annual-CF'!$L$9:$U$9,0))</f>
        <v>0.15927407430000007</v>
      </c>
      <c r="CA30" s="750">
        <f>INDEX('Annual-CF'!$L$30:$U$30,MATCH('Monthly-CF'!CA$9,'Annual-CF'!$L$9:$U$9,0))</f>
        <v>0.15927407430000007</v>
      </c>
      <c r="CB30" s="750">
        <f>INDEX('Annual-CF'!$L$30:$U$30,MATCH('Monthly-CF'!CB$9,'Annual-CF'!$L$9:$U$9,0))</f>
        <v>0.15927407430000007</v>
      </c>
      <c r="CC30" s="750">
        <f>INDEX('Annual-CF'!$L$30:$U$30,MATCH('Monthly-CF'!CC$9,'Annual-CF'!$L$9:$U$9,0))</f>
        <v>0.15927407430000007</v>
      </c>
      <c r="CD30" s="750">
        <f>INDEX('Annual-CF'!$L$30:$U$30,MATCH('Monthly-CF'!CD$9,'Annual-CF'!$L$9:$U$9,0))</f>
        <v>0.15927407430000007</v>
      </c>
      <c r="CE30" s="750">
        <f>INDEX('Annual-CF'!$L$30:$U$30,MATCH('Monthly-CF'!CE$9,'Annual-CF'!$L$9:$U$9,0))</f>
        <v>0.15927407430000007</v>
      </c>
      <c r="CF30" s="750">
        <f>INDEX('Annual-CF'!$L$30:$U$30,MATCH('Monthly-CF'!CF$9,'Annual-CF'!$L$9:$U$9,0))</f>
        <v>0.19405229652900013</v>
      </c>
      <c r="CG30" s="750">
        <f>INDEX('Annual-CF'!$L$30:$U$30,MATCH('Monthly-CF'!CG$9,'Annual-CF'!$L$9:$U$9,0))</f>
        <v>0.19405229652900013</v>
      </c>
      <c r="CH30" s="750">
        <f>INDEX('Annual-CF'!$L$30:$U$30,MATCH('Monthly-CF'!CH$9,'Annual-CF'!$L$9:$U$9,0))</f>
        <v>0.19405229652900013</v>
      </c>
      <c r="CI30" s="750">
        <f>INDEX('Annual-CF'!$L$30:$U$30,MATCH('Monthly-CF'!CI$9,'Annual-CF'!$L$9:$U$9,0))</f>
        <v>0.19405229652900013</v>
      </c>
      <c r="CJ30" s="750">
        <f>INDEX('Annual-CF'!$L$30:$U$30,MATCH('Monthly-CF'!CJ$9,'Annual-CF'!$L$9:$U$9,0))</f>
        <v>0.19405229652900013</v>
      </c>
      <c r="CK30" s="750">
        <f>INDEX('Annual-CF'!$L$30:$U$30,MATCH('Monthly-CF'!CK$9,'Annual-CF'!$L$9:$U$9,0))</f>
        <v>0.19405229652900013</v>
      </c>
      <c r="CL30" s="750">
        <f>INDEX('Annual-CF'!$L$30:$U$30,MATCH('Monthly-CF'!CL$9,'Annual-CF'!$L$9:$U$9,0))</f>
        <v>0.19405229652900013</v>
      </c>
      <c r="CM30" s="750">
        <f>INDEX('Annual-CF'!$L$30:$U$30,MATCH('Monthly-CF'!CM$9,'Annual-CF'!$L$9:$U$9,0))</f>
        <v>0.19405229652900013</v>
      </c>
      <c r="CN30" s="750">
        <f>INDEX('Annual-CF'!$L$30:$U$30,MATCH('Monthly-CF'!CN$9,'Annual-CF'!$L$9:$U$9,0))</f>
        <v>0.19405229652900013</v>
      </c>
      <c r="CO30" s="750">
        <f>INDEX('Annual-CF'!$L$30:$U$30,MATCH('Monthly-CF'!CO$9,'Annual-CF'!$L$9:$U$9,0))</f>
        <v>0.19405229652900013</v>
      </c>
      <c r="CP30" s="750">
        <f>INDEX('Annual-CF'!$L$30:$U$30,MATCH('Monthly-CF'!CP$9,'Annual-CF'!$L$9:$U$9,0))</f>
        <v>0.19405229652900013</v>
      </c>
      <c r="CQ30" s="750">
        <f>INDEX('Annual-CF'!$L$30:$U$30,MATCH('Monthly-CF'!CQ$9,'Annual-CF'!$L$9:$U$9,0))</f>
        <v>0.19405229652900013</v>
      </c>
      <c r="CR30" s="750">
        <f>INDEX('Annual-CF'!$L$30:$U$30,MATCH('Monthly-CF'!CR$9,'Annual-CF'!$L$9:$U$9,0))</f>
        <v>0.22987386542487021</v>
      </c>
      <c r="CS30" s="750">
        <f>INDEX('Annual-CF'!$L$30:$U$30,MATCH('Monthly-CF'!CS$9,'Annual-CF'!$L$9:$U$9,0))</f>
        <v>0.22987386542487021</v>
      </c>
      <c r="CT30" s="750">
        <f>INDEX('Annual-CF'!$L$30:$U$30,MATCH('Monthly-CF'!CT$9,'Annual-CF'!$L$9:$U$9,0))</f>
        <v>0.22987386542487021</v>
      </c>
      <c r="CU30" s="750">
        <f>INDEX('Annual-CF'!$L$30:$U$30,MATCH('Monthly-CF'!CU$9,'Annual-CF'!$L$9:$U$9,0))</f>
        <v>0.22987386542487021</v>
      </c>
      <c r="CV30" s="750">
        <f>INDEX('Annual-CF'!$L$30:$U$30,MATCH('Monthly-CF'!CV$9,'Annual-CF'!$L$9:$U$9,0))</f>
        <v>0.22987386542487021</v>
      </c>
      <c r="CW30" s="750">
        <f>INDEX('Annual-CF'!$L$30:$U$30,MATCH('Monthly-CF'!CW$9,'Annual-CF'!$L$9:$U$9,0))</f>
        <v>0.22987386542487021</v>
      </c>
      <c r="CX30" s="750">
        <f>INDEX('Annual-CF'!$L$30:$U$30,MATCH('Monthly-CF'!CX$9,'Annual-CF'!$L$9:$U$9,0))</f>
        <v>0.22987386542487021</v>
      </c>
      <c r="CY30" s="750">
        <f>INDEX('Annual-CF'!$L$30:$U$30,MATCH('Monthly-CF'!CY$9,'Annual-CF'!$L$9:$U$9,0))</f>
        <v>0.22987386542487021</v>
      </c>
      <c r="CZ30" s="750">
        <f>INDEX('Annual-CF'!$L$30:$U$30,MATCH('Monthly-CF'!CZ$9,'Annual-CF'!$L$9:$U$9,0))</f>
        <v>0.22987386542487021</v>
      </c>
      <c r="DA30" s="750">
        <f>INDEX('Annual-CF'!$L$30:$U$30,MATCH('Monthly-CF'!DA$9,'Annual-CF'!$L$9:$U$9,0))</f>
        <v>0.22987386542487021</v>
      </c>
      <c r="DB30" s="750">
        <f>INDEX('Annual-CF'!$L$30:$U$30,MATCH('Monthly-CF'!DB$9,'Annual-CF'!$L$9:$U$9,0))</f>
        <v>0.22987386542487021</v>
      </c>
      <c r="DC30" s="750">
        <f>INDEX('Annual-CF'!$L$30:$U$30,MATCH('Monthly-CF'!DC$9,'Annual-CF'!$L$9:$U$9,0))</f>
        <v>0.22987386542487021</v>
      </c>
      <c r="DD30" s="750">
        <f>INDEX('Annual-CF'!$L$30:$U$30,MATCH('Monthly-CF'!DD$9,'Annual-CF'!$L$9:$U$9,0))</f>
        <v>0.26677008138761638</v>
      </c>
      <c r="DE30" s="750">
        <f>INDEX('Annual-CF'!$L$30:$U$30,MATCH('Monthly-CF'!DE$9,'Annual-CF'!$L$9:$U$9,0))</f>
        <v>0.26677008138761638</v>
      </c>
      <c r="DF30" s="750">
        <f>INDEX('Annual-CF'!$L$30:$U$30,MATCH('Monthly-CF'!DF$9,'Annual-CF'!$L$9:$U$9,0))</f>
        <v>0.26677008138761638</v>
      </c>
      <c r="DG30" s="750">
        <f>INDEX('Annual-CF'!$L$30:$U$30,MATCH('Monthly-CF'!DG$9,'Annual-CF'!$L$9:$U$9,0))</f>
        <v>0.26677008138761638</v>
      </c>
      <c r="DH30" s="750">
        <f>INDEX('Annual-CF'!$L$30:$U$30,MATCH('Monthly-CF'!DH$9,'Annual-CF'!$L$9:$U$9,0))</f>
        <v>0.26677008138761638</v>
      </c>
      <c r="DI30" s="750">
        <f>INDEX('Annual-CF'!$L$30:$U$30,MATCH('Monthly-CF'!DI$9,'Annual-CF'!$L$9:$U$9,0))</f>
        <v>0.26677008138761638</v>
      </c>
      <c r="DJ30" s="750">
        <f>INDEX('Annual-CF'!$L$30:$U$30,MATCH('Monthly-CF'!DJ$9,'Annual-CF'!$L$9:$U$9,0))</f>
        <v>0.26677008138761638</v>
      </c>
      <c r="DK30" s="750">
        <f>INDEX('Annual-CF'!$L$30:$U$30,MATCH('Monthly-CF'!DK$9,'Annual-CF'!$L$9:$U$9,0))</f>
        <v>0.26677008138761638</v>
      </c>
      <c r="DL30" s="750">
        <f>INDEX('Annual-CF'!$L$30:$U$30,MATCH('Monthly-CF'!DL$9,'Annual-CF'!$L$9:$U$9,0))</f>
        <v>0.26677008138761638</v>
      </c>
      <c r="DM30" s="750">
        <f>INDEX('Annual-CF'!$L$30:$U$30,MATCH('Monthly-CF'!DM$9,'Annual-CF'!$L$9:$U$9,0))</f>
        <v>0.26677008138761638</v>
      </c>
      <c r="DN30" s="750">
        <f>INDEX('Annual-CF'!$L$30:$U$30,MATCH('Monthly-CF'!DN$9,'Annual-CF'!$L$9:$U$9,0))</f>
        <v>0.26677008138761638</v>
      </c>
      <c r="DO30" s="750">
        <f>INDEX('Annual-CF'!$L$30:$U$30,MATCH('Monthly-CF'!DO$9,'Annual-CF'!$L$9:$U$9,0))</f>
        <v>0.26677008138761638</v>
      </c>
      <c r="DP30" s="750">
        <f>INDEX('Annual-CF'!$L$30:$U$30,MATCH('Monthly-CF'!DP$9,'Annual-CF'!$L$9:$U$9,0))</f>
        <v>0.3047731838292449</v>
      </c>
      <c r="DQ30" s="750">
        <f>INDEX('Annual-CF'!$L$30:$U$30,MATCH('Monthly-CF'!DQ$9,'Annual-CF'!$L$9:$U$9,0))</f>
        <v>0.3047731838292449</v>
      </c>
      <c r="DR30" s="750">
        <f>INDEX('Annual-CF'!$L$30:$U$30,MATCH('Monthly-CF'!DR$9,'Annual-CF'!$L$9:$U$9,0))</f>
        <v>0.3047731838292449</v>
      </c>
      <c r="DS30" s="750">
        <f>INDEX('Annual-CF'!$L$30:$U$30,MATCH('Monthly-CF'!DS$9,'Annual-CF'!$L$9:$U$9,0))</f>
        <v>0.3047731838292449</v>
      </c>
      <c r="DT30" s="750">
        <f>INDEX('Annual-CF'!$L$30:$U$30,MATCH('Monthly-CF'!DT$9,'Annual-CF'!$L$9:$U$9,0))</f>
        <v>0.3047731838292449</v>
      </c>
      <c r="DU30" s="750">
        <f>INDEX('Annual-CF'!$L$30:$U$30,MATCH('Monthly-CF'!DU$9,'Annual-CF'!$L$9:$U$9,0))</f>
        <v>0.3047731838292449</v>
      </c>
      <c r="DV30" s="750">
        <f>INDEX('Annual-CF'!$L$30:$U$30,MATCH('Monthly-CF'!DV$9,'Annual-CF'!$L$9:$U$9,0))</f>
        <v>0.3047731838292449</v>
      </c>
      <c r="DW30" s="750">
        <f>INDEX('Annual-CF'!$L$30:$U$30,MATCH('Monthly-CF'!DW$9,'Annual-CF'!$L$9:$U$9,0))</f>
        <v>0.3047731838292449</v>
      </c>
      <c r="DX30" s="750">
        <f>INDEX('Annual-CF'!$L$30:$U$30,MATCH('Monthly-CF'!DX$9,'Annual-CF'!$L$9:$U$9,0))</f>
        <v>0.3047731838292449</v>
      </c>
      <c r="DY30" s="750">
        <f>INDEX('Annual-CF'!$L$30:$U$30,MATCH('Monthly-CF'!DY$9,'Annual-CF'!$L$9:$U$9,0))</f>
        <v>0.3047731838292449</v>
      </c>
      <c r="DZ30" s="750">
        <f>INDEX('Annual-CF'!$L$30:$U$30,MATCH('Monthly-CF'!DZ$9,'Annual-CF'!$L$9:$U$9,0))</f>
        <v>0.3047731838292449</v>
      </c>
      <c r="EA30" s="750">
        <f>INDEX('Annual-CF'!$L$30:$U$30,MATCH('Monthly-CF'!EA$9,'Annual-CF'!$L$9:$U$9,0))</f>
        <v>0.3047731838292449</v>
      </c>
      <c r="EB30" s="389"/>
      <c r="EC30" s="392" t="s">
        <v>65</v>
      </c>
    </row>
    <row r="31" spans="1:133" s="390" customFormat="1" outlineLevel="1">
      <c r="A31" s="389"/>
      <c r="C31" s="389"/>
      <c r="D31" s="416" t="s">
        <v>509</v>
      </c>
      <c r="E31" s="415">
        <f ca="1">Assumptions!I80</f>
        <v>0.87766696703352587</v>
      </c>
      <c r="F31" s="701"/>
      <c r="G31" s="749">
        <f>Assumptions!I81</f>
        <v>0.03</v>
      </c>
      <c r="H31" s="701"/>
      <c r="I31" s="799">
        <f t="shared" ref="I31:I32" ca="1" si="28">SUM(K31:EA31)</f>
        <v>0</v>
      </c>
      <c r="J31" s="701"/>
      <c r="K31" s="417"/>
      <c r="L31" s="417">
        <f t="shared" ref="L31:AQ31" ca="1" si="29">-IF(L13=0,0,((1+L$30)*$E31*$E18))</f>
        <v>0</v>
      </c>
      <c r="M31" s="417">
        <f t="shared" ca="1" si="29"/>
        <v>0</v>
      </c>
      <c r="N31" s="417">
        <f t="shared" ca="1" si="29"/>
        <v>0</v>
      </c>
      <c r="O31" s="417">
        <f t="shared" ca="1" si="29"/>
        <v>0</v>
      </c>
      <c r="P31" s="417">
        <f t="shared" ca="1" si="29"/>
        <v>0</v>
      </c>
      <c r="Q31" s="417">
        <f t="shared" ca="1" si="29"/>
        <v>0</v>
      </c>
      <c r="R31" s="417">
        <f t="shared" ca="1" si="29"/>
        <v>0</v>
      </c>
      <c r="S31" s="417">
        <f t="shared" ca="1" si="29"/>
        <v>0</v>
      </c>
      <c r="T31" s="417">
        <f t="shared" ca="1" si="29"/>
        <v>0</v>
      </c>
      <c r="U31" s="417">
        <f t="shared" ca="1" si="29"/>
        <v>0</v>
      </c>
      <c r="V31" s="417">
        <f t="shared" ca="1" si="29"/>
        <v>0</v>
      </c>
      <c r="W31" s="417">
        <f t="shared" ca="1" si="29"/>
        <v>0</v>
      </c>
      <c r="X31" s="417">
        <f t="shared" ca="1" si="29"/>
        <v>0</v>
      </c>
      <c r="Y31" s="417">
        <f t="shared" ca="1" si="29"/>
        <v>0</v>
      </c>
      <c r="Z31" s="417">
        <f t="shared" ca="1" si="29"/>
        <v>0</v>
      </c>
      <c r="AA31" s="417">
        <f t="shared" ca="1" si="29"/>
        <v>0</v>
      </c>
      <c r="AB31" s="417">
        <f t="shared" ca="1" si="29"/>
        <v>0</v>
      </c>
      <c r="AC31" s="417">
        <f t="shared" ca="1" si="29"/>
        <v>0</v>
      </c>
      <c r="AD31" s="417">
        <f t="shared" ca="1" si="29"/>
        <v>0</v>
      </c>
      <c r="AE31" s="417">
        <f t="shared" ca="1" si="29"/>
        <v>0</v>
      </c>
      <c r="AF31" s="417">
        <f t="shared" ca="1" si="29"/>
        <v>0</v>
      </c>
      <c r="AG31" s="417">
        <f t="shared" ca="1" si="29"/>
        <v>0</v>
      </c>
      <c r="AH31" s="417">
        <f t="shared" ca="1" si="29"/>
        <v>0</v>
      </c>
      <c r="AI31" s="417">
        <f t="shared" ca="1" si="29"/>
        <v>0</v>
      </c>
      <c r="AJ31" s="417">
        <f t="shared" ca="1" si="29"/>
        <v>0</v>
      </c>
      <c r="AK31" s="417">
        <f t="shared" ca="1" si="29"/>
        <v>0</v>
      </c>
      <c r="AL31" s="417">
        <f t="shared" ca="1" si="29"/>
        <v>0</v>
      </c>
      <c r="AM31" s="417">
        <f t="shared" ca="1" si="29"/>
        <v>0</v>
      </c>
      <c r="AN31" s="417">
        <f t="shared" ca="1" si="29"/>
        <v>0</v>
      </c>
      <c r="AO31" s="417">
        <f t="shared" ca="1" si="29"/>
        <v>0</v>
      </c>
      <c r="AP31" s="417">
        <f t="shared" ca="1" si="29"/>
        <v>0</v>
      </c>
      <c r="AQ31" s="417">
        <f t="shared" ca="1" si="29"/>
        <v>0</v>
      </c>
      <c r="AR31" s="417">
        <f t="shared" ref="AR31:BW31" ca="1" si="30">-IF(AR13=0,0,((1+AR$30)*$E31*$E18))</f>
        <v>0</v>
      </c>
      <c r="AS31" s="417">
        <f t="shared" ca="1" si="30"/>
        <v>0</v>
      </c>
      <c r="AT31" s="417">
        <f t="shared" ca="1" si="30"/>
        <v>0</v>
      </c>
      <c r="AU31" s="417">
        <f t="shared" ca="1" si="30"/>
        <v>0</v>
      </c>
      <c r="AV31" s="417">
        <f t="shared" ca="1" si="30"/>
        <v>0</v>
      </c>
      <c r="AW31" s="417">
        <f t="shared" ca="1" si="30"/>
        <v>0</v>
      </c>
      <c r="AX31" s="417">
        <f t="shared" ca="1" si="30"/>
        <v>0</v>
      </c>
      <c r="AY31" s="417">
        <f t="shared" ca="1" si="30"/>
        <v>0</v>
      </c>
      <c r="AZ31" s="417">
        <f t="shared" ca="1" si="30"/>
        <v>0</v>
      </c>
      <c r="BA31" s="417">
        <f t="shared" ca="1" si="30"/>
        <v>0</v>
      </c>
      <c r="BB31" s="417">
        <f t="shared" ca="1" si="30"/>
        <v>0</v>
      </c>
      <c r="BC31" s="417">
        <f t="shared" ca="1" si="30"/>
        <v>0</v>
      </c>
      <c r="BD31" s="417">
        <f t="shared" ca="1" si="30"/>
        <v>0</v>
      </c>
      <c r="BE31" s="417">
        <f t="shared" ca="1" si="30"/>
        <v>0</v>
      </c>
      <c r="BF31" s="417">
        <f t="shared" ca="1" si="30"/>
        <v>0</v>
      </c>
      <c r="BG31" s="417">
        <f t="shared" ca="1" si="30"/>
        <v>0</v>
      </c>
      <c r="BH31" s="417">
        <f t="shared" ca="1" si="30"/>
        <v>0</v>
      </c>
      <c r="BI31" s="417">
        <f t="shared" ca="1" si="30"/>
        <v>0</v>
      </c>
      <c r="BJ31" s="417">
        <f t="shared" ca="1" si="30"/>
        <v>0</v>
      </c>
      <c r="BK31" s="417">
        <f t="shared" ca="1" si="30"/>
        <v>0</v>
      </c>
      <c r="BL31" s="417">
        <f t="shared" ca="1" si="30"/>
        <v>0</v>
      </c>
      <c r="BM31" s="417">
        <f t="shared" ca="1" si="30"/>
        <v>0</v>
      </c>
      <c r="BN31" s="417">
        <f t="shared" ca="1" si="30"/>
        <v>0</v>
      </c>
      <c r="BO31" s="417">
        <f t="shared" ca="1" si="30"/>
        <v>0</v>
      </c>
      <c r="BP31" s="417">
        <f t="shared" ca="1" si="30"/>
        <v>0</v>
      </c>
      <c r="BQ31" s="417">
        <f t="shared" ca="1" si="30"/>
        <v>0</v>
      </c>
      <c r="BR31" s="417">
        <f t="shared" ca="1" si="30"/>
        <v>0</v>
      </c>
      <c r="BS31" s="417">
        <f t="shared" ca="1" si="30"/>
        <v>0</v>
      </c>
      <c r="BT31" s="417">
        <f t="shared" ca="1" si="30"/>
        <v>0</v>
      </c>
      <c r="BU31" s="417">
        <f t="shared" ca="1" si="30"/>
        <v>0</v>
      </c>
      <c r="BV31" s="417">
        <f t="shared" ca="1" si="30"/>
        <v>0</v>
      </c>
      <c r="BW31" s="417">
        <f t="shared" ca="1" si="30"/>
        <v>0</v>
      </c>
      <c r="BX31" s="417">
        <f t="shared" ref="BX31:DC31" ca="1" si="31">-IF(BX13=0,0,((1+BX$30)*$E31*$E18))</f>
        <v>0</v>
      </c>
      <c r="BY31" s="417">
        <f t="shared" ca="1" si="31"/>
        <v>0</v>
      </c>
      <c r="BZ31" s="417">
        <f t="shared" ca="1" si="31"/>
        <v>0</v>
      </c>
      <c r="CA31" s="417">
        <f t="shared" ca="1" si="31"/>
        <v>0</v>
      </c>
      <c r="CB31" s="417">
        <f t="shared" ca="1" si="31"/>
        <v>0</v>
      </c>
      <c r="CC31" s="417">
        <f t="shared" ca="1" si="31"/>
        <v>0</v>
      </c>
      <c r="CD31" s="417">
        <f t="shared" ca="1" si="31"/>
        <v>0</v>
      </c>
      <c r="CE31" s="417">
        <f t="shared" ca="1" si="31"/>
        <v>0</v>
      </c>
      <c r="CF31" s="417">
        <f t="shared" ca="1" si="31"/>
        <v>0</v>
      </c>
      <c r="CG31" s="417">
        <f t="shared" ca="1" si="31"/>
        <v>0</v>
      </c>
      <c r="CH31" s="417">
        <f t="shared" ca="1" si="31"/>
        <v>0</v>
      </c>
      <c r="CI31" s="417">
        <f t="shared" ca="1" si="31"/>
        <v>0</v>
      </c>
      <c r="CJ31" s="417">
        <f t="shared" ca="1" si="31"/>
        <v>0</v>
      </c>
      <c r="CK31" s="417">
        <f t="shared" ca="1" si="31"/>
        <v>0</v>
      </c>
      <c r="CL31" s="417">
        <f t="shared" ca="1" si="31"/>
        <v>0</v>
      </c>
      <c r="CM31" s="417">
        <f t="shared" ca="1" si="31"/>
        <v>0</v>
      </c>
      <c r="CN31" s="417">
        <f t="shared" ca="1" si="31"/>
        <v>0</v>
      </c>
      <c r="CO31" s="417">
        <f t="shared" ca="1" si="31"/>
        <v>0</v>
      </c>
      <c r="CP31" s="417">
        <f t="shared" ca="1" si="31"/>
        <v>0</v>
      </c>
      <c r="CQ31" s="417">
        <f t="shared" ca="1" si="31"/>
        <v>0</v>
      </c>
      <c r="CR31" s="417">
        <f t="shared" ca="1" si="31"/>
        <v>0</v>
      </c>
      <c r="CS31" s="417">
        <f t="shared" ca="1" si="31"/>
        <v>0</v>
      </c>
      <c r="CT31" s="417">
        <f t="shared" ca="1" si="31"/>
        <v>0</v>
      </c>
      <c r="CU31" s="417">
        <f t="shared" ca="1" si="31"/>
        <v>0</v>
      </c>
      <c r="CV31" s="417">
        <f t="shared" ca="1" si="31"/>
        <v>0</v>
      </c>
      <c r="CW31" s="417">
        <f t="shared" ca="1" si="31"/>
        <v>0</v>
      </c>
      <c r="CX31" s="417">
        <f t="shared" ca="1" si="31"/>
        <v>0</v>
      </c>
      <c r="CY31" s="417">
        <f t="shared" ca="1" si="31"/>
        <v>0</v>
      </c>
      <c r="CZ31" s="417">
        <f t="shared" ca="1" si="31"/>
        <v>0</v>
      </c>
      <c r="DA31" s="417">
        <f t="shared" ca="1" si="31"/>
        <v>0</v>
      </c>
      <c r="DB31" s="417">
        <f t="shared" ca="1" si="31"/>
        <v>0</v>
      </c>
      <c r="DC31" s="417">
        <f t="shared" ca="1" si="31"/>
        <v>0</v>
      </c>
      <c r="DD31" s="417">
        <f t="shared" ref="DD31:EA31" ca="1" si="32">-IF(DD13=0,0,((1+DD$30)*$E31*$E18))</f>
        <v>0</v>
      </c>
      <c r="DE31" s="417">
        <f t="shared" ca="1" si="32"/>
        <v>0</v>
      </c>
      <c r="DF31" s="417">
        <f t="shared" ca="1" si="32"/>
        <v>0</v>
      </c>
      <c r="DG31" s="417">
        <f t="shared" ca="1" si="32"/>
        <v>0</v>
      </c>
      <c r="DH31" s="417">
        <f t="shared" ca="1" si="32"/>
        <v>0</v>
      </c>
      <c r="DI31" s="417">
        <f t="shared" ca="1" si="32"/>
        <v>0</v>
      </c>
      <c r="DJ31" s="417">
        <f t="shared" ca="1" si="32"/>
        <v>0</v>
      </c>
      <c r="DK31" s="417">
        <f t="shared" ca="1" si="32"/>
        <v>0</v>
      </c>
      <c r="DL31" s="417">
        <f t="shared" ca="1" si="32"/>
        <v>0</v>
      </c>
      <c r="DM31" s="417">
        <f t="shared" ca="1" si="32"/>
        <v>0</v>
      </c>
      <c r="DN31" s="417">
        <f t="shared" ca="1" si="32"/>
        <v>0</v>
      </c>
      <c r="DO31" s="417">
        <f t="shared" ca="1" si="32"/>
        <v>0</v>
      </c>
      <c r="DP31" s="417">
        <f t="shared" ca="1" si="32"/>
        <v>0</v>
      </c>
      <c r="DQ31" s="417">
        <f t="shared" ca="1" si="32"/>
        <v>0</v>
      </c>
      <c r="DR31" s="417">
        <f t="shared" ca="1" si="32"/>
        <v>0</v>
      </c>
      <c r="DS31" s="417">
        <f t="shared" ca="1" si="32"/>
        <v>0</v>
      </c>
      <c r="DT31" s="417">
        <f t="shared" ca="1" si="32"/>
        <v>0</v>
      </c>
      <c r="DU31" s="417">
        <f t="shared" ca="1" si="32"/>
        <v>0</v>
      </c>
      <c r="DV31" s="417">
        <f t="shared" ca="1" si="32"/>
        <v>0</v>
      </c>
      <c r="DW31" s="417">
        <f t="shared" ca="1" si="32"/>
        <v>0</v>
      </c>
      <c r="DX31" s="417">
        <f t="shared" ca="1" si="32"/>
        <v>0</v>
      </c>
      <c r="DY31" s="417">
        <f t="shared" ca="1" si="32"/>
        <v>0</v>
      </c>
      <c r="DZ31" s="417">
        <f t="shared" ca="1" si="32"/>
        <v>0</v>
      </c>
      <c r="EA31" s="417">
        <f t="shared" ca="1" si="32"/>
        <v>0</v>
      </c>
      <c r="EB31" s="389"/>
      <c r="EC31" s="392" t="s">
        <v>65</v>
      </c>
    </row>
    <row r="32" spans="1:133" s="390" customFormat="1" outlineLevel="1">
      <c r="A32" s="389"/>
      <c r="C32" s="389"/>
      <c r="D32" s="416" t="s">
        <v>510</v>
      </c>
      <c r="E32" s="415">
        <f ca="1">E31</f>
        <v>0.87766696703352587</v>
      </c>
      <c r="F32" s="701"/>
      <c r="G32" s="749">
        <f>G31</f>
        <v>0.03</v>
      </c>
      <c r="H32" s="701"/>
      <c r="I32" s="799">
        <f t="shared" si="28"/>
        <v>0</v>
      </c>
      <c r="J32" s="701"/>
      <c r="K32" s="417"/>
      <c r="L32" s="417">
        <f t="shared" ref="L32:AQ32" si="33">-IF(L14=0,0,((1+L$30)*$E32*$E19))</f>
        <v>0</v>
      </c>
      <c r="M32" s="417">
        <f t="shared" si="33"/>
        <v>0</v>
      </c>
      <c r="N32" s="417">
        <f t="shared" si="33"/>
        <v>0</v>
      </c>
      <c r="O32" s="417">
        <f t="shared" si="33"/>
        <v>0</v>
      </c>
      <c r="P32" s="417">
        <f t="shared" si="33"/>
        <v>0</v>
      </c>
      <c r="Q32" s="417">
        <f t="shared" si="33"/>
        <v>0</v>
      </c>
      <c r="R32" s="417">
        <f t="shared" si="33"/>
        <v>0</v>
      </c>
      <c r="S32" s="417">
        <f t="shared" si="33"/>
        <v>0</v>
      </c>
      <c r="T32" s="417">
        <f t="shared" si="33"/>
        <v>0</v>
      </c>
      <c r="U32" s="417">
        <f t="shared" si="33"/>
        <v>0</v>
      </c>
      <c r="V32" s="417">
        <f t="shared" si="33"/>
        <v>0</v>
      </c>
      <c r="W32" s="417">
        <f t="shared" si="33"/>
        <v>0</v>
      </c>
      <c r="X32" s="417">
        <f t="shared" si="33"/>
        <v>0</v>
      </c>
      <c r="Y32" s="417">
        <f t="shared" si="33"/>
        <v>0</v>
      </c>
      <c r="Z32" s="417">
        <f t="shared" si="33"/>
        <v>0</v>
      </c>
      <c r="AA32" s="417">
        <f t="shared" si="33"/>
        <v>0</v>
      </c>
      <c r="AB32" s="417">
        <f t="shared" si="33"/>
        <v>0</v>
      </c>
      <c r="AC32" s="417">
        <f t="shared" si="33"/>
        <v>0</v>
      </c>
      <c r="AD32" s="417">
        <f t="shared" si="33"/>
        <v>0</v>
      </c>
      <c r="AE32" s="417">
        <f t="shared" si="33"/>
        <v>0</v>
      </c>
      <c r="AF32" s="417">
        <f t="shared" si="33"/>
        <v>0</v>
      </c>
      <c r="AG32" s="417">
        <f t="shared" si="33"/>
        <v>0</v>
      </c>
      <c r="AH32" s="417">
        <f t="shared" si="33"/>
        <v>0</v>
      </c>
      <c r="AI32" s="417">
        <f t="shared" si="33"/>
        <v>0</v>
      </c>
      <c r="AJ32" s="417">
        <f t="shared" si="33"/>
        <v>0</v>
      </c>
      <c r="AK32" s="417">
        <f t="shared" si="33"/>
        <v>0</v>
      </c>
      <c r="AL32" s="417">
        <f t="shared" si="33"/>
        <v>0</v>
      </c>
      <c r="AM32" s="417">
        <f t="shared" si="33"/>
        <v>0</v>
      </c>
      <c r="AN32" s="417">
        <f t="shared" si="33"/>
        <v>0</v>
      </c>
      <c r="AO32" s="417">
        <f t="shared" si="33"/>
        <v>0</v>
      </c>
      <c r="AP32" s="417">
        <f t="shared" si="33"/>
        <v>0</v>
      </c>
      <c r="AQ32" s="417">
        <f t="shared" si="33"/>
        <v>0</v>
      </c>
      <c r="AR32" s="417">
        <f t="shared" ref="AR32:BW32" si="34">-IF(AR14=0,0,((1+AR$30)*$E32*$E19))</f>
        <v>0</v>
      </c>
      <c r="AS32" s="417">
        <f t="shared" si="34"/>
        <v>0</v>
      </c>
      <c r="AT32" s="417">
        <f t="shared" si="34"/>
        <v>0</v>
      </c>
      <c r="AU32" s="417">
        <f t="shared" si="34"/>
        <v>0</v>
      </c>
      <c r="AV32" s="417">
        <f t="shared" si="34"/>
        <v>0</v>
      </c>
      <c r="AW32" s="417">
        <f t="shared" si="34"/>
        <v>0</v>
      </c>
      <c r="AX32" s="417">
        <f t="shared" si="34"/>
        <v>0</v>
      </c>
      <c r="AY32" s="417">
        <f t="shared" si="34"/>
        <v>0</v>
      </c>
      <c r="AZ32" s="417">
        <f t="shared" si="34"/>
        <v>0</v>
      </c>
      <c r="BA32" s="417">
        <f t="shared" si="34"/>
        <v>0</v>
      </c>
      <c r="BB32" s="417">
        <f t="shared" si="34"/>
        <v>0</v>
      </c>
      <c r="BC32" s="417">
        <f t="shared" si="34"/>
        <v>0</v>
      </c>
      <c r="BD32" s="417">
        <f t="shared" si="34"/>
        <v>0</v>
      </c>
      <c r="BE32" s="417">
        <f t="shared" si="34"/>
        <v>0</v>
      </c>
      <c r="BF32" s="417">
        <f t="shared" si="34"/>
        <v>0</v>
      </c>
      <c r="BG32" s="417">
        <f t="shared" si="34"/>
        <v>0</v>
      </c>
      <c r="BH32" s="417">
        <f t="shared" si="34"/>
        <v>0</v>
      </c>
      <c r="BI32" s="417">
        <f t="shared" si="34"/>
        <v>0</v>
      </c>
      <c r="BJ32" s="417">
        <f t="shared" si="34"/>
        <v>0</v>
      </c>
      <c r="BK32" s="417">
        <f t="shared" si="34"/>
        <v>0</v>
      </c>
      <c r="BL32" s="417">
        <f t="shared" si="34"/>
        <v>0</v>
      </c>
      <c r="BM32" s="417">
        <f t="shared" si="34"/>
        <v>0</v>
      </c>
      <c r="BN32" s="417">
        <f t="shared" si="34"/>
        <v>0</v>
      </c>
      <c r="BO32" s="417">
        <f t="shared" si="34"/>
        <v>0</v>
      </c>
      <c r="BP32" s="417">
        <f t="shared" si="34"/>
        <v>0</v>
      </c>
      <c r="BQ32" s="417">
        <f t="shared" si="34"/>
        <v>0</v>
      </c>
      <c r="BR32" s="417">
        <f t="shared" si="34"/>
        <v>0</v>
      </c>
      <c r="BS32" s="417">
        <f t="shared" si="34"/>
        <v>0</v>
      </c>
      <c r="BT32" s="417">
        <f t="shared" si="34"/>
        <v>0</v>
      </c>
      <c r="BU32" s="417">
        <f t="shared" si="34"/>
        <v>0</v>
      </c>
      <c r="BV32" s="417">
        <f t="shared" si="34"/>
        <v>0</v>
      </c>
      <c r="BW32" s="417">
        <f t="shared" si="34"/>
        <v>0</v>
      </c>
      <c r="BX32" s="417">
        <f t="shared" ref="BX32:DC32" si="35">-IF(BX14=0,0,((1+BX$30)*$E32*$E19))</f>
        <v>0</v>
      </c>
      <c r="BY32" s="417">
        <f t="shared" si="35"/>
        <v>0</v>
      </c>
      <c r="BZ32" s="417">
        <f t="shared" si="35"/>
        <v>0</v>
      </c>
      <c r="CA32" s="417">
        <f t="shared" si="35"/>
        <v>0</v>
      </c>
      <c r="CB32" s="417">
        <f t="shared" si="35"/>
        <v>0</v>
      </c>
      <c r="CC32" s="417">
        <f t="shared" si="35"/>
        <v>0</v>
      </c>
      <c r="CD32" s="417">
        <f t="shared" si="35"/>
        <v>0</v>
      </c>
      <c r="CE32" s="417">
        <f t="shared" si="35"/>
        <v>0</v>
      </c>
      <c r="CF32" s="417">
        <f t="shared" si="35"/>
        <v>0</v>
      </c>
      <c r="CG32" s="417">
        <f t="shared" si="35"/>
        <v>0</v>
      </c>
      <c r="CH32" s="417">
        <f t="shared" si="35"/>
        <v>0</v>
      </c>
      <c r="CI32" s="417">
        <f t="shared" si="35"/>
        <v>0</v>
      </c>
      <c r="CJ32" s="417">
        <f t="shared" si="35"/>
        <v>0</v>
      </c>
      <c r="CK32" s="417">
        <f t="shared" si="35"/>
        <v>0</v>
      </c>
      <c r="CL32" s="417">
        <f t="shared" si="35"/>
        <v>0</v>
      </c>
      <c r="CM32" s="417">
        <f t="shared" si="35"/>
        <v>0</v>
      </c>
      <c r="CN32" s="417">
        <f t="shared" si="35"/>
        <v>0</v>
      </c>
      <c r="CO32" s="417">
        <f t="shared" si="35"/>
        <v>0</v>
      </c>
      <c r="CP32" s="417">
        <f t="shared" si="35"/>
        <v>0</v>
      </c>
      <c r="CQ32" s="417">
        <f t="shared" si="35"/>
        <v>0</v>
      </c>
      <c r="CR32" s="417">
        <f t="shared" si="35"/>
        <v>0</v>
      </c>
      <c r="CS32" s="417">
        <f t="shared" si="35"/>
        <v>0</v>
      </c>
      <c r="CT32" s="417">
        <f t="shared" si="35"/>
        <v>0</v>
      </c>
      <c r="CU32" s="417">
        <f t="shared" si="35"/>
        <v>0</v>
      </c>
      <c r="CV32" s="417">
        <f t="shared" si="35"/>
        <v>0</v>
      </c>
      <c r="CW32" s="417">
        <f t="shared" si="35"/>
        <v>0</v>
      </c>
      <c r="CX32" s="417">
        <f t="shared" si="35"/>
        <v>0</v>
      </c>
      <c r="CY32" s="417">
        <f t="shared" si="35"/>
        <v>0</v>
      </c>
      <c r="CZ32" s="417">
        <f t="shared" si="35"/>
        <v>0</v>
      </c>
      <c r="DA32" s="417">
        <f t="shared" si="35"/>
        <v>0</v>
      </c>
      <c r="DB32" s="417">
        <f t="shared" si="35"/>
        <v>0</v>
      </c>
      <c r="DC32" s="417">
        <f t="shared" si="35"/>
        <v>0</v>
      </c>
      <c r="DD32" s="417">
        <f t="shared" ref="DD32:EA32" si="36">-IF(DD14=0,0,((1+DD$30)*$E32*$E19))</f>
        <v>0</v>
      </c>
      <c r="DE32" s="417">
        <f t="shared" si="36"/>
        <v>0</v>
      </c>
      <c r="DF32" s="417">
        <f t="shared" si="36"/>
        <v>0</v>
      </c>
      <c r="DG32" s="417">
        <f t="shared" si="36"/>
        <v>0</v>
      </c>
      <c r="DH32" s="417">
        <f t="shared" si="36"/>
        <v>0</v>
      </c>
      <c r="DI32" s="417">
        <f t="shared" si="36"/>
        <v>0</v>
      </c>
      <c r="DJ32" s="417">
        <f t="shared" si="36"/>
        <v>0</v>
      </c>
      <c r="DK32" s="417">
        <f t="shared" si="36"/>
        <v>0</v>
      </c>
      <c r="DL32" s="417">
        <f t="shared" si="36"/>
        <v>0</v>
      </c>
      <c r="DM32" s="417">
        <f t="shared" si="36"/>
        <v>0</v>
      </c>
      <c r="DN32" s="417">
        <f t="shared" si="36"/>
        <v>0</v>
      </c>
      <c r="DO32" s="417">
        <f t="shared" si="36"/>
        <v>0</v>
      </c>
      <c r="DP32" s="417">
        <f t="shared" si="36"/>
        <v>0</v>
      </c>
      <c r="DQ32" s="417">
        <f t="shared" si="36"/>
        <v>0</v>
      </c>
      <c r="DR32" s="417">
        <f t="shared" si="36"/>
        <v>0</v>
      </c>
      <c r="DS32" s="417">
        <f t="shared" si="36"/>
        <v>0</v>
      </c>
      <c r="DT32" s="417">
        <f t="shared" si="36"/>
        <v>0</v>
      </c>
      <c r="DU32" s="417">
        <f t="shared" si="36"/>
        <v>0</v>
      </c>
      <c r="DV32" s="417">
        <f t="shared" si="36"/>
        <v>0</v>
      </c>
      <c r="DW32" s="417">
        <f t="shared" si="36"/>
        <v>0</v>
      </c>
      <c r="DX32" s="417">
        <f t="shared" si="36"/>
        <v>0</v>
      </c>
      <c r="DY32" s="417">
        <f t="shared" si="36"/>
        <v>0</v>
      </c>
      <c r="DZ32" s="417">
        <f t="shared" si="36"/>
        <v>0</v>
      </c>
      <c r="EA32" s="417">
        <f t="shared" si="36"/>
        <v>0</v>
      </c>
      <c r="EB32" s="389"/>
      <c r="EC32" s="392"/>
    </row>
    <row r="33" spans="1:134" s="390" customFormat="1" ht="15" customHeight="1" outlineLevel="1">
      <c r="A33" s="389"/>
      <c r="B33" s="389"/>
      <c r="C33" s="389"/>
      <c r="D33" s="409" t="s">
        <v>498</v>
      </c>
      <c r="E33" s="701"/>
      <c r="F33" s="701"/>
      <c r="G33" s="701"/>
      <c r="H33" s="701"/>
      <c r="I33" s="800">
        <f t="shared" ref="I33:I34" ca="1" si="37">SUM(K33:EA33)</f>
        <v>0</v>
      </c>
      <c r="J33" s="701"/>
      <c r="K33" s="418"/>
      <c r="L33" s="418">
        <f t="shared" ref="L33:AQ33" ca="1" si="38">SUM(L31:L32)</f>
        <v>0</v>
      </c>
      <c r="M33" s="418">
        <f t="shared" ca="1" si="38"/>
        <v>0</v>
      </c>
      <c r="N33" s="418">
        <f t="shared" ca="1" si="38"/>
        <v>0</v>
      </c>
      <c r="O33" s="418">
        <f t="shared" ca="1" si="38"/>
        <v>0</v>
      </c>
      <c r="P33" s="418">
        <f t="shared" ca="1" si="38"/>
        <v>0</v>
      </c>
      <c r="Q33" s="418">
        <f t="shared" ca="1" si="38"/>
        <v>0</v>
      </c>
      <c r="R33" s="418">
        <f t="shared" ca="1" si="38"/>
        <v>0</v>
      </c>
      <c r="S33" s="418">
        <f t="shared" ca="1" si="38"/>
        <v>0</v>
      </c>
      <c r="T33" s="418">
        <f t="shared" ca="1" si="38"/>
        <v>0</v>
      </c>
      <c r="U33" s="418">
        <f t="shared" ca="1" si="38"/>
        <v>0</v>
      </c>
      <c r="V33" s="418">
        <f t="shared" ca="1" si="38"/>
        <v>0</v>
      </c>
      <c r="W33" s="418">
        <f t="shared" ca="1" si="38"/>
        <v>0</v>
      </c>
      <c r="X33" s="418">
        <f t="shared" ca="1" si="38"/>
        <v>0</v>
      </c>
      <c r="Y33" s="418">
        <f t="shared" ca="1" si="38"/>
        <v>0</v>
      </c>
      <c r="Z33" s="418">
        <f t="shared" ca="1" si="38"/>
        <v>0</v>
      </c>
      <c r="AA33" s="418">
        <f t="shared" ca="1" si="38"/>
        <v>0</v>
      </c>
      <c r="AB33" s="418">
        <f t="shared" ca="1" si="38"/>
        <v>0</v>
      </c>
      <c r="AC33" s="418">
        <f t="shared" ca="1" si="38"/>
        <v>0</v>
      </c>
      <c r="AD33" s="418">
        <f t="shared" ca="1" si="38"/>
        <v>0</v>
      </c>
      <c r="AE33" s="418">
        <f t="shared" ca="1" si="38"/>
        <v>0</v>
      </c>
      <c r="AF33" s="418">
        <f t="shared" ca="1" si="38"/>
        <v>0</v>
      </c>
      <c r="AG33" s="418">
        <f t="shared" ca="1" si="38"/>
        <v>0</v>
      </c>
      <c r="AH33" s="418">
        <f t="shared" ca="1" si="38"/>
        <v>0</v>
      </c>
      <c r="AI33" s="418">
        <f t="shared" ca="1" si="38"/>
        <v>0</v>
      </c>
      <c r="AJ33" s="418">
        <f t="shared" ca="1" si="38"/>
        <v>0</v>
      </c>
      <c r="AK33" s="418">
        <f t="shared" ca="1" si="38"/>
        <v>0</v>
      </c>
      <c r="AL33" s="418">
        <f t="shared" ca="1" si="38"/>
        <v>0</v>
      </c>
      <c r="AM33" s="418">
        <f t="shared" ca="1" si="38"/>
        <v>0</v>
      </c>
      <c r="AN33" s="418">
        <f t="shared" ca="1" si="38"/>
        <v>0</v>
      </c>
      <c r="AO33" s="418">
        <f t="shared" ca="1" si="38"/>
        <v>0</v>
      </c>
      <c r="AP33" s="418">
        <f t="shared" ca="1" si="38"/>
        <v>0</v>
      </c>
      <c r="AQ33" s="418">
        <f t="shared" ca="1" si="38"/>
        <v>0</v>
      </c>
      <c r="AR33" s="418">
        <f t="shared" ref="AR33:BW33" ca="1" si="39">SUM(AR31:AR32)</f>
        <v>0</v>
      </c>
      <c r="AS33" s="418">
        <f t="shared" ca="1" si="39"/>
        <v>0</v>
      </c>
      <c r="AT33" s="418">
        <f t="shared" ca="1" si="39"/>
        <v>0</v>
      </c>
      <c r="AU33" s="418">
        <f t="shared" ca="1" si="39"/>
        <v>0</v>
      </c>
      <c r="AV33" s="418">
        <f t="shared" ca="1" si="39"/>
        <v>0</v>
      </c>
      <c r="AW33" s="418">
        <f t="shared" ca="1" si="39"/>
        <v>0</v>
      </c>
      <c r="AX33" s="418">
        <f t="shared" ca="1" si="39"/>
        <v>0</v>
      </c>
      <c r="AY33" s="418">
        <f t="shared" ca="1" si="39"/>
        <v>0</v>
      </c>
      <c r="AZ33" s="418">
        <f t="shared" ca="1" si="39"/>
        <v>0</v>
      </c>
      <c r="BA33" s="418">
        <f t="shared" ca="1" si="39"/>
        <v>0</v>
      </c>
      <c r="BB33" s="418">
        <f t="shared" ca="1" si="39"/>
        <v>0</v>
      </c>
      <c r="BC33" s="418">
        <f t="shared" ca="1" si="39"/>
        <v>0</v>
      </c>
      <c r="BD33" s="418">
        <f t="shared" ca="1" si="39"/>
        <v>0</v>
      </c>
      <c r="BE33" s="418">
        <f t="shared" ca="1" si="39"/>
        <v>0</v>
      </c>
      <c r="BF33" s="418">
        <f t="shared" ca="1" si="39"/>
        <v>0</v>
      </c>
      <c r="BG33" s="418">
        <f t="shared" ca="1" si="39"/>
        <v>0</v>
      </c>
      <c r="BH33" s="418">
        <f t="shared" ca="1" si="39"/>
        <v>0</v>
      </c>
      <c r="BI33" s="418">
        <f t="shared" ca="1" si="39"/>
        <v>0</v>
      </c>
      <c r="BJ33" s="418">
        <f t="shared" ca="1" si="39"/>
        <v>0</v>
      </c>
      <c r="BK33" s="418">
        <f t="shared" ca="1" si="39"/>
        <v>0</v>
      </c>
      <c r="BL33" s="418">
        <f t="shared" ca="1" si="39"/>
        <v>0</v>
      </c>
      <c r="BM33" s="418">
        <f t="shared" ca="1" si="39"/>
        <v>0</v>
      </c>
      <c r="BN33" s="418">
        <f t="shared" ca="1" si="39"/>
        <v>0</v>
      </c>
      <c r="BO33" s="418">
        <f t="shared" ca="1" si="39"/>
        <v>0</v>
      </c>
      <c r="BP33" s="418">
        <f t="shared" ca="1" si="39"/>
        <v>0</v>
      </c>
      <c r="BQ33" s="418">
        <f t="shared" ca="1" si="39"/>
        <v>0</v>
      </c>
      <c r="BR33" s="418">
        <f t="shared" ca="1" si="39"/>
        <v>0</v>
      </c>
      <c r="BS33" s="418">
        <f t="shared" ca="1" si="39"/>
        <v>0</v>
      </c>
      <c r="BT33" s="418">
        <f t="shared" ca="1" si="39"/>
        <v>0</v>
      </c>
      <c r="BU33" s="418">
        <f t="shared" ca="1" si="39"/>
        <v>0</v>
      </c>
      <c r="BV33" s="418">
        <f t="shared" ca="1" si="39"/>
        <v>0</v>
      </c>
      <c r="BW33" s="418">
        <f t="shared" ca="1" si="39"/>
        <v>0</v>
      </c>
      <c r="BX33" s="418">
        <f t="shared" ref="BX33:DC33" ca="1" si="40">SUM(BX31:BX32)</f>
        <v>0</v>
      </c>
      <c r="BY33" s="418">
        <f t="shared" ca="1" si="40"/>
        <v>0</v>
      </c>
      <c r="BZ33" s="418">
        <f t="shared" ca="1" si="40"/>
        <v>0</v>
      </c>
      <c r="CA33" s="418">
        <f t="shared" ca="1" si="40"/>
        <v>0</v>
      </c>
      <c r="CB33" s="418">
        <f t="shared" ca="1" si="40"/>
        <v>0</v>
      </c>
      <c r="CC33" s="418">
        <f t="shared" ca="1" si="40"/>
        <v>0</v>
      </c>
      <c r="CD33" s="418">
        <f t="shared" ca="1" si="40"/>
        <v>0</v>
      </c>
      <c r="CE33" s="418">
        <f t="shared" ca="1" si="40"/>
        <v>0</v>
      </c>
      <c r="CF33" s="418">
        <f t="shared" ca="1" si="40"/>
        <v>0</v>
      </c>
      <c r="CG33" s="418">
        <f t="shared" ca="1" si="40"/>
        <v>0</v>
      </c>
      <c r="CH33" s="418">
        <f t="shared" ca="1" si="40"/>
        <v>0</v>
      </c>
      <c r="CI33" s="418">
        <f t="shared" ca="1" si="40"/>
        <v>0</v>
      </c>
      <c r="CJ33" s="418">
        <f t="shared" ca="1" si="40"/>
        <v>0</v>
      </c>
      <c r="CK33" s="418">
        <f t="shared" ca="1" si="40"/>
        <v>0</v>
      </c>
      <c r="CL33" s="418">
        <f t="shared" ca="1" si="40"/>
        <v>0</v>
      </c>
      <c r="CM33" s="418">
        <f t="shared" ca="1" si="40"/>
        <v>0</v>
      </c>
      <c r="CN33" s="418">
        <f t="shared" ca="1" si="40"/>
        <v>0</v>
      </c>
      <c r="CO33" s="418">
        <f t="shared" ca="1" si="40"/>
        <v>0</v>
      </c>
      <c r="CP33" s="418">
        <f t="shared" ca="1" si="40"/>
        <v>0</v>
      </c>
      <c r="CQ33" s="418">
        <f t="shared" ca="1" si="40"/>
        <v>0</v>
      </c>
      <c r="CR33" s="418">
        <f t="shared" ca="1" si="40"/>
        <v>0</v>
      </c>
      <c r="CS33" s="418">
        <f t="shared" ca="1" si="40"/>
        <v>0</v>
      </c>
      <c r="CT33" s="418">
        <f t="shared" ca="1" si="40"/>
        <v>0</v>
      </c>
      <c r="CU33" s="418">
        <f t="shared" ca="1" si="40"/>
        <v>0</v>
      </c>
      <c r="CV33" s="418">
        <f t="shared" ca="1" si="40"/>
        <v>0</v>
      </c>
      <c r="CW33" s="418">
        <f t="shared" ca="1" si="40"/>
        <v>0</v>
      </c>
      <c r="CX33" s="418">
        <f t="shared" ca="1" si="40"/>
        <v>0</v>
      </c>
      <c r="CY33" s="418">
        <f t="shared" ca="1" si="40"/>
        <v>0</v>
      </c>
      <c r="CZ33" s="418">
        <f t="shared" ca="1" si="40"/>
        <v>0</v>
      </c>
      <c r="DA33" s="418">
        <f t="shared" ca="1" si="40"/>
        <v>0</v>
      </c>
      <c r="DB33" s="418">
        <f t="shared" ca="1" si="40"/>
        <v>0</v>
      </c>
      <c r="DC33" s="418">
        <f t="shared" ca="1" si="40"/>
        <v>0</v>
      </c>
      <c r="DD33" s="418">
        <f t="shared" ref="DD33:EA33" ca="1" si="41">SUM(DD31:DD32)</f>
        <v>0</v>
      </c>
      <c r="DE33" s="418">
        <f t="shared" ca="1" si="41"/>
        <v>0</v>
      </c>
      <c r="DF33" s="418">
        <f t="shared" ca="1" si="41"/>
        <v>0</v>
      </c>
      <c r="DG33" s="418">
        <f t="shared" ca="1" si="41"/>
        <v>0</v>
      </c>
      <c r="DH33" s="418">
        <f t="shared" ca="1" si="41"/>
        <v>0</v>
      </c>
      <c r="DI33" s="418">
        <f t="shared" ca="1" si="41"/>
        <v>0</v>
      </c>
      <c r="DJ33" s="418">
        <f t="shared" ca="1" si="41"/>
        <v>0</v>
      </c>
      <c r="DK33" s="418">
        <f t="shared" ca="1" si="41"/>
        <v>0</v>
      </c>
      <c r="DL33" s="418">
        <f t="shared" ca="1" si="41"/>
        <v>0</v>
      </c>
      <c r="DM33" s="418">
        <f t="shared" ca="1" si="41"/>
        <v>0</v>
      </c>
      <c r="DN33" s="418">
        <f t="shared" ca="1" si="41"/>
        <v>0</v>
      </c>
      <c r="DO33" s="418">
        <f t="shared" ca="1" si="41"/>
        <v>0</v>
      </c>
      <c r="DP33" s="418">
        <f t="shared" ca="1" si="41"/>
        <v>0</v>
      </c>
      <c r="DQ33" s="418">
        <f t="shared" ca="1" si="41"/>
        <v>0</v>
      </c>
      <c r="DR33" s="418">
        <f t="shared" ca="1" si="41"/>
        <v>0</v>
      </c>
      <c r="DS33" s="418">
        <f t="shared" ca="1" si="41"/>
        <v>0</v>
      </c>
      <c r="DT33" s="418">
        <f t="shared" ca="1" si="41"/>
        <v>0</v>
      </c>
      <c r="DU33" s="418">
        <f t="shared" ca="1" si="41"/>
        <v>0</v>
      </c>
      <c r="DV33" s="418">
        <f t="shared" ca="1" si="41"/>
        <v>0</v>
      </c>
      <c r="DW33" s="418">
        <f t="shared" ca="1" si="41"/>
        <v>0</v>
      </c>
      <c r="DX33" s="418">
        <f t="shared" ca="1" si="41"/>
        <v>0</v>
      </c>
      <c r="DY33" s="418">
        <f t="shared" ca="1" si="41"/>
        <v>0</v>
      </c>
      <c r="DZ33" s="418">
        <f t="shared" ca="1" si="41"/>
        <v>0</v>
      </c>
      <c r="EA33" s="418">
        <f t="shared" ca="1" si="41"/>
        <v>0</v>
      </c>
      <c r="EB33" s="389"/>
      <c r="EC33" s="392" t="s">
        <v>65</v>
      </c>
    </row>
    <row r="34" spans="1:134" s="390" customFormat="1" ht="15" customHeight="1" outlineLevel="1">
      <c r="A34" s="389"/>
      <c r="B34" s="389"/>
      <c r="C34" s="389"/>
      <c r="D34" s="410" t="s">
        <v>29</v>
      </c>
      <c r="E34" s="411"/>
      <c r="F34" s="411"/>
      <c r="G34" s="411"/>
      <c r="H34" s="411"/>
      <c r="I34" s="797">
        <f t="shared" ca="1" si="37"/>
        <v>0</v>
      </c>
      <c r="J34" s="701"/>
      <c r="K34" s="411"/>
      <c r="L34" s="411">
        <f t="shared" ref="L34:AQ34" ca="1" si="42">L28+L33</f>
        <v>0</v>
      </c>
      <c r="M34" s="411">
        <f t="shared" ca="1" si="42"/>
        <v>0</v>
      </c>
      <c r="N34" s="411">
        <f t="shared" ca="1" si="42"/>
        <v>0</v>
      </c>
      <c r="O34" s="411">
        <f t="shared" ca="1" si="42"/>
        <v>0</v>
      </c>
      <c r="P34" s="411">
        <f t="shared" ca="1" si="42"/>
        <v>0</v>
      </c>
      <c r="Q34" s="411">
        <f t="shared" ca="1" si="42"/>
        <v>0</v>
      </c>
      <c r="R34" s="411">
        <f t="shared" ca="1" si="42"/>
        <v>0</v>
      </c>
      <c r="S34" s="411">
        <f t="shared" ca="1" si="42"/>
        <v>0</v>
      </c>
      <c r="T34" s="411">
        <f t="shared" ca="1" si="42"/>
        <v>0</v>
      </c>
      <c r="U34" s="411">
        <f t="shared" ca="1" si="42"/>
        <v>0</v>
      </c>
      <c r="V34" s="411">
        <f t="shared" ca="1" si="42"/>
        <v>0</v>
      </c>
      <c r="W34" s="411">
        <f t="shared" ca="1" si="42"/>
        <v>0</v>
      </c>
      <c r="X34" s="411">
        <f t="shared" ca="1" si="42"/>
        <v>0</v>
      </c>
      <c r="Y34" s="411">
        <f t="shared" ca="1" si="42"/>
        <v>0</v>
      </c>
      <c r="Z34" s="411">
        <f t="shared" ca="1" si="42"/>
        <v>0</v>
      </c>
      <c r="AA34" s="411">
        <f t="shared" ca="1" si="42"/>
        <v>0</v>
      </c>
      <c r="AB34" s="411">
        <f t="shared" ca="1" si="42"/>
        <v>0</v>
      </c>
      <c r="AC34" s="411">
        <f t="shared" ca="1" si="42"/>
        <v>0</v>
      </c>
      <c r="AD34" s="411">
        <f t="shared" ca="1" si="42"/>
        <v>0</v>
      </c>
      <c r="AE34" s="411">
        <f t="shared" ca="1" si="42"/>
        <v>0</v>
      </c>
      <c r="AF34" s="411">
        <f t="shared" ca="1" si="42"/>
        <v>0</v>
      </c>
      <c r="AG34" s="411">
        <f t="shared" ca="1" si="42"/>
        <v>0</v>
      </c>
      <c r="AH34" s="411">
        <f t="shared" ca="1" si="42"/>
        <v>0</v>
      </c>
      <c r="AI34" s="411">
        <f t="shared" ca="1" si="42"/>
        <v>0</v>
      </c>
      <c r="AJ34" s="411">
        <f t="shared" ca="1" si="42"/>
        <v>0</v>
      </c>
      <c r="AK34" s="411">
        <f t="shared" ca="1" si="42"/>
        <v>0</v>
      </c>
      <c r="AL34" s="411">
        <f t="shared" ca="1" si="42"/>
        <v>0</v>
      </c>
      <c r="AM34" s="411">
        <f t="shared" ca="1" si="42"/>
        <v>0</v>
      </c>
      <c r="AN34" s="411">
        <f t="shared" ca="1" si="42"/>
        <v>0</v>
      </c>
      <c r="AO34" s="411">
        <f t="shared" ca="1" si="42"/>
        <v>0</v>
      </c>
      <c r="AP34" s="411">
        <f t="shared" ca="1" si="42"/>
        <v>0</v>
      </c>
      <c r="AQ34" s="411">
        <f t="shared" ca="1" si="42"/>
        <v>0</v>
      </c>
      <c r="AR34" s="411">
        <f t="shared" ref="AR34:BW34" ca="1" si="43">AR28+AR33</f>
        <v>0</v>
      </c>
      <c r="AS34" s="411">
        <f t="shared" ca="1" si="43"/>
        <v>0</v>
      </c>
      <c r="AT34" s="411">
        <f t="shared" ca="1" si="43"/>
        <v>0</v>
      </c>
      <c r="AU34" s="411">
        <f t="shared" ca="1" si="43"/>
        <v>0</v>
      </c>
      <c r="AV34" s="411">
        <f t="shared" ca="1" si="43"/>
        <v>0</v>
      </c>
      <c r="AW34" s="411">
        <f t="shared" ca="1" si="43"/>
        <v>0</v>
      </c>
      <c r="AX34" s="411">
        <f t="shared" ca="1" si="43"/>
        <v>0</v>
      </c>
      <c r="AY34" s="411">
        <f t="shared" ca="1" si="43"/>
        <v>0</v>
      </c>
      <c r="AZ34" s="411">
        <f t="shared" ca="1" si="43"/>
        <v>0</v>
      </c>
      <c r="BA34" s="411">
        <f t="shared" ca="1" si="43"/>
        <v>0</v>
      </c>
      <c r="BB34" s="411">
        <f t="shared" ca="1" si="43"/>
        <v>0</v>
      </c>
      <c r="BC34" s="411">
        <f t="shared" ca="1" si="43"/>
        <v>0</v>
      </c>
      <c r="BD34" s="411">
        <f t="shared" ca="1" si="43"/>
        <v>0</v>
      </c>
      <c r="BE34" s="411">
        <f t="shared" ca="1" si="43"/>
        <v>0</v>
      </c>
      <c r="BF34" s="411">
        <f t="shared" ca="1" si="43"/>
        <v>0</v>
      </c>
      <c r="BG34" s="411">
        <f t="shared" ca="1" si="43"/>
        <v>0</v>
      </c>
      <c r="BH34" s="411">
        <f t="shared" ca="1" si="43"/>
        <v>0</v>
      </c>
      <c r="BI34" s="411">
        <f t="shared" ca="1" si="43"/>
        <v>0</v>
      </c>
      <c r="BJ34" s="411">
        <f t="shared" ca="1" si="43"/>
        <v>0</v>
      </c>
      <c r="BK34" s="411">
        <f t="shared" ca="1" si="43"/>
        <v>0</v>
      </c>
      <c r="BL34" s="411">
        <f t="shared" ca="1" si="43"/>
        <v>0</v>
      </c>
      <c r="BM34" s="411">
        <f t="shared" ca="1" si="43"/>
        <v>0</v>
      </c>
      <c r="BN34" s="411">
        <f t="shared" ca="1" si="43"/>
        <v>0</v>
      </c>
      <c r="BO34" s="411">
        <f t="shared" ca="1" si="43"/>
        <v>0</v>
      </c>
      <c r="BP34" s="411">
        <f t="shared" ca="1" si="43"/>
        <v>0</v>
      </c>
      <c r="BQ34" s="411">
        <f t="shared" ca="1" si="43"/>
        <v>0</v>
      </c>
      <c r="BR34" s="411">
        <f t="shared" ca="1" si="43"/>
        <v>0</v>
      </c>
      <c r="BS34" s="411">
        <f t="shared" ca="1" si="43"/>
        <v>0</v>
      </c>
      <c r="BT34" s="411">
        <f t="shared" ca="1" si="43"/>
        <v>0</v>
      </c>
      <c r="BU34" s="411">
        <f t="shared" ca="1" si="43"/>
        <v>0</v>
      </c>
      <c r="BV34" s="411">
        <f t="shared" ca="1" si="43"/>
        <v>0</v>
      </c>
      <c r="BW34" s="411">
        <f t="shared" ca="1" si="43"/>
        <v>0</v>
      </c>
      <c r="BX34" s="411">
        <f t="shared" ref="BX34:DC34" ca="1" si="44">BX28+BX33</f>
        <v>0</v>
      </c>
      <c r="BY34" s="411">
        <f t="shared" ca="1" si="44"/>
        <v>0</v>
      </c>
      <c r="BZ34" s="411">
        <f t="shared" ca="1" si="44"/>
        <v>0</v>
      </c>
      <c r="CA34" s="411">
        <f t="shared" ca="1" si="44"/>
        <v>0</v>
      </c>
      <c r="CB34" s="411">
        <f t="shared" ca="1" si="44"/>
        <v>0</v>
      </c>
      <c r="CC34" s="411">
        <f t="shared" ca="1" si="44"/>
        <v>0</v>
      </c>
      <c r="CD34" s="411">
        <f t="shared" ca="1" si="44"/>
        <v>0</v>
      </c>
      <c r="CE34" s="411">
        <f t="shared" ca="1" si="44"/>
        <v>0</v>
      </c>
      <c r="CF34" s="411">
        <f t="shared" ca="1" si="44"/>
        <v>0</v>
      </c>
      <c r="CG34" s="411">
        <f t="shared" ca="1" si="44"/>
        <v>0</v>
      </c>
      <c r="CH34" s="411">
        <f t="shared" ca="1" si="44"/>
        <v>0</v>
      </c>
      <c r="CI34" s="411">
        <f t="shared" ca="1" si="44"/>
        <v>0</v>
      </c>
      <c r="CJ34" s="411">
        <f t="shared" ca="1" si="44"/>
        <v>0</v>
      </c>
      <c r="CK34" s="411">
        <f t="shared" ca="1" si="44"/>
        <v>0</v>
      </c>
      <c r="CL34" s="411">
        <f t="shared" ca="1" si="44"/>
        <v>0</v>
      </c>
      <c r="CM34" s="411">
        <f t="shared" ca="1" si="44"/>
        <v>0</v>
      </c>
      <c r="CN34" s="411">
        <f t="shared" ca="1" si="44"/>
        <v>0</v>
      </c>
      <c r="CO34" s="411">
        <f t="shared" ca="1" si="44"/>
        <v>0</v>
      </c>
      <c r="CP34" s="411">
        <f t="shared" ca="1" si="44"/>
        <v>0</v>
      </c>
      <c r="CQ34" s="411">
        <f t="shared" ca="1" si="44"/>
        <v>0</v>
      </c>
      <c r="CR34" s="411">
        <f t="shared" ca="1" si="44"/>
        <v>0</v>
      </c>
      <c r="CS34" s="411">
        <f t="shared" ca="1" si="44"/>
        <v>0</v>
      </c>
      <c r="CT34" s="411">
        <f t="shared" ca="1" si="44"/>
        <v>0</v>
      </c>
      <c r="CU34" s="411">
        <f t="shared" ca="1" si="44"/>
        <v>0</v>
      </c>
      <c r="CV34" s="411">
        <f t="shared" ca="1" si="44"/>
        <v>0</v>
      </c>
      <c r="CW34" s="411">
        <f t="shared" ca="1" si="44"/>
        <v>0</v>
      </c>
      <c r="CX34" s="411">
        <f t="shared" ca="1" si="44"/>
        <v>0</v>
      </c>
      <c r="CY34" s="411">
        <f t="shared" ca="1" si="44"/>
        <v>0</v>
      </c>
      <c r="CZ34" s="411">
        <f t="shared" ca="1" si="44"/>
        <v>0</v>
      </c>
      <c r="DA34" s="411">
        <f t="shared" ca="1" si="44"/>
        <v>0</v>
      </c>
      <c r="DB34" s="411">
        <f t="shared" ca="1" si="44"/>
        <v>0</v>
      </c>
      <c r="DC34" s="411">
        <f t="shared" ca="1" si="44"/>
        <v>0</v>
      </c>
      <c r="DD34" s="411">
        <f t="shared" ref="DD34:EA34" ca="1" si="45">DD28+DD33</f>
        <v>0</v>
      </c>
      <c r="DE34" s="411">
        <f t="shared" ca="1" si="45"/>
        <v>0</v>
      </c>
      <c r="DF34" s="411">
        <f t="shared" ca="1" si="45"/>
        <v>0</v>
      </c>
      <c r="DG34" s="411">
        <f t="shared" ca="1" si="45"/>
        <v>0</v>
      </c>
      <c r="DH34" s="411">
        <f t="shared" ca="1" si="45"/>
        <v>0</v>
      </c>
      <c r="DI34" s="411">
        <f t="shared" ca="1" si="45"/>
        <v>0</v>
      </c>
      <c r="DJ34" s="411">
        <f t="shared" ca="1" si="45"/>
        <v>0</v>
      </c>
      <c r="DK34" s="411">
        <f t="shared" ca="1" si="45"/>
        <v>0</v>
      </c>
      <c r="DL34" s="411">
        <f t="shared" ca="1" si="45"/>
        <v>0</v>
      </c>
      <c r="DM34" s="411">
        <f t="shared" ca="1" si="45"/>
        <v>0</v>
      </c>
      <c r="DN34" s="411">
        <f t="shared" ca="1" si="45"/>
        <v>0</v>
      </c>
      <c r="DO34" s="411">
        <f t="shared" ca="1" si="45"/>
        <v>0</v>
      </c>
      <c r="DP34" s="411">
        <f t="shared" ca="1" si="45"/>
        <v>0</v>
      </c>
      <c r="DQ34" s="411">
        <f t="shared" ca="1" si="45"/>
        <v>0</v>
      </c>
      <c r="DR34" s="411">
        <f t="shared" ca="1" si="45"/>
        <v>0</v>
      </c>
      <c r="DS34" s="411">
        <f t="shared" ca="1" si="45"/>
        <v>0</v>
      </c>
      <c r="DT34" s="411">
        <f t="shared" ca="1" si="45"/>
        <v>0</v>
      </c>
      <c r="DU34" s="411">
        <f t="shared" ca="1" si="45"/>
        <v>0</v>
      </c>
      <c r="DV34" s="411">
        <f t="shared" ca="1" si="45"/>
        <v>0</v>
      </c>
      <c r="DW34" s="411">
        <f t="shared" ca="1" si="45"/>
        <v>0</v>
      </c>
      <c r="DX34" s="411">
        <f t="shared" ca="1" si="45"/>
        <v>0</v>
      </c>
      <c r="DY34" s="411">
        <f t="shared" ca="1" si="45"/>
        <v>0</v>
      </c>
      <c r="DZ34" s="411">
        <f t="shared" ca="1" si="45"/>
        <v>0</v>
      </c>
      <c r="EA34" s="411">
        <f t="shared" ca="1" si="45"/>
        <v>0</v>
      </c>
      <c r="EB34" s="389"/>
      <c r="EC34" s="392" t="s">
        <v>65</v>
      </c>
    </row>
    <row r="35" spans="1:134" s="390" customFormat="1" ht="15" customHeight="1" outlineLevel="1">
      <c r="A35" s="389"/>
      <c r="B35" s="389"/>
      <c r="C35" s="389"/>
      <c r="D35" s="412"/>
      <c r="E35" s="701"/>
      <c r="F35" s="701"/>
      <c r="G35" s="701"/>
      <c r="H35" s="701"/>
      <c r="I35" s="798"/>
      <c r="J35" s="701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13"/>
      <c r="BK35" s="413"/>
      <c r="BL35" s="413"/>
      <c r="BM35" s="413"/>
      <c r="BN35" s="413"/>
      <c r="BO35" s="413"/>
      <c r="BP35" s="413"/>
      <c r="BQ35" s="413"/>
      <c r="BR35" s="413"/>
      <c r="BS35" s="413"/>
      <c r="BT35" s="413"/>
      <c r="BU35" s="413"/>
      <c r="BV35" s="413"/>
      <c r="BW35" s="413"/>
      <c r="BX35" s="413"/>
      <c r="BY35" s="413"/>
      <c r="BZ35" s="413"/>
      <c r="CA35" s="413"/>
      <c r="CB35" s="413"/>
      <c r="CC35" s="413"/>
      <c r="CD35" s="413"/>
      <c r="CE35" s="413"/>
      <c r="CF35" s="413"/>
      <c r="CG35" s="413"/>
      <c r="CH35" s="413"/>
      <c r="CI35" s="413"/>
      <c r="CJ35" s="413"/>
      <c r="CK35" s="413"/>
      <c r="CL35" s="413"/>
      <c r="CM35" s="413"/>
      <c r="CN35" s="413"/>
      <c r="CO35" s="413"/>
      <c r="CP35" s="413"/>
      <c r="CQ35" s="413"/>
      <c r="CR35" s="413"/>
      <c r="CS35" s="413"/>
      <c r="CT35" s="413"/>
      <c r="CU35" s="413"/>
      <c r="CV35" s="413"/>
      <c r="CW35" s="413"/>
      <c r="CX35" s="413"/>
      <c r="CY35" s="413"/>
      <c r="CZ35" s="413"/>
      <c r="DA35" s="413"/>
      <c r="DB35" s="413"/>
      <c r="DC35" s="413"/>
      <c r="DD35" s="413"/>
      <c r="DE35" s="413"/>
      <c r="DF35" s="413"/>
      <c r="DG35" s="413"/>
      <c r="DH35" s="413"/>
      <c r="DI35" s="413"/>
      <c r="DJ35" s="413"/>
      <c r="DK35" s="413"/>
      <c r="DL35" s="413"/>
      <c r="DM35" s="413"/>
      <c r="DN35" s="413"/>
      <c r="DO35" s="413"/>
      <c r="DP35" s="413"/>
      <c r="DQ35" s="413"/>
      <c r="DR35" s="413"/>
      <c r="DS35" s="413"/>
      <c r="DT35" s="413"/>
      <c r="DU35" s="413"/>
      <c r="DV35" s="413"/>
      <c r="DW35" s="413"/>
      <c r="DX35" s="413"/>
      <c r="DY35" s="413"/>
      <c r="DZ35" s="413"/>
      <c r="EA35" s="413"/>
      <c r="EB35" s="389"/>
      <c r="EC35" s="392" t="s">
        <v>65</v>
      </c>
    </row>
    <row r="36" spans="1:134" s="390" customFormat="1" ht="15" customHeight="1" outlineLevel="1">
      <c r="A36" s="389"/>
      <c r="B36" s="389"/>
      <c r="C36" s="389"/>
      <c r="D36" s="1000" t="s">
        <v>30</v>
      </c>
      <c r="E36" s="701"/>
      <c r="F36" s="701"/>
      <c r="G36" s="701"/>
      <c r="H36" s="701"/>
      <c r="I36" s="795">
        <f t="shared" ref="I36:I37" ca="1" si="46">SUM(K36:EA36)</f>
        <v>0</v>
      </c>
      <c r="J36" s="701"/>
      <c r="K36" s="704"/>
      <c r="L36" s="704">
        <f ca="1">-IFERROR((IF(L13&gt;0,Assumptions!$C$55*(Assumptions!$I$78/12),0)),0)</f>
        <v>0</v>
      </c>
      <c r="M36" s="704">
        <f ca="1">-IFERROR((IF(M13&gt;0,Assumptions!$C$55*(Assumptions!$I$78/12),0)),0)</f>
        <v>0</v>
      </c>
      <c r="N36" s="704">
        <f ca="1">-IFERROR((IF(N13&gt;0,Assumptions!$C$55*(Assumptions!$I$78/12),0)),0)</f>
        <v>0</v>
      </c>
      <c r="O36" s="704">
        <f ca="1">-IFERROR((IF(O13&gt;0,Assumptions!$C$55*(Assumptions!$I$78/12),0)),0)</f>
        <v>0</v>
      </c>
      <c r="P36" s="704">
        <f ca="1">-IFERROR((IF(P13&gt;0,Assumptions!$C$55*(Assumptions!$I$78/12),0)),0)</f>
        <v>0</v>
      </c>
      <c r="Q36" s="704">
        <f ca="1">-IFERROR((IF(Q13&gt;0,Assumptions!$C$55*(Assumptions!$I$78/12),0)),0)</f>
        <v>0</v>
      </c>
      <c r="R36" s="704">
        <f ca="1">-IFERROR((IF(R13&gt;0,Assumptions!$C$55*(Assumptions!$I$78/12),0)),0)</f>
        <v>0</v>
      </c>
      <c r="S36" s="704">
        <f ca="1">-IFERROR((IF(S13&gt;0,Assumptions!$C$55*(Assumptions!$I$78/12),0)),0)</f>
        <v>0</v>
      </c>
      <c r="T36" s="704">
        <f ca="1">-IFERROR((IF(T13&gt;0,Assumptions!$C$55*(Assumptions!$I$78/12),0)),0)</f>
        <v>0</v>
      </c>
      <c r="U36" s="704">
        <f ca="1">-IFERROR((IF(U13&gt;0,Assumptions!$C$55*(Assumptions!$I$78/12),0)),0)</f>
        <v>0</v>
      </c>
      <c r="V36" s="704">
        <f ca="1">-IFERROR((IF(V13&gt;0,Assumptions!$C$55*(Assumptions!$I$78/12),0)),0)</f>
        <v>0</v>
      </c>
      <c r="W36" s="704">
        <f ca="1">-IFERROR((IF(W13&gt;0,Assumptions!$C$55*(Assumptions!$I$78/12),0)),0)</f>
        <v>0</v>
      </c>
      <c r="X36" s="704">
        <f ca="1">-IFERROR((IF(X13&gt;0,Assumptions!$C$55*(Assumptions!$I$78/12),0)),0)</f>
        <v>0</v>
      </c>
      <c r="Y36" s="704">
        <f ca="1">-IFERROR((IF(Y13&gt;0,Assumptions!$C$55*(Assumptions!$I$78/12),0)),0)</f>
        <v>0</v>
      </c>
      <c r="Z36" s="704">
        <f ca="1">-IFERROR((IF(Z13&gt;0,Assumptions!$C$55*(Assumptions!$I$78/12),0)),0)</f>
        <v>0</v>
      </c>
      <c r="AA36" s="704">
        <f ca="1">-IFERROR((IF(AA13&gt;0,Assumptions!$C$55*(Assumptions!$I$78/12),0)),0)</f>
        <v>0</v>
      </c>
      <c r="AB36" s="704">
        <f ca="1">-IFERROR((IF(AB13&gt;0,Assumptions!$C$55*(Assumptions!$I$78/12),0)),0)</f>
        <v>0</v>
      </c>
      <c r="AC36" s="704">
        <f ca="1">-IFERROR((IF(AC13&gt;0,Assumptions!$C$55*(Assumptions!$I$78/12),0)),0)</f>
        <v>0</v>
      </c>
      <c r="AD36" s="704">
        <f ca="1">-IFERROR((IF(AD13&gt;0,Assumptions!$C$55*(Assumptions!$I$78/12),0)),0)</f>
        <v>0</v>
      </c>
      <c r="AE36" s="704">
        <f ca="1">-IFERROR((IF(AE13&gt;0,Assumptions!$C$55*(Assumptions!$I$78/12),0)),0)</f>
        <v>0</v>
      </c>
      <c r="AF36" s="704">
        <f ca="1">-IFERROR((IF(AF13&gt;0,Assumptions!$C$55*(Assumptions!$I$78/12),0)),0)</f>
        <v>0</v>
      </c>
      <c r="AG36" s="704">
        <f ca="1">-IFERROR((IF(AG13&gt;0,Assumptions!$C$55*(Assumptions!$I$78/12),0)),0)</f>
        <v>0</v>
      </c>
      <c r="AH36" s="704">
        <f ca="1">-IFERROR((IF(AH13&gt;0,Assumptions!$C$55*(Assumptions!$I$78/12),0)),0)</f>
        <v>0</v>
      </c>
      <c r="AI36" s="704">
        <f ca="1">-IFERROR((IF(AI13&gt;0,Assumptions!$C$55*(Assumptions!$I$78/12),0)),0)</f>
        <v>0</v>
      </c>
      <c r="AJ36" s="704">
        <f ca="1">-IFERROR((IF(AJ13&gt;0,Assumptions!$C$55*(Assumptions!$I$78/12),0)),0)</f>
        <v>0</v>
      </c>
      <c r="AK36" s="704">
        <f ca="1">-IFERROR((IF(AK13&gt;0,Assumptions!$C$55*(Assumptions!$I$78/12),0)),0)</f>
        <v>0</v>
      </c>
      <c r="AL36" s="704">
        <f ca="1">-IFERROR((IF(AL13&gt;0,Assumptions!$C$55*(Assumptions!$I$78/12),0)),0)</f>
        <v>0</v>
      </c>
      <c r="AM36" s="704">
        <f ca="1">-IFERROR((IF(AM13&gt;0,Assumptions!$C$55*(Assumptions!$I$78/12),0)),0)</f>
        <v>0</v>
      </c>
      <c r="AN36" s="704">
        <f ca="1">-IFERROR((IF(AN13&gt;0,Assumptions!$C$55*(Assumptions!$I$78/12),0)),0)</f>
        <v>0</v>
      </c>
      <c r="AO36" s="704">
        <f ca="1">-IFERROR((IF(AO13&gt;0,Assumptions!$C$55*(Assumptions!$I$78/12),0)),0)</f>
        <v>0</v>
      </c>
      <c r="AP36" s="704">
        <f ca="1">-IFERROR((IF(AP13&gt;0,Assumptions!$C$55*(Assumptions!$I$78/12),0)),0)</f>
        <v>0</v>
      </c>
      <c r="AQ36" s="704">
        <f ca="1">-IFERROR((IF(AQ13&gt;0,Assumptions!$C$55*(Assumptions!$I$78/12),0)),0)</f>
        <v>0</v>
      </c>
      <c r="AR36" s="704">
        <f ca="1">-IFERROR((IF(AR13&gt;0,Assumptions!$C$55*(Assumptions!$I$78/12),0)),0)</f>
        <v>0</v>
      </c>
      <c r="AS36" s="704">
        <f ca="1">-IFERROR((IF(AS13&gt;0,Assumptions!$C$55*(Assumptions!$I$78/12),0)),0)</f>
        <v>0</v>
      </c>
      <c r="AT36" s="704">
        <f ca="1">-IFERROR((IF(AT13&gt;0,Assumptions!$C$55*(Assumptions!$I$78/12),0)),0)</f>
        <v>0</v>
      </c>
      <c r="AU36" s="704">
        <f ca="1">-IFERROR((IF(AU13&gt;0,Assumptions!$C$55*(Assumptions!$I$78/12),0)),0)</f>
        <v>0</v>
      </c>
      <c r="AV36" s="704">
        <f ca="1">-IFERROR((IF(AV13&gt;0,Assumptions!$C$55*(Assumptions!$I$78/12),0)),0)</f>
        <v>0</v>
      </c>
      <c r="AW36" s="704">
        <f ca="1">-IFERROR((IF(AW13&gt;0,Assumptions!$C$55*(Assumptions!$I$78/12),0)),0)</f>
        <v>0</v>
      </c>
      <c r="AX36" s="704">
        <f ca="1">-IFERROR((IF(AX13&gt;0,Assumptions!$C$55*(Assumptions!$I$78/12),0)),0)</f>
        <v>0</v>
      </c>
      <c r="AY36" s="704">
        <f ca="1">-IFERROR((IF(AY13&gt;0,Assumptions!$C$55*(Assumptions!$I$78/12),0)),0)</f>
        <v>0</v>
      </c>
      <c r="AZ36" s="704">
        <f ca="1">-IFERROR((IF(AZ13&gt;0,Assumptions!$C$55*(Assumptions!$I$78/12),0)),0)</f>
        <v>0</v>
      </c>
      <c r="BA36" s="704">
        <f ca="1">-IFERROR((IF(BA13&gt;0,Assumptions!$C$55*(Assumptions!$I$78/12),0)),0)</f>
        <v>0</v>
      </c>
      <c r="BB36" s="704">
        <f ca="1">-IFERROR((IF(BB13&gt;0,Assumptions!$C$55*(Assumptions!$I$78/12),0)),0)</f>
        <v>0</v>
      </c>
      <c r="BC36" s="704">
        <f ca="1">-IFERROR((IF(BC13&gt;0,Assumptions!$C$55*(Assumptions!$I$78/12),0)),0)</f>
        <v>0</v>
      </c>
      <c r="BD36" s="704">
        <f ca="1">-IFERROR((IF(BD13&gt;0,Assumptions!$C$55*(Assumptions!$I$78/12),0)),0)</f>
        <v>0</v>
      </c>
      <c r="BE36" s="704">
        <f ca="1">-IFERROR((IF(BE13&gt;0,Assumptions!$C$55*(Assumptions!$I$78/12),0)),0)</f>
        <v>0</v>
      </c>
      <c r="BF36" s="704">
        <f ca="1">-IFERROR((IF(BF13&gt;0,Assumptions!$C$55*(Assumptions!$I$78/12),0)),0)</f>
        <v>0</v>
      </c>
      <c r="BG36" s="704">
        <f ca="1">-IFERROR((IF(BG13&gt;0,Assumptions!$C$55*(Assumptions!$I$78/12),0)),0)</f>
        <v>0</v>
      </c>
      <c r="BH36" s="704">
        <f ca="1">-IFERROR((IF(BH13&gt;0,Assumptions!$C$55*(Assumptions!$I$78/12),0)),0)</f>
        <v>0</v>
      </c>
      <c r="BI36" s="704">
        <f ca="1">-IFERROR((IF(BI13&gt;0,Assumptions!$C$55*(Assumptions!$I$78/12),0)),0)</f>
        <v>0</v>
      </c>
      <c r="BJ36" s="704">
        <f ca="1">-IFERROR((IF(BJ13&gt;0,Assumptions!$C$55*(Assumptions!$I$78/12),0)),0)</f>
        <v>0</v>
      </c>
      <c r="BK36" s="704">
        <f ca="1">-IFERROR((IF(BK13&gt;0,Assumptions!$C$55*(Assumptions!$I$78/12),0)),0)</f>
        <v>0</v>
      </c>
      <c r="BL36" s="704">
        <f ca="1">-IFERROR((IF(BL13&gt;0,Assumptions!$C$55*(Assumptions!$I$78/12),0)),0)</f>
        <v>0</v>
      </c>
      <c r="BM36" s="704">
        <f ca="1">-IFERROR((IF(BM13&gt;0,Assumptions!$C$55*(Assumptions!$I$78/12),0)),0)</f>
        <v>0</v>
      </c>
      <c r="BN36" s="704">
        <f ca="1">-IFERROR((IF(BN13&gt;0,Assumptions!$C$55*(Assumptions!$I$78/12),0)),0)</f>
        <v>0</v>
      </c>
      <c r="BO36" s="704">
        <f ca="1">-IFERROR((IF(BO13&gt;0,Assumptions!$C$55*(Assumptions!$I$78/12),0)),0)</f>
        <v>0</v>
      </c>
      <c r="BP36" s="704">
        <f ca="1">-IFERROR((IF(BP13&gt;0,Assumptions!$C$55*(Assumptions!$I$78/12),0)),0)</f>
        <v>0</v>
      </c>
      <c r="BQ36" s="704">
        <f ca="1">-IFERROR((IF(BQ13&gt;0,Assumptions!$C$55*(Assumptions!$I$78/12),0)),0)</f>
        <v>0</v>
      </c>
      <c r="BR36" s="704">
        <f ca="1">-IFERROR((IF(BR13&gt;0,Assumptions!$C$55*(Assumptions!$I$78/12),0)),0)</f>
        <v>0</v>
      </c>
      <c r="BS36" s="704">
        <f ca="1">-IFERROR((IF(BS13&gt;0,Assumptions!$C$55*(Assumptions!$I$78/12),0)),0)</f>
        <v>0</v>
      </c>
      <c r="BT36" s="704">
        <f ca="1">-IFERROR((IF(BT13&gt;0,Assumptions!$C$55*(Assumptions!$I$78/12),0)),0)</f>
        <v>0</v>
      </c>
      <c r="BU36" s="704">
        <f ca="1">-IFERROR((IF(BU13&gt;0,Assumptions!$C$55*(Assumptions!$I$78/12),0)),0)</f>
        <v>0</v>
      </c>
      <c r="BV36" s="704">
        <f ca="1">-IFERROR((IF(BV13&gt;0,Assumptions!$C$55*(Assumptions!$I$78/12),0)),0)</f>
        <v>0</v>
      </c>
      <c r="BW36" s="704">
        <f ca="1">-IFERROR((IF(BW13&gt;0,Assumptions!$C$55*(Assumptions!$I$78/12),0)),0)</f>
        <v>0</v>
      </c>
      <c r="BX36" s="704">
        <f ca="1">-IFERROR((IF(BX13&gt;0,Assumptions!$C$55*(Assumptions!$I$78/12),0)),0)</f>
        <v>0</v>
      </c>
      <c r="BY36" s="704">
        <f ca="1">-IFERROR((IF(BY13&gt;0,Assumptions!$C$55*(Assumptions!$I$78/12),0)),0)</f>
        <v>0</v>
      </c>
      <c r="BZ36" s="704">
        <f ca="1">-IFERROR((IF(BZ13&gt;0,Assumptions!$C$55*(Assumptions!$I$78/12),0)),0)</f>
        <v>0</v>
      </c>
      <c r="CA36" s="704">
        <f ca="1">-IFERROR((IF(CA13&gt;0,Assumptions!$C$55*(Assumptions!$I$78/12),0)),0)</f>
        <v>0</v>
      </c>
      <c r="CB36" s="704">
        <f ca="1">-IFERROR((IF(CB13&gt;0,Assumptions!$C$55*(Assumptions!$I$78/12),0)),0)</f>
        <v>0</v>
      </c>
      <c r="CC36" s="704">
        <f ca="1">-IFERROR((IF(CC13&gt;0,Assumptions!$C$55*(Assumptions!$I$78/12),0)),0)</f>
        <v>0</v>
      </c>
      <c r="CD36" s="704">
        <f ca="1">-IFERROR((IF(CD13&gt;0,Assumptions!$C$55*(Assumptions!$I$78/12),0)),0)</f>
        <v>0</v>
      </c>
      <c r="CE36" s="704">
        <f ca="1">-IFERROR((IF(CE13&gt;0,Assumptions!$C$55*(Assumptions!$I$78/12),0)),0)</f>
        <v>0</v>
      </c>
      <c r="CF36" s="704">
        <f ca="1">-IFERROR((IF(CF13&gt;0,Assumptions!$C$55*(Assumptions!$I$78/12),0)),0)</f>
        <v>0</v>
      </c>
      <c r="CG36" s="704">
        <f ca="1">-IFERROR((IF(CG13&gt;0,Assumptions!$C$55*(Assumptions!$I$78/12),0)),0)</f>
        <v>0</v>
      </c>
      <c r="CH36" s="704">
        <f ca="1">-IFERROR((IF(CH13&gt;0,Assumptions!$C$55*(Assumptions!$I$78/12),0)),0)</f>
        <v>0</v>
      </c>
      <c r="CI36" s="704">
        <f ca="1">-IFERROR((IF(CI13&gt;0,Assumptions!$C$55*(Assumptions!$I$78/12),0)),0)</f>
        <v>0</v>
      </c>
      <c r="CJ36" s="704">
        <f ca="1">-IFERROR((IF(CJ13&gt;0,Assumptions!$C$55*(Assumptions!$I$78/12),0)),0)</f>
        <v>0</v>
      </c>
      <c r="CK36" s="704">
        <f ca="1">-IFERROR((IF(CK13&gt;0,Assumptions!$C$55*(Assumptions!$I$78/12),0)),0)</f>
        <v>0</v>
      </c>
      <c r="CL36" s="704">
        <f ca="1">-IFERROR((IF(CL13&gt;0,Assumptions!$C$55*(Assumptions!$I$78/12),0)),0)</f>
        <v>0</v>
      </c>
      <c r="CM36" s="704">
        <f ca="1">-IFERROR((IF(CM13&gt;0,Assumptions!$C$55*(Assumptions!$I$78/12),0)),0)</f>
        <v>0</v>
      </c>
      <c r="CN36" s="704">
        <f ca="1">-IFERROR((IF(CN13&gt;0,Assumptions!$C$55*(Assumptions!$I$78/12),0)),0)</f>
        <v>0</v>
      </c>
      <c r="CO36" s="704">
        <f ca="1">-IFERROR((IF(CO13&gt;0,Assumptions!$C$55*(Assumptions!$I$78/12),0)),0)</f>
        <v>0</v>
      </c>
      <c r="CP36" s="704">
        <f ca="1">-IFERROR((IF(CP13&gt;0,Assumptions!$C$55*(Assumptions!$I$78/12),0)),0)</f>
        <v>0</v>
      </c>
      <c r="CQ36" s="704">
        <f ca="1">-IFERROR((IF(CQ13&gt;0,Assumptions!$C$55*(Assumptions!$I$78/12),0)),0)</f>
        <v>0</v>
      </c>
      <c r="CR36" s="704">
        <f ca="1">-IFERROR((IF(CR13&gt;0,Assumptions!$C$55*(Assumptions!$I$78/12),0)),0)</f>
        <v>0</v>
      </c>
      <c r="CS36" s="704">
        <f ca="1">-IFERROR((IF(CS13&gt;0,Assumptions!$C$55*(Assumptions!$I$78/12),0)),0)</f>
        <v>0</v>
      </c>
      <c r="CT36" s="704">
        <f ca="1">-IFERROR((IF(CT13&gt;0,Assumptions!$C$55*(Assumptions!$I$78/12),0)),0)</f>
        <v>0</v>
      </c>
      <c r="CU36" s="704">
        <f ca="1">-IFERROR((IF(CU13&gt;0,Assumptions!$C$55*(Assumptions!$I$78/12),0)),0)</f>
        <v>0</v>
      </c>
      <c r="CV36" s="704">
        <f ca="1">-IFERROR((IF(CV13&gt;0,Assumptions!$C$55*(Assumptions!$I$78/12),0)),0)</f>
        <v>0</v>
      </c>
      <c r="CW36" s="704">
        <f ca="1">-IFERROR((IF(CW13&gt;0,Assumptions!$C$55*(Assumptions!$I$78/12),0)),0)</f>
        <v>0</v>
      </c>
      <c r="CX36" s="704">
        <f ca="1">-IFERROR((IF(CX13&gt;0,Assumptions!$C$55*(Assumptions!$I$78/12),0)),0)</f>
        <v>0</v>
      </c>
      <c r="CY36" s="704">
        <f ca="1">-IFERROR((IF(CY13&gt;0,Assumptions!$C$55*(Assumptions!$I$78/12),0)),0)</f>
        <v>0</v>
      </c>
      <c r="CZ36" s="704">
        <f ca="1">-IFERROR((IF(CZ13&gt;0,Assumptions!$C$55*(Assumptions!$I$78/12),0)),0)</f>
        <v>0</v>
      </c>
      <c r="DA36" s="704">
        <f ca="1">-IFERROR((IF(DA13&gt;0,Assumptions!$C$55*(Assumptions!$I$78/12),0)),0)</f>
        <v>0</v>
      </c>
      <c r="DB36" s="704">
        <f ca="1">-IFERROR((IF(DB13&gt;0,Assumptions!$C$55*(Assumptions!$I$78/12),0)),0)</f>
        <v>0</v>
      </c>
      <c r="DC36" s="704">
        <f ca="1">-IFERROR((IF(DC13&gt;0,Assumptions!$C$55*(Assumptions!$I$78/12),0)),0)</f>
        <v>0</v>
      </c>
      <c r="DD36" s="704">
        <f ca="1">-IFERROR((IF(DD13&gt;0,Assumptions!$C$55*(Assumptions!$I$78/12),0)),0)</f>
        <v>0</v>
      </c>
      <c r="DE36" s="704">
        <f ca="1">-IFERROR((IF(DE13&gt;0,Assumptions!$C$55*(Assumptions!$I$78/12),0)),0)</f>
        <v>0</v>
      </c>
      <c r="DF36" s="704">
        <f ca="1">-IFERROR((IF(DF13&gt;0,Assumptions!$C$55*(Assumptions!$I$78/12),0)),0)</f>
        <v>0</v>
      </c>
      <c r="DG36" s="704">
        <f ca="1">-IFERROR((IF(DG13&gt;0,Assumptions!$C$55*(Assumptions!$I$78/12),0)),0)</f>
        <v>0</v>
      </c>
      <c r="DH36" s="704">
        <f ca="1">-IFERROR((IF(DH13&gt;0,Assumptions!$C$55*(Assumptions!$I$78/12),0)),0)</f>
        <v>0</v>
      </c>
      <c r="DI36" s="704">
        <f ca="1">-IFERROR((IF(DI13&gt;0,Assumptions!$C$55*(Assumptions!$I$78/12),0)),0)</f>
        <v>0</v>
      </c>
      <c r="DJ36" s="704">
        <f ca="1">-IFERROR((IF(DJ13&gt;0,Assumptions!$C$55*(Assumptions!$I$78/12),0)),0)</f>
        <v>0</v>
      </c>
      <c r="DK36" s="704">
        <f ca="1">-IFERROR((IF(DK13&gt;0,Assumptions!$C$55*(Assumptions!$I$78/12),0)),0)</f>
        <v>0</v>
      </c>
      <c r="DL36" s="704">
        <f ca="1">-IFERROR((IF(DL13&gt;0,Assumptions!$C$55*(Assumptions!$I$78/12),0)),0)</f>
        <v>0</v>
      </c>
      <c r="DM36" s="704">
        <f ca="1">-IFERROR((IF(DM13&gt;0,Assumptions!$C$55*(Assumptions!$I$78/12),0)),0)</f>
        <v>0</v>
      </c>
      <c r="DN36" s="704">
        <f ca="1">-IFERROR((IF(DN13&gt;0,Assumptions!$C$55*(Assumptions!$I$78/12),0)),0)</f>
        <v>0</v>
      </c>
      <c r="DO36" s="704">
        <f ca="1">-IFERROR((IF(DO13&gt;0,Assumptions!$C$55*(Assumptions!$I$78/12),0)),0)</f>
        <v>0</v>
      </c>
      <c r="DP36" s="704">
        <f ca="1">-IFERROR((IF(DP13&gt;0,Assumptions!$C$55*(Assumptions!$I$78/12),0)),0)</f>
        <v>0</v>
      </c>
      <c r="DQ36" s="704">
        <f ca="1">-IFERROR((IF(DQ13&gt;0,Assumptions!$C$55*(Assumptions!$I$78/12),0)),0)</f>
        <v>0</v>
      </c>
      <c r="DR36" s="704">
        <f ca="1">-IFERROR((IF(DR13&gt;0,Assumptions!$C$55*(Assumptions!$I$78/12),0)),0)</f>
        <v>0</v>
      </c>
      <c r="DS36" s="704">
        <f ca="1">-IFERROR((IF(DS13&gt;0,Assumptions!$C$55*(Assumptions!$I$78/12),0)),0)</f>
        <v>0</v>
      </c>
      <c r="DT36" s="704">
        <f ca="1">-IFERROR((IF(DT13&gt;0,Assumptions!$C$55*(Assumptions!$I$78/12),0)),0)</f>
        <v>0</v>
      </c>
      <c r="DU36" s="704">
        <f ca="1">-IFERROR((IF(DU13&gt;0,Assumptions!$C$55*(Assumptions!$I$78/12),0)),0)</f>
        <v>0</v>
      </c>
      <c r="DV36" s="704">
        <f ca="1">-IFERROR((IF(DV13&gt;0,Assumptions!$C$55*(Assumptions!$I$78/12),0)),0)</f>
        <v>0</v>
      </c>
      <c r="DW36" s="704">
        <f ca="1">-IFERROR((IF(DW13&gt;0,Assumptions!$C$55*(Assumptions!$I$78/12),0)),0)</f>
        <v>0</v>
      </c>
      <c r="DX36" s="704">
        <f ca="1">-IFERROR((IF(DX13&gt;0,Assumptions!$C$55*(Assumptions!$I$78/12),0)),0)</f>
        <v>0</v>
      </c>
      <c r="DY36" s="704">
        <f ca="1">-IFERROR((IF(DY13&gt;0,Assumptions!$C$55*(Assumptions!$I$78/12),0)),0)</f>
        <v>0</v>
      </c>
      <c r="DZ36" s="704">
        <f ca="1">-IFERROR((IF(DZ13&gt;0,Assumptions!$C$55*(Assumptions!$I$78/12),0)),0)</f>
        <v>0</v>
      </c>
      <c r="EA36" s="704">
        <f ca="1">-IFERROR((IF(EA13&gt;0,Assumptions!$C$55*(Assumptions!$I$78/12),0)),0)</f>
        <v>0</v>
      </c>
      <c r="EB36" s="389"/>
      <c r="EC36" s="392" t="s">
        <v>65</v>
      </c>
    </row>
    <row r="37" spans="1:134" s="390" customFormat="1" ht="15" customHeight="1" outlineLevel="1">
      <c r="A37" s="389"/>
      <c r="B37" s="389"/>
      <c r="C37" s="389"/>
      <c r="D37" s="410" t="s">
        <v>569</v>
      </c>
      <c r="E37" s="411"/>
      <c r="F37" s="411"/>
      <c r="G37" s="411"/>
      <c r="H37" s="411"/>
      <c r="I37" s="797">
        <f t="shared" ca="1" si="46"/>
        <v>0</v>
      </c>
      <c r="J37" s="701"/>
      <c r="K37" s="411"/>
      <c r="L37" s="411">
        <f ca="1">L34+L36</f>
        <v>0</v>
      </c>
      <c r="M37" s="411">
        <f t="shared" ref="M37:BX37" ca="1" si="47">M34+M36</f>
        <v>0</v>
      </c>
      <c r="N37" s="411">
        <f t="shared" ca="1" si="47"/>
        <v>0</v>
      </c>
      <c r="O37" s="411">
        <f t="shared" ca="1" si="47"/>
        <v>0</v>
      </c>
      <c r="P37" s="411">
        <f t="shared" ca="1" si="47"/>
        <v>0</v>
      </c>
      <c r="Q37" s="411">
        <f t="shared" ca="1" si="47"/>
        <v>0</v>
      </c>
      <c r="R37" s="411">
        <f t="shared" ca="1" si="47"/>
        <v>0</v>
      </c>
      <c r="S37" s="411">
        <f t="shared" ca="1" si="47"/>
        <v>0</v>
      </c>
      <c r="T37" s="411">
        <f t="shared" ca="1" si="47"/>
        <v>0</v>
      </c>
      <c r="U37" s="411">
        <f t="shared" ca="1" si="47"/>
        <v>0</v>
      </c>
      <c r="V37" s="411">
        <f t="shared" ca="1" si="47"/>
        <v>0</v>
      </c>
      <c r="W37" s="411">
        <f t="shared" ca="1" si="47"/>
        <v>0</v>
      </c>
      <c r="X37" s="411">
        <f t="shared" ca="1" si="47"/>
        <v>0</v>
      </c>
      <c r="Y37" s="411">
        <f t="shared" ca="1" si="47"/>
        <v>0</v>
      </c>
      <c r="Z37" s="411">
        <f t="shared" ca="1" si="47"/>
        <v>0</v>
      </c>
      <c r="AA37" s="411">
        <f t="shared" ca="1" si="47"/>
        <v>0</v>
      </c>
      <c r="AB37" s="411">
        <f t="shared" ca="1" si="47"/>
        <v>0</v>
      </c>
      <c r="AC37" s="411">
        <f t="shared" ca="1" si="47"/>
        <v>0</v>
      </c>
      <c r="AD37" s="411">
        <f t="shared" ca="1" si="47"/>
        <v>0</v>
      </c>
      <c r="AE37" s="411">
        <f t="shared" ca="1" si="47"/>
        <v>0</v>
      </c>
      <c r="AF37" s="411">
        <f t="shared" ca="1" si="47"/>
        <v>0</v>
      </c>
      <c r="AG37" s="411">
        <f t="shared" ca="1" si="47"/>
        <v>0</v>
      </c>
      <c r="AH37" s="411">
        <f t="shared" ca="1" si="47"/>
        <v>0</v>
      </c>
      <c r="AI37" s="411">
        <f t="shared" ca="1" si="47"/>
        <v>0</v>
      </c>
      <c r="AJ37" s="411">
        <f t="shared" ca="1" si="47"/>
        <v>0</v>
      </c>
      <c r="AK37" s="411">
        <f t="shared" ca="1" si="47"/>
        <v>0</v>
      </c>
      <c r="AL37" s="411">
        <f t="shared" ca="1" si="47"/>
        <v>0</v>
      </c>
      <c r="AM37" s="411">
        <f t="shared" ca="1" si="47"/>
        <v>0</v>
      </c>
      <c r="AN37" s="411">
        <f t="shared" ca="1" si="47"/>
        <v>0</v>
      </c>
      <c r="AO37" s="411">
        <f t="shared" ca="1" si="47"/>
        <v>0</v>
      </c>
      <c r="AP37" s="411">
        <f t="shared" ca="1" si="47"/>
        <v>0</v>
      </c>
      <c r="AQ37" s="411">
        <f t="shared" ca="1" si="47"/>
        <v>0</v>
      </c>
      <c r="AR37" s="411">
        <f t="shared" ca="1" si="47"/>
        <v>0</v>
      </c>
      <c r="AS37" s="411">
        <f t="shared" ca="1" si="47"/>
        <v>0</v>
      </c>
      <c r="AT37" s="411">
        <f t="shared" ca="1" si="47"/>
        <v>0</v>
      </c>
      <c r="AU37" s="411">
        <f t="shared" ca="1" si="47"/>
        <v>0</v>
      </c>
      <c r="AV37" s="411">
        <f t="shared" ca="1" si="47"/>
        <v>0</v>
      </c>
      <c r="AW37" s="411">
        <f t="shared" ca="1" si="47"/>
        <v>0</v>
      </c>
      <c r="AX37" s="411">
        <f t="shared" ca="1" si="47"/>
        <v>0</v>
      </c>
      <c r="AY37" s="411">
        <f t="shared" ca="1" si="47"/>
        <v>0</v>
      </c>
      <c r="AZ37" s="411">
        <f t="shared" ca="1" si="47"/>
        <v>0</v>
      </c>
      <c r="BA37" s="411">
        <f t="shared" ca="1" si="47"/>
        <v>0</v>
      </c>
      <c r="BB37" s="411">
        <f t="shared" ca="1" si="47"/>
        <v>0</v>
      </c>
      <c r="BC37" s="411">
        <f t="shared" ca="1" si="47"/>
        <v>0</v>
      </c>
      <c r="BD37" s="411">
        <f t="shared" ca="1" si="47"/>
        <v>0</v>
      </c>
      <c r="BE37" s="411">
        <f t="shared" ca="1" si="47"/>
        <v>0</v>
      </c>
      <c r="BF37" s="411">
        <f t="shared" ca="1" si="47"/>
        <v>0</v>
      </c>
      <c r="BG37" s="411">
        <f t="shared" ca="1" si="47"/>
        <v>0</v>
      </c>
      <c r="BH37" s="411">
        <f t="shared" ca="1" si="47"/>
        <v>0</v>
      </c>
      <c r="BI37" s="411">
        <f t="shared" ca="1" si="47"/>
        <v>0</v>
      </c>
      <c r="BJ37" s="411">
        <f t="shared" ca="1" si="47"/>
        <v>0</v>
      </c>
      <c r="BK37" s="411">
        <f t="shared" ca="1" si="47"/>
        <v>0</v>
      </c>
      <c r="BL37" s="411">
        <f t="shared" ca="1" si="47"/>
        <v>0</v>
      </c>
      <c r="BM37" s="411">
        <f t="shared" ca="1" si="47"/>
        <v>0</v>
      </c>
      <c r="BN37" s="411">
        <f t="shared" ca="1" si="47"/>
        <v>0</v>
      </c>
      <c r="BO37" s="411">
        <f t="shared" ca="1" si="47"/>
        <v>0</v>
      </c>
      <c r="BP37" s="411">
        <f t="shared" ca="1" si="47"/>
        <v>0</v>
      </c>
      <c r="BQ37" s="411">
        <f t="shared" ca="1" si="47"/>
        <v>0</v>
      </c>
      <c r="BR37" s="411">
        <f t="shared" ca="1" si="47"/>
        <v>0</v>
      </c>
      <c r="BS37" s="411">
        <f t="shared" ca="1" si="47"/>
        <v>0</v>
      </c>
      <c r="BT37" s="411">
        <f t="shared" ca="1" si="47"/>
        <v>0</v>
      </c>
      <c r="BU37" s="411">
        <f t="shared" ca="1" si="47"/>
        <v>0</v>
      </c>
      <c r="BV37" s="411">
        <f t="shared" ca="1" si="47"/>
        <v>0</v>
      </c>
      <c r="BW37" s="411">
        <f t="shared" ca="1" si="47"/>
        <v>0</v>
      </c>
      <c r="BX37" s="411">
        <f t="shared" ca="1" si="47"/>
        <v>0</v>
      </c>
      <c r="BY37" s="411">
        <f t="shared" ref="BY37:EA37" ca="1" si="48">BY34+BY36</f>
        <v>0</v>
      </c>
      <c r="BZ37" s="411">
        <f t="shared" ca="1" si="48"/>
        <v>0</v>
      </c>
      <c r="CA37" s="411">
        <f t="shared" ca="1" si="48"/>
        <v>0</v>
      </c>
      <c r="CB37" s="411">
        <f t="shared" ca="1" si="48"/>
        <v>0</v>
      </c>
      <c r="CC37" s="411">
        <f t="shared" ca="1" si="48"/>
        <v>0</v>
      </c>
      <c r="CD37" s="411">
        <f t="shared" ca="1" si="48"/>
        <v>0</v>
      </c>
      <c r="CE37" s="411">
        <f t="shared" ca="1" si="48"/>
        <v>0</v>
      </c>
      <c r="CF37" s="411">
        <f t="shared" ca="1" si="48"/>
        <v>0</v>
      </c>
      <c r="CG37" s="411">
        <f t="shared" ca="1" si="48"/>
        <v>0</v>
      </c>
      <c r="CH37" s="411">
        <f t="shared" ca="1" si="48"/>
        <v>0</v>
      </c>
      <c r="CI37" s="411">
        <f t="shared" ca="1" si="48"/>
        <v>0</v>
      </c>
      <c r="CJ37" s="411">
        <f t="shared" ca="1" si="48"/>
        <v>0</v>
      </c>
      <c r="CK37" s="411">
        <f t="shared" ca="1" si="48"/>
        <v>0</v>
      </c>
      <c r="CL37" s="411">
        <f t="shared" ca="1" si="48"/>
        <v>0</v>
      </c>
      <c r="CM37" s="411">
        <f t="shared" ca="1" si="48"/>
        <v>0</v>
      </c>
      <c r="CN37" s="411">
        <f t="shared" ca="1" si="48"/>
        <v>0</v>
      </c>
      <c r="CO37" s="411">
        <f t="shared" ca="1" si="48"/>
        <v>0</v>
      </c>
      <c r="CP37" s="411">
        <f t="shared" ca="1" si="48"/>
        <v>0</v>
      </c>
      <c r="CQ37" s="411">
        <f t="shared" ca="1" si="48"/>
        <v>0</v>
      </c>
      <c r="CR37" s="411">
        <f t="shared" ca="1" si="48"/>
        <v>0</v>
      </c>
      <c r="CS37" s="411">
        <f t="shared" ca="1" si="48"/>
        <v>0</v>
      </c>
      <c r="CT37" s="411">
        <f t="shared" ca="1" si="48"/>
        <v>0</v>
      </c>
      <c r="CU37" s="411">
        <f t="shared" ca="1" si="48"/>
        <v>0</v>
      </c>
      <c r="CV37" s="411">
        <f t="shared" ca="1" si="48"/>
        <v>0</v>
      </c>
      <c r="CW37" s="411">
        <f t="shared" ca="1" si="48"/>
        <v>0</v>
      </c>
      <c r="CX37" s="411">
        <f t="shared" ca="1" si="48"/>
        <v>0</v>
      </c>
      <c r="CY37" s="411">
        <f t="shared" ca="1" si="48"/>
        <v>0</v>
      </c>
      <c r="CZ37" s="411">
        <f t="shared" ca="1" si="48"/>
        <v>0</v>
      </c>
      <c r="DA37" s="411">
        <f t="shared" ca="1" si="48"/>
        <v>0</v>
      </c>
      <c r="DB37" s="411">
        <f t="shared" ca="1" si="48"/>
        <v>0</v>
      </c>
      <c r="DC37" s="411">
        <f t="shared" ca="1" si="48"/>
        <v>0</v>
      </c>
      <c r="DD37" s="411">
        <f t="shared" ca="1" si="48"/>
        <v>0</v>
      </c>
      <c r="DE37" s="411">
        <f t="shared" ca="1" si="48"/>
        <v>0</v>
      </c>
      <c r="DF37" s="411">
        <f t="shared" ca="1" si="48"/>
        <v>0</v>
      </c>
      <c r="DG37" s="411">
        <f t="shared" ca="1" si="48"/>
        <v>0</v>
      </c>
      <c r="DH37" s="411">
        <f t="shared" ca="1" si="48"/>
        <v>0</v>
      </c>
      <c r="DI37" s="411">
        <f t="shared" ca="1" si="48"/>
        <v>0</v>
      </c>
      <c r="DJ37" s="411">
        <f t="shared" ca="1" si="48"/>
        <v>0</v>
      </c>
      <c r="DK37" s="411">
        <f t="shared" ca="1" si="48"/>
        <v>0</v>
      </c>
      <c r="DL37" s="411">
        <f t="shared" ca="1" si="48"/>
        <v>0</v>
      </c>
      <c r="DM37" s="411">
        <f t="shared" ca="1" si="48"/>
        <v>0</v>
      </c>
      <c r="DN37" s="411">
        <f t="shared" ca="1" si="48"/>
        <v>0</v>
      </c>
      <c r="DO37" s="411">
        <f t="shared" ca="1" si="48"/>
        <v>0</v>
      </c>
      <c r="DP37" s="411">
        <f t="shared" ca="1" si="48"/>
        <v>0</v>
      </c>
      <c r="DQ37" s="411">
        <f t="shared" ca="1" si="48"/>
        <v>0</v>
      </c>
      <c r="DR37" s="411">
        <f t="shared" ca="1" si="48"/>
        <v>0</v>
      </c>
      <c r="DS37" s="411">
        <f t="shared" ca="1" si="48"/>
        <v>0</v>
      </c>
      <c r="DT37" s="411">
        <f t="shared" ca="1" si="48"/>
        <v>0</v>
      </c>
      <c r="DU37" s="411">
        <f t="shared" ca="1" si="48"/>
        <v>0</v>
      </c>
      <c r="DV37" s="411">
        <f t="shared" ca="1" si="48"/>
        <v>0</v>
      </c>
      <c r="DW37" s="411">
        <f t="shared" ca="1" si="48"/>
        <v>0</v>
      </c>
      <c r="DX37" s="411">
        <f t="shared" ca="1" si="48"/>
        <v>0</v>
      </c>
      <c r="DY37" s="411">
        <f t="shared" ca="1" si="48"/>
        <v>0</v>
      </c>
      <c r="DZ37" s="411">
        <f t="shared" ca="1" si="48"/>
        <v>0</v>
      </c>
      <c r="EA37" s="411">
        <f t="shared" ca="1" si="48"/>
        <v>0</v>
      </c>
      <c r="EB37" s="389"/>
      <c r="EC37" s="392" t="s">
        <v>65</v>
      </c>
    </row>
    <row r="38" spans="1:134" s="390" customFormat="1" ht="15" customHeight="1" outlineLevel="1">
      <c r="A38" s="389"/>
      <c r="B38" s="389"/>
      <c r="C38" s="389"/>
      <c r="D38" s="412"/>
      <c r="E38" s="413"/>
      <c r="F38" s="413"/>
      <c r="G38" s="413"/>
      <c r="H38" s="413"/>
      <c r="I38" s="798"/>
      <c r="J38" s="701"/>
      <c r="K38" s="413"/>
      <c r="L38" s="413"/>
      <c r="M38" s="413"/>
      <c r="N38" s="413"/>
      <c r="O38" s="413"/>
      <c r="P38" s="413"/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3"/>
      <c r="AD38" s="413"/>
      <c r="AE38" s="413"/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3"/>
      <c r="AS38" s="413"/>
      <c r="AT38" s="413"/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3"/>
      <c r="BH38" s="413"/>
      <c r="BI38" s="413"/>
      <c r="BJ38" s="413"/>
      <c r="BK38" s="413"/>
      <c r="BL38" s="413"/>
      <c r="BM38" s="413"/>
      <c r="BN38" s="413"/>
      <c r="BO38" s="413"/>
      <c r="BP38" s="413"/>
      <c r="BQ38" s="413"/>
      <c r="BR38" s="413"/>
      <c r="BS38" s="413"/>
      <c r="BT38" s="413"/>
      <c r="BU38" s="413"/>
      <c r="BV38" s="413"/>
      <c r="BW38" s="413"/>
      <c r="BX38" s="413"/>
      <c r="BY38" s="413"/>
      <c r="BZ38" s="413"/>
      <c r="CA38" s="413"/>
      <c r="CB38" s="413"/>
      <c r="CC38" s="413"/>
      <c r="CD38" s="413"/>
      <c r="CE38" s="413"/>
      <c r="CF38" s="413"/>
      <c r="CG38" s="413"/>
      <c r="CH38" s="413"/>
      <c r="CI38" s="413"/>
      <c r="CJ38" s="413"/>
      <c r="CK38" s="413"/>
      <c r="CL38" s="413"/>
      <c r="CM38" s="413"/>
      <c r="CN38" s="413"/>
      <c r="CO38" s="413"/>
      <c r="CP38" s="413"/>
      <c r="CQ38" s="413"/>
      <c r="CR38" s="413"/>
      <c r="CS38" s="413"/>
      <c r="CT38" s="413"/>
      <c r="CU38" s="413"/>
      <c r="CV38" s="413"/>
      <c r="CW38" s="413"/>
      <c r="CX38" s="413"/>
      <c r="CY38" s="413"/>
      <c r="CZ38" s="413"/>
      <c r="DA38" s="413"/>
      <c r="DB38" s="413"/>
      <c r="DC38" s="413"/>
      <c r="DD38" s="413"/>
      <c r="DE38" s="413"/>
      <c r="DF38" s="413"/>
      <c r="DG38" s="413"/>
      <c r="DH38" s="413"/>
      <c r="DI38" s="413"/>
      <c r="DJ38" s="413"/>
      <c r="DK38" s="413"/>
      <c r="DL38" s="413"/>
      <c r="DM38" s="413"/>
      <c r="DN38" s="413"/>
      <c r="DO38" s="413"/>
      <c r="DP38" s="413"/>
      <c r="DQ38" s="413"/>
      <c r="DR38" s="413"/>
      <c r="DS38" s="413"/>
      <c r="DT38" s="413"/>
      <c r="DU38" s="413"/>
      <c r="DV38" s="413"/>
      <c r="DW38" s="413"/>
      <c r="DX38" s="413"/>
      <c r="DY38" s="413"/>
      <c r="DZ38" s="413"/>
      <c r="EA38" s="413"/>
      <c r="EB38" s="389"/>
      <c r="EC38" s="392" t="s">
        <v>65</v>
      </c>
    </row>
    <row r="39" spans="1:134" s="390" customFormat="1" ht="15" customHeight="1">
      <c r="A39" s="389"/>
      <c r="B39" s="389"/>
      <c r="C39" s="389"/>
      <c r="D39" s="998" t="s">
        <v>1157</v>
      </c>
      <c r="E39" s="413"/>
      <c r="F39" s="413"/>
      <c r="G39" s="413"/>
      <c r="H39" s="413"/>
      <c r="I39" s="798"/>
      <c r="J39" s="701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13"/>
      <c r="AO39" s="413"/>
      <c r="AP39" s="413"/>
      <c r="AQ39" s="413"/>
      <c r="AR39" s="413"/>
      <c r="AS39" s="413"/>
      <c r="AT39" s="413"/>
      <c r="AU39" s="413"/>
      <c r="AV39" s="413"/>
      <c r="AW39" s="413"/>
      <c r="AX39" s="413"/>
      <c r="AY39" s="413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3"/>
      <c r="BT39" s="413"/>
      <c r="BU39" s="413"/>
      <c r="BV39" s="413"/>
      <c r="BW39" s="413"/>
      <c r="BX39" s="413"/>
      <c r="BY39" s="413"/>
      <c r="BZ39" s="413"/>
      <c r="CA39" s="413"/>
      <c r="CB39" s="413"/>
      <c r="CC39" s="413"/>
      <c r="CD39" s="413"/>
      <c r="CE39" s="413"/>
      <c r="CF39" s="413"/>
      <c r="CG39" s="413"/>
      <c r="CH39" s="413"/>
      <c r="CI39" s="413"/>
      <c r="CJ39" s="413"/>
      <c r="CK39" s="413"/>
      <c r="CL39" s="413"/>
      <c r="CM39" s="413"/>
      <c r="CN39" s="413"/>
      <c r="CO39" s="413"/>
      <c r="CP39" s="413"/>
      <c r="CQ39" s="413"/>
      <c r="CR39" s="413"/>
      <c r="CS39" s="413"/>
      <c r="CT39" s="413"/>
      <c r="CU39" s="413"/>
      <c r="CV39" s="413"/>
      <c r="CW39" s="413"/>
      <c r="CX39" s="413"/>
      <c r="CY39" s="413"/>
      <c r="CZ39" s="413"/>
      <c r="DA39" s="413"/>
      <c r="DB39" s="413"/>
      <c r="DC39" s="413"/>
      <c r="DD39" s="413"/>
      <c r="DE39" s="413"/>
      <c r="DF39" s="413"/>
      <c r="DG39" s="413"/>
      <c r="DH39" s="413"/>
      <c r="DI39" s="413"/>
      <c r="DJ39" s="413"/>
      <c r="DK39" s="413"/>
      <c r="DL39" s="413"/>
      <c r="DM39" s="413"/>
      <c r="DN39" s="413"/>
      <c r="DO39" s="413"/>
      <c r="DP39" s="413"/>
      <c r="DQ39" s="413"/>
      <c r="DR39" s="413"/>
      <c r="DS39" s="413"/>
      <c r="DT39" s="413"/>
      <c r="DU39" s="413"/>
      <c r="DV39" s="413"/>
      <c r="DW39" s="413"/>
      <c r="DX39" s="413"/>
      <c r="DY39" s="413"/>
      <c r="DZ39" s="413"/>
      <c r="EA39" s="413"/>
      <c r="EB39" s="389"/>
      <c r="EC39" s="392" t="s">
        <v>65</v>
      </c>
    </row>
    <row r="40" spans="1:134" s="390" customFormat="1" ht="15" customHeight="1">
      <c r="A40" s="389"/>
      <c r="B40" s="389"/>
      <c r="C40" s="389"/>
      <c r="D40" s="998"/>
      <c r="E40" s="413"/>
      <c r="F40" s="413"/>
      <c r="G40" s="413"/>
      <c r="H40" s="413"/>
      <c r="I40" s="798"/>
      <c r="J40" s="701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  <c r="AL40" s="413"/>
      <c r="AM40" s="413"/>
      <c r="AN40" s="413"/>
      <c r="AO40" s="413"/>
      <c r="AP40" s="413"/>
      <c r="AQ40" s="413"/>
      <c r="AR40" s="413"/>
      <c r="AS40" s="413"/>
      <c r="AT40" s="413"/>
      <c r="AU40" s="413"/>
      <c r="AV40" s="413"/>
      <c r="AW40" s="413"/>
      <c r="AX40" s="413"/>
      <c r="AY40" s="413"/>
      <c r="AZ40" s="413"/>
      <c r="BA40" s="413"/>
      <c r="BB40" s="413"/>
      <c r="BC40" s="413"/>
      <c r="BD40" s="413"/>
      <c r="BE40" s="413"/>
      <c r="BF40" s="413"/>
      <c r="BG40" s="413"/>
      <c r="BH40" s="413"/>
      <c r="BI40" s="413"/>
      <c r="BJ40" s="413"/>
      <c r="BK40" s="413"/>
      <c r="BL40" s="413"/>
      <c r="BM40" s="413"/>
      <c r="BN40" s="413"/>
      <c r="BO40" s="413"/>
      <c r="BP40" s="413"/>
      <c r="BQ40" s="413"/>
      <c r="BR40" s="413"/>
      <c r="BS40" s="413"/>
      <c r="BT40" s="413"/>
      <c r="BU40" s="413"/>
      <c r="BV40" s="413"/>
      <c r="BW40" s="413"/>
      <c r="BX40" s="413"/>
      <c r="BY40" s="413"/>
      <c r="BZ40" s="413"/>
      <c r="CA40" s="413"/>
      <c r="CB40" s="413"/>
      <c r="CC40" s="413"/>
      <c r="CD40" s="413"/>
      <c r="CE40" s="413"/>
      <c r="CF40" s="413"/>
      <c r="CG40" s="413"/>
      <c r="CH40" s="413"/>
      <c r="CI40" s="413"/>
      <c r="CJ40" s="413"/>
      <c r="CK40" s="413"/>
      <c r="CL40" s="413"/>
      <c r="CM40" s="413"/>
      <c r="CN40" s="413"/>
      <c r="CO40" s="413"/>
      <c r="CP40" s="413"/>
      <c r="CQ40" s="413"/>
      <c r="CR40" s="413"/>
      <c r="CS40" s="413"/>
      <c r="CT40" s="413"/>
      <c r="CU40" s="413"/>
      <c r="CV40" s="413"/>
      <c r="CW40" s="413"/>
      <c r="CX40" s="413"/>
      <c r="CY40" s="413"/>
      <c r="CZ40" s="413"/>
      <c r="DA40" s="413"/>
      <c r="DB40" s="413"/>
      <c r="DC40" s="413"/>
      <c r="DD40" s="413"/>
      <c r="DE40" s="413"/>
      <c r="DF40" s="413"/>
      <c r="DG40" s="413"/>
      <c r="DH40" s="413"/>
      <c r="DI40" s="413"/>
      <c r="DJ40" s="413"/>
      <c r="DK40" s="413"/>
      <c r="DL40" s="413"/>
      <c r="DM40" s="413"/>
      <c r="DN40" s="413"/>
      <c r="DO40" s="413"/>
      <c r="DP40" s="413"/>
      <c r="DQ40" s="413"/>
      <c r="DR40" s="413"/>
      <c r="DS40" s="413"/>
      <c r="DT40" s="413"/>
      <c r="DU40" s="413"/>
      <c r="DV40" s="413"/>
      <c r="DW40" s="413"/>
      <c r="DX40" s="413"/>
      <c r="DY40" s="413"/>
      <c r="DZ40" s="413"/>
      <c r="EA40" s="413"/>
      <c r="EB40" s="389"/>
      <c r="EC40" s="392" t="s">
        <v>65</v>
      </c>
    </row>
    <row r="41" spans="1:134" s="390" customFormat="1" ht="15" customHeight="1">
      <c r="A41" s="389"/>
      <c r="B41" s="389"/>
      <c r="C41" s="389"/>
      <c r="D41" s="419" t="s">
        <v>1109</v>
      </c>
      <c r="E41" s="413"/>
      <c r="F41" s="413"/>
      <c r="G41" s="413"/>
      <c r="H41" s="413"/>
      <c r="I41" s="795">
        <f t="shared" ref="I41:I44" ca="1" si="49">SUM(K41:EA41)</f>
        <v>42410996.646115631</v>
      </c>
      <c r="J41" s="701"/>
      <c r="K41" s="507"/>
      <c r="L41" s="704">
        <f>IF(L8&lt;=Assumptions!$M$58,SUMIFS('Cash Flow MH'!$D$91:$DS$91,'Cash Flow MH'!$D$8:$DS$8,'Monthly-CF'!L8),0)</f>
        <v>0</v>
      </c>
      <c r="M41" s="704">
        <f>IF(M8&lt;=Assumptions!$M$58,SUMIFS('Cash Flow MH'!$D$91:$DS$91,'Cash Flow MH'!$D$8:$DS$8,'Monthly-CF'!M8),0)</f>
        <v>0</v>
      </c>
      <c r="N41" s="704">
        <f>IF(N8&lt;=Assumptions!$M$58,SUMIFS('Cash Flow MH'!$D$91:$DS$91,'Cash Flow MH'!$D$8:$DS$8,'Monthly-CF'!N8),0)</f>
        <v>0</v>
      </c>
      <c r="O41" s="704">
        <f>IF(O8&lt;=Assumptions!$M$58,SUMIFS('Cash Flow MH'!$D$91:$DS$91,'Cash Flow MH'!$D$8:$DS$8,'Monthly-CF'!O8),0)</f>
        <v>0</v>
      </c>
      <c r="P41" s="704">
        <f>IF(P8&lt;=Assumptions!$M$58,SUMIFS('Cash Flow MH'!$D$91:$DS$91,'Cash Flow MH'!$D$8:$DS$8,'Monthly-CF'!P8),0)</f>
        <v>0</v>
      </c>
      <c r="Q41" s="704">
        <f>IF(Q8&lt;=Assumptions!$M$58,SUMIFS('Cash Flow MH'!$D$91:$DS$91,'Cash Flow MH'!$D$8:$DS$8,'Monthly-CF'!Q8),0)</f>
        <v>0</v>
      </c>
      <c r="R41" s="704">
        <f>IF(R8&lt;=Assumptions!$M$58,SUMIFS('Cash Flow MH'!$D$91:$DS$91,'Cash Flow MH'!$D$8:$DS$8,'Monthly-CF'!R8),0)</f>
        <v>0</v>
      </c>
      <c r="S41" s="704">
        <f>IF(S8&lt;=Assumptions!$M$58,SUMIFS('Cash Flow MH'!$D$91:$DS$91,'Cash Flow MH'!$D$8:$DS$8,'Monthly-CF'!S8),0)</f>
        <v>0</v>
      </c>
      <c r="T41" s="704">
        <f>IF(T8&lt;=Assumptions!$M$58,SUMIFS('Cash Flow MH'!$D$91:$DS$91,'Cash Flow MH'!$D$8:$DS$8,'Monthly-CF'!T8),0)</f>
        <v>0</v>
      </c>
      <c r="U41" s="704">
        <f>IF(U8&lt;=Assumptions!$M$58,SUMIFS('Cash Flow MH'!$D$91:$DS$91,'Cash Flow MH'!$D$8:$DS$8,'Monthly-CF'!U8),0)</f>
        <v>0</v>
      </c>
      <c r="V41" s="704">
        <f>IF(V8&lt;=Assumptions!$M$58,SUMIFS('Cash Flow MH'!$D$91:$DS$91,'Cash Flow MH'!$D$8:$DS$8,'Monthly-CF'!V8),0)</f>
        <v>0</v>
      </c>
      <c r="W41" s="704">
        <f>IF(W8&lt;=Assumptions!$M$58,SUMIFS('Cash Flow MH'!$D$91:$DS$91,'Cash Flow MH'!$D$8:$DS$8,'Monthly-CF'!W8),0)</f>
        <v>0</v>
      </c>
      <c r="X41" s="704">
        <f>IF(X8&lt;=Assumptions!$M$58,SUMIFS('Cash Flow MH'!$D$91:$DS$91,'Cash Flow MH'!$D$8:$DS$8,'Monthly-CF'!X8),0)</f>
        <v>0</v>
      </c>
      <c r="Y41" s="704">
        <f>IF(Y8&lt;=Assumptions!$M$58,SUMIFS('Cash Flow MH'!$D$91:$DS$91,'Cash Flow MH'!$D$8:$DS$8,'Monthly-CF'!Y8),0)</f>
        <v>0</v>
      </c>
      <c r="Z41" s="704">
        <f>IF(Z8&lt;=Assumptions!$M$58,SUMIFS('Cash Flow MH'!$D$91:$DS$91,'Cash Flow MH'!$D$8:$DS$8,'Monthly-CF'!Z8),0)</f>
        <v>0</v>
      </c>
      <c r="AA41" s="704">
        <f>IF(AA8&lt;=Assumptions!$M$58,SUMIFS('Cash Flow MH'!$D$91:$DS$91,'Cash Flow MH'!$D$8:$DS$8,'Monthly-CF'!AA8),0)</f>
        <v>0</v>
      </c>
      <c r="AB41" s="704">
        <f>IF(AB8&lt;=Assumptions!$M$58,SUMIFS('Cash Flow MH'!$D$91:$DS$91,'Cash Flow MH'!$D$8:$DS$8,'Monthly-CF'!AB8),0)</f>
        <v>0</v>
      </c>
      <c r="AC41" s="704">
        <f>IF(AC8&lt;=Assumptions!$M$58,SUMIFS('Cash Flow MH'!$D$91:$DS$91,'Cash Flow MH'!$D$8:$DS$8,'Monthly-CF'!AC8),0)</f>
        <v>0</v>
      </c>
      <c r="AD41" s="704">
        <f>IF(AD8&lt;=Assumptions!$M$58,SUMIFS('Cash Flow MH'!$D$91:$DS$91,'Cash Flow MH'!$D$8:$DS$8,'Monthly-CF'!AD8),0)</f>
        <v>0</v>
      </c>
      <c r="AE41" s="704">
        <f ca="1">IF(AE8&lt;=Assumptions!$M$58,SUMIFS('Cash Flow MH'!$D$91:$DS$91,'Cash Flow MH'!$D$8:$DS$8,'Monthly-CF'!AE8),0)</f>
        <v>188157.54828936674</v>
      </c>
      <c r="AF41" s="704">
        <f ca="1">IF(AF8&lt;=Assumptions!$M$58,SUMIFS('Cash Flow MH'!$D$91:$DS$91,'Cash Flow MH'!$D$8:$DS$8,'Monthly-CF'!AF8),0)</f>
        <v>188157.54828936674</v>
      </c>
      <c r="AG41" s="704">
        <f ca="1">IF(AG8&lt;=Assumptions!$M$58,SUMIFS('Cash Flow MH'!$D$91:$DS$91,'Cash Flow MH'!$D$8:$DS$8,'Monthly-CF'!AG8),0)</f>
        <v>188157.54828936674</v>
      </c>
      <c r="AH41" s="704">
        <f ca="1">IF(AH8&lt;=Assumptions!$M$58,SUMIFS('Cash Flow MH'!$D$91:$DS$91,'Cash Flow MH'!$D$8:$DS$8,'Monthly-CF'!AH8),0)</f>
        <v>199548.94971646683</v>
      </c>
      <c r="AI41" s="704">
        <f ca="1">IF(AI8&lt;=Assumptions!$M$58,SUMIFS('Cash Flow MH'!$D$91:$DS$91,'Cash Flow MH'!$D$8:$DS$8,'Monthly-CF'!AI8),0)</f>
        <v>244331.55292301223</v>
      </c>
      <c r="AJ41" s="704">
        <f ca="1">IF(AJ8&lt;=Assumptions!$M$58,SUMIFS('Cash Flow MH'!$D$91:$DS$91,'Cash Flow MH'!$D$8:$DS$8,'Monthly-CF'!AJ8),0)</f>
        <v>288740.92109559081</v>
      </c>
      <c r="AK41" s="704">
        <f ca="1">IF(AK8&lt;=Assumptions!$M$58,SUMIFS('Cash Flow MH'!$D$91:$DS$91,'Cash Flow MH'!$D$8:$DS$8,'Monthly-CF'!AK8),0)</f>
        <v>271718.24319571588</v>
      </c>
      <c r="AL41" s="704">
        <f ca="1">IF(AL8&lt;=Assumptions!$M$58,SUMIFS('Cash Flow MH'!$D$91:$DS$91,'Cash Flow MH'!$D$8:$DS$8,'Monthly-CF'!AL8),0)</f>
        <v>303190.48070953868</v>
      </c>
      <c r="AM41" s="704">
        <f ca="1">IF(AM8&lt;=Assumptions!$M$58,SUMIFS('Cash Flow MH'!$D$91:$DS$91,'Cash Flow MH'!$D$8:$DS$8,'Monthly-CF'!AM8),0)</f>
        <v>346664.75519219245</v>
      </c>
      <c r="AN41" s="704">
        <f ca="1">IF(AN8&lt;=Assumptions!$M$58,SUMIFS('Cash Flow MH'!$D$91:$DS$91,'Cash Flow MH'!$D$8:$DS$8,'Monthly-CF'!AN8),0)</f>
        <v>441843.99098290724</v>
      </c>
      <c r="AO41" s="704">
        <f ca="1">IF(AO8&lt;=Assumptions!$M$58,SUMIFS('Cash Flow MH'!$D$91:$DS$91,'Cash Flow MH'!$D$8:$DS$8,'Monthly-CF'!AO8),0)</f>
        <v>327812.80530404521</v>
      </c>
      <c r="AP41" s="704">
        <f ca="1">IF(AP8&lt;=Assumptions!$M$58,SUMIFS('Cash Flow MH'!$D$91:$DS$91,'Cash Flow MH'!$D$8:$DS$8,'Monthly-CF'!AP8),0)</f>
        <v>258272.86435180143</v>
      </c>
      <c r="AQ41" s="704">
        <f ca="1">IF(AQ8&lt;=Assumptions!$M$58,SUMIFS('Cash Flow MH'!$D$91:$DS$91,'Cash Flow MH'!$D$8:$DS$8,'Monthly-CF'!AQ8),0)</f>
        <v>218390.04695824362</v>
      </c>
      <c r="AR41" s="704">
        <f ca="1">IF(AR8&lt;=Assumptions!$M$58,SUMIFS('Cash Flow MH'!$D$91:$DS$91,'Cash Flow MH'!$D$8:$DS$8,'Monthly-CF'!AR8),0)</f>
        <v>298374.48358202621</v>
      </c>
      <c r="AS41" s="704">
        <f ca="1">IF(AS8&lt;=Assumptions!$M$58,SUMIFS('Cash Flow MH'!$D$91:$DS$91,'Cash Flow MH'!$D$8:$DS$8,'Monthly-CF'!AS8),0)</f>
        <v>442872.70932236721</v>
      </c>
      <c r="AT41" s="704">
        <f ca="1">IF(AT8&lt;=Assumptions!$M$58,SUMIFS('Cash Flow MH'!$D$91:$DS$91,'Cash Flow MH'!$D$8:$DS$8,'Monthly-CF'!AT8),0)</f>
        <v>450310.33771930198</v>
      </c>
      <c r="AU41" s="704">
        <f ca="1">IF(AU8&lt;=Assumptions!$M$58,SUMIFS('Cash Flow MH'!$D$91:$DS$91,'Cash Flow MH'!$D$8:$DS$8,'Monthly-CF'!AU8),0)</f>
        <v>475885.20579971565</v>
      </c>
      <c r="AV41" s="704">
        <f ca="1">IF(AV8&lt;=Assumptions!$M$58,SUMIFS('Cash Flow MH'!$D$91:$DS$91,'Cash Flow MH'!$D$8:$DS$8,'Monthly-CF'!AV8),0)</f>
        <v>499018.38724225387</v>
      </c>
      <c r="AW41" s="704">
        <f ca="1">IF(AW8&lt;=Assumptions!$M$58,SUMIFS('Cash Flow MH'!$D$91:$DS$91,'Cash Flow MH'!$D$8:$DS$8,'Monthly-CF'!AW8),0)</f>
        <v>421229.42846039729</v>
      </c>
      <c r="AX41" s="704">
        <f ca="1">IF(AX8&lt;=Assumptions!$M$58,SUMIFS('Cash Flow MH'!$D$91:$DS$91,'Cash Flow MH'!$D$8:$DS$8,'Monthly-CF'!AX8),0)</f>
        <v>418369.65189794113</v>
      </c>
      <c r="AY41" s="704">
        <f ca="1">IF(AY8&lt;=Assumptions!$M$58,SUMIFS('Cash Flow MH'!$D$91:$DS$91,'Cash Flow MH'!$D$8:$DS$8,'Monthly-CF'!AY8),0)</f>
        <v>458669.15976637154</v>
      </c>
      <c r="AZ41" s="704">
        <f ca="1">IF(AZ8&lt;=Assumptions!$M$58,SUMIFS('Cash Flow MH'!$D$91:$DS$91,'Cash Flow MH'!$D$8:$DS$8,'Monthly-CF'!AZ8),0)</f>
        <v>560154.9390642537</v>
      </c>
      <c r="BA41" s="704">
        <f ca="1">IF(BA8&lt;=Assumptions!$M$58,SUMIFS('Cash Flow MH'!$D$91:$DS$91,'Cash Flow MH'!$D$8:$DS$8,'Monthly-CF'!BA8),0)</f>
        <v>406987.69095408428</v>
      </c>
      <c r="BB41" s="704">
        <f ca="1">IF(BB8&lt;=Assumptions!$M$58,SUMIFS('Cash Flow MH'!$D$91:$DS$91,'Cash Flow MH'!$D$8:$DS$8,'Monthly-CF'!BB8),0)</f>
        <v>313071.94894593529</v>
      </c>
      <c r="BC41" s="704">
        <f ca="1">IF(BC8&lt;=Assumptions!$M$58,SUMIFS('Cash Flow MH'!$D$91:$DS$91,'Cash Flow MH'!$D$8:$DS$8,'Monthly-CF'!BC8),0)</f>
        <v>257849.21053421916</v>
      </c>
      <c r="BD41" s="704">
        <f ca="1">IF(BD8&lt;=Assumptions!$M$58,SUMIFS('Cash Flow MH'!$D$91:$DS$91,'Cash Flow MH'!$D$8:$DS$8,'Monthly-CF'!BD8),0)</f>
        <v>337516.02287975757</v>
      </c>
      <c r="BE41" s="704">
        <f ca="1">IF(BE8&lt;=Assumptions!$M$58,SUMIFS('Cash Flow MH'!$D$91:$DS$91,'Cash Flow MH'!$D$8:$DS$8,'Monthly-CF'!BE8),0)</f>
        <v>483486.2090498216</v>
      </c>
      <c r="BF41" s="704">
        <f ca="1">IF(BF8&lt;=Assumptions!$M$58,SUMIFS('Cash Flow MH'!$D$91:$DS$91,'Cash Flow MH'!$D$8:$DS$8,'Monthly-CF'!BF8),0)</f>
        <v>477698.20680881431</v>
      </c>
      <c r="BG41" s="704">
        <f ca="1">IF(BG8&lt;=Assumptions!$M$58,SUMIFS('Cash Flow MH'!$D$91:$DS$91,'Cash Flow MH'!$D$8:$DS$8,'Monthly-CF'!BG8),0)</f>
        <v>490950.44804291026</v>
      </c>
      <c r="BH41" s="704">
        <f ca="1">IF(BH8&lt;=Assumptions!$M$58,SUMIFS('Cash Flow MH'!$D$91:$DS$91,'Cash Flow MH'!$D$8:$DS$8,'Monthly-CF'!BH8),0)</f>
        <v>501203.80580174603</v>
      </c>
      <c r="BI41" s="704">
        <f ca="1">IF(BI8&lt;=Assumptions!$M$58,SUMIFS('Cash Flow MH'!$D$91:$DS$91,'Cash Flow MH'!$D$8:$DS$8,'Monthly-CF'!BI8),0)</f>
        <v>422176.77989131567</v>
      </c>
      <c r="BJ41" s="704">
        <f ca="1">IF(BJ8&lt;=Assumptions!$M$58,SUMIFS('Cash Flow MH'!$D$91:$DS$91,'Cash Flow MH'!$D$8:$DS$8,'Monthly-CF'!BJ8),0)</f>
        <v>419280.96851486224</v>
      </c>
      <c r="BK41" s="704">
        <f ca="1">IF(BK8&lt;=Assumptions!$M$58,SUMIFS('Cash Flow MH'!$D$91:$DS$91,'Cash Flow MH'!$D$8:$DS$8,'Monthly-CF'!BK8),0)</f>
        <v>460219.08677003242</v>
      </c>
      <c r="BL41" s="704">
        <f ca="1">IF(BL8&lt;=Assumptions!$M$58,SUMIFS('Cash Flow MH'!$D$91:$DS$91,'Cash Flow MH'!$D$8:$DS$8,'Monthly-CF'!BL8),0)</f>
        <v>563266.65722567413</v>
      </c>
      <c r="BM41" s="704">
        <f ca="1">IF(BM8&lt;=Assumptions!$M$58,SUMIFS('Cash Flow MH'!$D$91:$DS$91,'Cash Flow MH'!$D$8:$DS$8,'Monthly-CF'!BM8),0)</f>
        <v>407757.64833701594</v>
      </c>
      <c r="BN41" s="704">
        <f ca="1">IF(BN8&lt;=Assumptions!$M$58,SUMIFS('Cash Flow MH'!$D$91:$DS$91,'Cash Flow MH'!$D$8:$DS$8,'Monthly-CF'!BN8),0)</f>
        <v>312413.99562912481</v>
      </c>
      <c r="BO41" s="704">
        <f ca="1">IF(BO8&lt;=Assumptions!$M$58,SUMIFS('Cash Flow MH'!$D$91:$DS$91,'Cash Flow MH'!$D$8:$DS$8,'Monthly-CF'!BO8),0)</f>
        <v>259476.87155394984</v>
      </c>
      <c r="BP41" s="704">
        <f ca="1">IF(BP8&lt;=Assumptions!$M$58,SUMIFS('Cash Flow MH'!$D$91:$DS$91,'Cash Flow MH'!$D$8:$DS$8,'Monthly-CF'!BP8),0)</f>
        <v>357394.93935103988</v>
      </c>
      <c r="BQ41" s="704">
        <f ca="1">IF(BQ8&lt;=Assumptions!$M$58,SUMIFS('Cash Flow MH'!$D$91:$DS$91,'Cash Flow MH'!$D$8:$DS$8,'Monthly-CF'!BQ8),0)</f>
        <v>488473.91404245282</v>
      </c>
      <c r="BR41" s="704">
        <f ca="1">IF(BR8&lt;=Assumptions!$M$58,SUMIFS('Cash Flow MH'!$D$91:$DS$91,'Cash Flow MH'!$D$8:$DS$8,'Monthly-CF'!BR8),0)</f>
        <v>482614.69438761985</v>
      </c>
      <c r="BS41" s="704">
        <f ca="1">IF(BS8&lt;=Assumptions!$M$58,SUMIFS('Cash Flow MH'!$D$91:$DS$91,'Cash Flow MH'!$D$8:$DS$8,'Monthly-CF'!BS8),0)</f>
        <v>496055.49471696763</v>
      </c>
      <c r="BT41" s="704">
        <f ca="1">IF(BT8&lt;=Assumptions!$M$58,SUMIFS('Cash Flow MH'!$D$91:$DS$91,'Cash Flow MH'!$D$8:$DS$8,'Monthly-CF'!BT8),0)</f>
        <v>506497.9801474493</v>
      </c>
      <c r="BU41" s="704">
        <f ca="1">IF(BU8&lt;=Assumptions!$M$58,SUMIFS('Cash Flow MH'!$D$91:$DS$91,'Cash Flow MH'!$D$8:$DS$8,'Monthly-CF'!BU8),0)</f>
        <v>426228.61314363492</v>
      </c>
      <c r="BV41" s="704">
        <f ca="1">IF(BV8&lt;=Assumptions!$M$58,SUMIFS('Cash Flow MH'!$D$91:$DS$91,'Cash Flow MH'!$D$8:$DS$8,'Monthly-CF'!BV8),0)</f>
        <v>423297.17866324988</v>
      </c>
      <c r="BW41" s="704">
        <f ca="1">IF(BW8&lt;=Assumptions!$M$58,SUMIFS('Cash Flow MH'!$D$91:$DS$91,'Cash Flow MH'!$D$8:$DS$8,'Monthly-CF'!BW8),0)</f>
        <v>464875.95437128301</v>
      </c>
      <c r="BX41" s="704">
        <f ca="1">IF(BX8&lt;=Assumptions!$M$58,SUMIFS('Cash Flow MH'!$D$91:$DS$91,'Cash Flow MH'!$D$8:$DS$8,'Monthly-CF'!BX8),0)</f>
        <v>569487.68625278189</v>
      </c>
      <c r="BY41" s="704">
        <f ca="1">IF(BY8&lt;=Assumptions!$M$58,SUMIFS('Cash Flow MH'!$D$91:$DS$91,'Cash Flow MH'!$D$8:$DS$8,'Monthly-CF'!BY8),0)</f>
        <v>411634.26146222465</v>
      </c>
      <c r="BZ41" s="704">
        <f ca="1">IF(BZ8&lt;=Assumptions!$M$58,SUMIFS('Cash Flow MH'!$D$91:$DS$91,'Cash Flow MH'!$D$8:$DS$8,'Monthly-CF'!BZ8),0)</f>
        <v>314861.54758041451</v>
      </c>
      <c r="CA41" s="704">
        <f ca="1">IF(CA8&lt;=Assumptions!$M$58,SUMIFS('Cash Flow MH'!$D$91:$DS$91,'Cash Flow MH'!$D$8:$DS$8,'Monthly-CF'!CA8),0)</f>
        <v>260970.12794538355</v>
      </c>
      <c r="CB41" s="704">
        <f ca="1">IF(CB8&lt;=Assumptions!$M$58,SUMIFS('Cash Flow MH'!$D$91:$DS$91,'Cash Flow MH'!$D$8:$DS$8,'Monthly-CF'!CB8),0)</f>
        <v>343039.94672898733</v>
      </c>
      <c r="CC41" s="704">
        <f ca="1">IF(CC8&lt;=Assumptions!$M$58,SUMIFS('Cash Flow MH'!$D$91:$DS$91,'Cash Flow MH'!$D$8:$DS$8,'Monthly-CF'!CC8),0)</f>
        <v>493325.74374649744</v>
      </c>
      <c r="CD41" s="704">
        <f ca="1">IF(CD8&lt;=Assumptions!$M$58,SUMIFS('Cash Flow MH'!$D$91:$DS$91,'Cash Flow MH'!$D$8:$DS$8,'Monthly-CF'!CD8),0)</f>
        <v>487396.24283502554</v>
      </c>
      <c r="CE41" s="704">
        <f ca="1">IF(CE8&lt;=Assumptions!$M$58,SUMIFS('Cash Flow MH'!$D$91:$DS$91,'Cash Flow MH'!$D$8:$DS$8,'Monthly-CF'!CE8),0)</f>
        <v>501024.98878823005</v>
      </c>
      <c r="CF41" s="704">
        <f ca="1">IF(CF8&lt;=Assumptions!$M$58,SUMIFS('Cash Flow MH'!$D$91:$DS$91,'Cash Flow MH'!$D$8:$DS$8,'Monthly-CF'!CF8),0)</f>
        <v>511658.72152867331</v>
      </c>
      <c r="CG41" s="704">
        <f ca="1">IF(CG8&lt;=Assumptions!$M$58,SUMIFS('Cash Flow MH'!$D$91:$DS$91,'Cash Flow MH'!$D$8:$DS$8,'Monthly-CF'!CG8),0)</f>
        <v>430143.59728919098</v>
      </c>
      <c r="CH41" s="704">
        <f ca="1">IF(CH8&lt;=Assumptions!$M$58,SUMIFS('Cash Flow MH'!$D$91:$DS$91,'Cash Flow MH'!$D$8:$DS$8,'Monthly-CF'!CH8),0)</f>
        <v>427177.0085488779</v>
      </c>
      <c r="CI41" s="704">
        <f ca="1">IF(CI8&lt;=Assumptions!$M$58,SUMIFS('Cash Flow MH'!$D$91:$DS$91,'Cash Flow MH'!$D$8:$DS$8,'Monthly-CF'!CI8),0)</f>
        <v>469398.03685051593</v>
      </c>
      <c r="CJ41" s="704">
        <f ca="1">IF(CJ8&lt;=Assumptions!$M$58,SUMIFS('Cash Flow MH'!$D$91:$DS$91,'Cash Flow MH'!$D$8:$DS$8,'Monthly-CF'!CJ8),0)</f>
        <v>575575.03703001305</v>
      </c>
      <c r="CK41" s="704">
        <f ca="1">IF(CK8&lt;=Assumptions!$M$58,SUMIFS('Cash Flow MH'!$D$91:$DS$91,'Cash Flow MH'!$D$8:$DS$8,'Monthly-CF'!CK8),0)</f>
        <v>415376.4894914428</v>
      </c>
      <c r="CL41" s="704">
        <f ca="1">IF(CL8&lt;=Assumptions!$M$58,SUMIFS('Cash Flow MH'!$D$91:$DS$91,'Cash Flow MH'!$D$8:$DS$8,'Monthly-CF'!CL8),0)</f>
        <v>317174.78005271533</v>
      </c>
      <c r="CM41" s="704">
        <f ca="1">IF(CM8&lt;=Assumptions!$M$58,SUMIFS('Cash Flow MH'!$D$91:$DS$91,'Cash Flow MH'!$D$8:$DS$8,'Monthly-CF'!CM8),0)</f>
        <v>262319.45053590491</v>
      </c>
      <c r="CN41" s="704">
        <f ca="1">IF(CN8&lt;=Assumptions!$M$58,SUMIFS('Cash Flow MH'!$D$91:$DS$91,'Cash Flow MH'!$D$8:$DS$8,'Monthly-CF'!CN8),0)</f>
        <v>345590.28212962096</v>
      </c>
      <c r="CO41" s="704">
        <f ca="1">IF(CO8&lt;=Assumptions!$M$58,SUMIFS('Cash Flow MH'!$D$91:$DS$91,'Cash Flow MH'!$D$8:$DS$8,'Monthly-CF'!CO8),0)</f>
        <v>498029.05671014637</v>
      </c>
      <c r="CP41" s="704">
        <f ca="1">IF(CP8&lt;=Assumptions!$M$58,SUMIFS('Cash Flow MH'!$D$91:$DS$91,'Cash Flow MH'!$D$8:$DS$8,'Monthly-CF'!CP8),0)</f>
        <v>492030.3309643268</v>
      </c>
      <c r="CQ41" s="704">
        <f ca="1">IF(CQ8&lt;=Assumptions!$M$58,SUMIFS('Cash Flow MH'!$D$91:$DS$91,'Cash Flow MH'!$D$8:$DS$8,'Monthly-CF'!CQ8),0)</f>
        <v>505846.20255852258</v>
      </c>
      <c r="CR41" s="704">
        <f ca="1">IF(CR8&lt;=Assumptions!$M$58,SUMIFS('Cash Flow MH'!$D$91:$DS$91,'Cash Flow MH'!$D$8:$DS$8,'Monthly-CF'!CR8),0)</f>
        <v>516673.25921063812</v>
      </c>
      <c r="CS41" s="704">
        <f ca="1">IF(CS8&lt;=Assumptions!$M$58,SUMIFS('Cash Flow MH'!$D$91:$DS$91,'Cash Flow MH'!$D$8:$DS$8,'Monthly-CF'!CS8),0)</f>
        <v>433909.87473165104</v>
      </c>
      <c r="CT41" s="704">
        <f ca="1">IF(CT8&lt;=Assumptions!$M$58,SUMIFS('Cash Flow MH'!$D$91:$DS$91,'Cash Flow MH'!$D$8:$DS$8,'Monthly-CF'!CT8),0)</f>
        <v>430908.66076684644</v>
      </c>
      <c r="CU41" s="704">
        <f ca="1">IF(CU8&lt;=Assumptions!$M$58,SUMIFS('Cash Flow MH'!$D$91:$DS$91,'Cash Flow MH'!$D$8:$DS$8,'Monthly-CF'!CU8),0)</f>
        <v>473773.05591956858</v>
      </c>
      <c r="CV41" s="704">
        <f ca="1">IF(CV8&lt;=Assumptions!$M$58,SUMIFS('Cash Flow MH'!$D$91:$DS$91,'Cash Flow MH'!$D$8:$DS$8,'Monthly-CF'!CV8),0)</f>
        <v>581515.08993625059</v>
      </c>
      <c r="CW41" s="704">
        <f ca="1">IF(CW8&lt;=Assumptions!$M$58,SUMIFS('Cash Flow MH'!$D$91:$DS$91,'Cash Flow MH'!$D$8:$DS$8,'Monthly-CF'!CW8),0)</f>
        <v>418972.78036709799</v>
      </c>
      <c r="CX41" s="704">
        <f ca="1">IF(CX8&lt;=Assumptions!$M$58,SUMIFS('Cash Flow MH'!$D$91:$DS$91,'Cash Flow MH'!$D$8:$DS$8,'Monthly-CF'!CX8),0)</f>
        <v>319343.43108053191</v>
      </c>
      <c r="CY41" s="704">
        <f ca="1">IF(CY8&lt;=Assumptions!$M$58,SUMIFS('Cash Flow MH'!$D$91:$DS$91,'Cash Flow MH'!$D$8:$DS$8,'Monthly-CF'!CY8),0)</f>
        <v>270189.03405198187</v>
      </c>
      <c r="CZ41" s="704">
        <f ca="1">IF(CZ8&lt;=Assumptions!$M$58,SUMIFS('Cash Flow MH'!$D$91:$DS$91,'Cash Flow MH'!$D$8:$DS$8,'Monthly-CF'!CZ8),0)</f>
        <v>355957.99059350963</v>
      </c>
      <c r="DA41" s="704">
        <f ca="1">IF(DA8&lt;=Assumptions!$M$58,SUMIFS('Cash Flow MH'!$D$91:$DS$91,'Cash Flow MH'!$D$8:$DS$8,'Monthly-CF'!DA8),0)</f>
        <v>512969.92841145088</v>
      </c>
      <c r="DB41" s="704">
        <f ca="1">IF(DB8&lt;=Assumptions!$M$58,SUMIFS('Cash Flow MH'!$D$91:$DS$91,'Cash Flow MH'!$D$8:$DS$8,'Monthly-CF'!DB8),0)</f>
        <v>506791.2408932565</v>
      </c>
      <c r="DC41" s="704">
        <f ca="1">IF(DC8&lt;=Assumptions!$M$58,SUMIFS('Cash Flow MH'!$D$91:$DS$91,'Cash Flow MH'!$D$8:$DS$8,'Monthly-CF'!DC8),0)</f>
        <v>521021.58863527817</v>
      </c>
      <c r="DD41" s="704">
        <f ca="1">IF(DD8&lt;=Assumptions!$M$58,SUMIFS('Cash Flow MH'!$D$91:$DS$91,'Cash Flow MH'!$D$8:$DS$8,'Monthly-CF'!DD8),0)</f>
        <v>532173.45698695711</v>
      </c>
      <c r="DE41" s="704">
        <f ca="1">IF(DE8&lt;=Assumptions!$M$58,SUMIFS('Cash Flow MH'!$D$91:$DS$91,'Cash Flow MH'!$D$8:$DS$8,'Monthly-CF'!DE8),0)</f>
        <v>446927.17097360076</v>
      </c>
      <c r="DF41" s="704">
        <f ca="1">IF(DF8&lt;=Assumptions!$M$58,SUMIFS('Cash Flow MH'!$D$91:$DS$91,'Cash Flow MH'!$D$8:$DS$8,'Monthly-CF'!DF8),0)</f>
        <v>443835.92058985209</v>
      </c>
      <c r="DG41" s="704">
        <f ca="1">IF(DG8&lt;=Assumptions!$M$58,SUMIFS('Cash Flow MH'!$D$91:$DS$91,'Cash Flow MH'!$D$8:$DS$8,'Monthly-CF'!DG8),0)</f>
        <v>487986.24759715569</v>
      </c>
      <c r="DH41" s="704">
        <f ca="1">IF(DH8&lt;=Assumptions!$M$58,SUMIFS('Cash Flow MH'!$D$91:$DS$91,'Cash Flow MH'!$D$8:$DS$8,'Monthly-CF'!DH8),0)</f>
        <v>598960.54263433814</v>
      </c>
      <c r="DI41" s="704">
        <f ca="1">IF(DI8&lt;=Assumptions!$M$58,SUMIFS('Cash Flow MH'!$D$91:$DS$91,'Cash Flow MH'!$D$8:$DS$8,'Monthly-CF'!DI8),0)</f>
        <v>431541.96377811092</v>
      </c>
      <c r="DJ41" s="704">
        <f ca="1">IF(DJ8&lt;=Assumptions!$M$58,SUMIFS('Cash Flow MH'!$D$91:$DS$91,'Cash Flow MH'!$D$8:$DS$8,'Monthly-CF'!DJ8),0)</f>
        <v>328923.73401294783</v>
      </c>
      <c r="DK41" s="704">
        <f ca="1">IF(DK8&lt;=Assumptions!$M$58,SUMIFS('Cash Flow MH'!$D$91:$DS$91,'Cash Flow MH'!$D$8:$DS$8,'Monthly-CF'!DK8),0)</f>
        <v>278294.7050735415</v>
      </c>
      <c r="DL41" s="704">
        <f ca="1">IF(DL8&lt;=Assumptions!$M$58,SUMIFS('Cash Flow MH'!$D$91:$DS$91,'Cash Flow MH'!$D$8:$DS$8,'Monthly-CF'!DL8),0)</f>
        <v>385239.99823313067</v>
      </c>
      <c r="DM41" s="704">
        <f ca="1">IF(DM8&lt;=Assumptions!$M$58,SUMIFS('Cash Flow MH'!$D$91:$DS$91,'Cash Flow MH'!$D$8:$DS$8,'Monthly-CF'!DM8),0)</f>
        <v>528359.02626379428</v>
      </c>
      <c r="DN41" s="704">
        <f ca="1">IF(DN8&lt;=Assumptions!$M$58,SUMIFS('Cash Flow MH'!$D$91:$DS$91,'Cash Flow MH'!$D$8:$DS$8,'Monthly-CF'!DN8),0)</f>
        <v>521994.97812005394</v>
      </c>
      <c r="DO41" s="704">
        <f ca="1">IF(DO8&lt;=Assumptions!$M$58,SUMIFS('Cash Flow MH'!$D$91:$DS$91,'Cash Flow MH'!$D$8:$DS$8,'Monthly-CF'!DO8),0)</f>
        <v>536652.23629433662</v>
      </c>
      <c r="DP41" s="704">
        <f ca="1">IF(DP8&lt;=Assumptions!$M$58,SUMIFS('Cash Flow MH'!$D$91:$DS$91,'Cash Flow MH'!$D$8:$DS$8,'Monthly-CF'!DP8),0)</f>
        <v>548138.66069656576</v>
      </c>
      <c r="DQ41" s="704">
        <f ca="1">IF(DQ8&lt;=Assumptions!$M$58,SUMIFS('Cash Flow MH'!$D$91:$DS$91,'Cash Flow MH'!$D$8:$DS$8,'Monthly-CF'!DQ8),0)</f>
        <v>460334.98610280879</v>
      </c>
      <c r="DR41" s="704">
        <f ca="1">IF(DR8&lt;=Assumptions!$M$58,SUMIFS('Cash Flow MH'!$D$91:$DS$91,'Cash Flow MH'!$D$8:$DS$8,'Monthly-CF'!DR8),0)</f>
        <v>457150.99820754729</v>
      </c>
      <c r="DS41" s="704">
        <f ca="1">IF(DS8&lt;=Assumptions!$M$58,SUMIFS('Cash Flow MH'!$D$91:$DS$91,'Cash Flow MH'!$D$8:$DS$8,'Monthly-CF'!DS8),0)</f>
        <v>502625.83502507035</v>
      </c>
      <c r="DT41" s="704">
        <f ca="1">IF(DT8&lt;=Assumptions!$M$58,SUMIFS('Cash Flow MH'!$D$91:$DS$91,'Cash Flow MH'!$D$8:$DS$8,'Monthly-CF'!DT8),0)</f>
        <v>616929.35891336843</v>
      </c>
      <c r="DU41" s="704">
        <f ca="1">IF(DU8&lt;=Assumptions!$M$58,SUMIFS('Cash Flow MH'!$D$91:$DS$91,'Cash Flow MH'!$D$8:$DS$8,'Monthly-CF'!DU8),0)</f>
        <v>444488.2226914544</v>
      </c>
      <c r="DV41" s="704">
        <f ca="1">IF(DV8&lt;=Assumptions!$M$58,SUMIFS('Cash Flow MH'!$D$91:$DS$91,'Cash Flow MH'!$D$8:$DS$8,'Monthly-CF'!DV8),0)</f>
        <v>338791.44603333628</v>
      </c>
      <c r="DW41" s="704">
        <f ca="1">IF(DW8&lt;=Assumptions!$M$58,SUMIFS('Cash Flow MH'!$D$91:$DS$91,'Cash Flow MH'!$D$8:$DS$8,'Monthly-CF'!DW8),0)</f>
        <v>286643.54622574768</v>
      </c>
      <c r="DX41" s="704">
        <f ca="1">IF(DX8&lt;=Assumptions!$M$58,SUMIFS('Cash Flow MH'!$D$91:$DS$91,'Cash Flow MH'!$D$8:$DS$8,'Monthly-CF'!DX8),0)</f>
        <v>377635.83222065441</v>
      </c>
      <c r="DY41" s="704">
        <f ca="1">IF(DY8&lt;=Assumptions!$M$58,SUMIFS('Cash Flow MH'!$D$91:$DS$91,'Cash Flow MH'!$D$8:$DS$8,'Monthly-CF'!DY8),0)</f>
        <v>544209.79705170786</v>
      </c>
      <c r="DZ41" s="704">
        <f ca="1">IF(DZ8&lt;=Assumptions!$M$58,SUMIFS('Cash Flow MH'!$D$91:$DS$91,'Cash Flow MH'!$D$8:$DS$8,'Monthly-CF'!DZ8),0)</f>
        <v>537654.82746365585</v>
      </c>
      <c r="EA41" s="704">
        <f ca="1">IF(EA8&lt;=Assumptions!$M$58,SUMIFS('Cash Flow MH'!$D$91:$DS$91,'Cash Flow MH'!$D$8:$DS$8,'Monthly-CF'!EA8),0)</f>
        <v>552751.8033831669</v>
      </c>
      <c r="EB41" s="389"/>
      <c r="EC41" s="392" t="s">
        <v>65</v>
      </c>
    </row>
    <row r="42" spans="1:134" s="390" customFormat="1" ht="15" customHeight="1">
      <c r="A42" s="389"/>
      <c r="B42" s="389"/>
      <c r="C42" s="389"/>
      <c r="D42" s="419" t="s">
        <v>1195</v>
      </c>
      <c r="E42" s="413"/>
      <c r="F42" s="413"/>
      <c r="G42" s="413"/>
      <c r="H42" s="413"/>
      <c r="I42" s="795">
        <f t="shared" ca="1" si="49"/>
        <v>-2713323.9485856001</v>
      </c>
      <c r="J42" s="701"/>
      <c r="K42" s="507"/>
      <c r="L42" s="704">
        <f>IF(L41&gt;0,(-Assumptions!$I$82*Assumptions!$C$34)*(1+'Monthly-CF'!L30),0)</f>
        <v>0</v>
      </c>
      <c r="M42" s="704">
        <f>IF(M41&gt;0,(-Assumptions!$I$82*Assumptions!$C$34)*(1+'Monthly-CF'!M30),0)</f>
        <v>0</v>
      </c>
      <c r="N42" s="704">
        <f>IF(N41&gt;0,(-Assumptions!$I$82*Assumptions!$C$34)*(1+'Monthly-CF'!N30),0)</f>
        <v>0</v>
      </c>
      <c r="O42" s="704">
        <f>IF(O41&gt;0,(-Assumptions!$I$82*Assumptions!$C$34)*(1+'Monthly-CF'!O30),0)</f>
        <v>0</v>
      </c>
      <c r="P42" s="704">
        <f>IF(P41&gt;0,(-Assumptions!$I$82*Assumptions!$C$34)*(1+'Monthly-CF'!P30),0)</f>
        <v>0</v>
      </c>
      <c r="Q42" s="704">
        <f>IF(Q41&gt;0,(-Assumptions!$I$82*Assumptions!$C$34)*(1+'Monthly-CF'!Q30),0)</f>
        <v>0</v>
      </c>
      <c r="R42" s="704">
        <f>IF(R41&gt;0,(-Assumptions!$I$82*Assumptions!$C$34)*(1+'Monthly-CF'!R30),0)</f>
        <v>0</v>
      </c>
      <c r="S42" s="704">
        <f>IF(S41&gt;0,(-Assumptions!$I$82*Assumptions!$C$34)*(1+'Monthly-CF'!S30),0)</f>
        <v>0</v>
      </c>
      <c r="T42" s="704">
        <f>IF(T41&gt;0,(-Assumptions!$I$82*Assumptions!$C$34)*(1+'Monthly-CF'!T30),0)</f>
        <v>0</v>
      </c>
      <c r="U42" s="704">
        <f>IF(U41&gt;0,(-Assumptions!$I$82*Assumptions!$C$34)*(1+'Monthly-CF'!U30),0)</f>
        <v>0</v>
      </c>
      <c r="V42" s="704">
        <f>IF(V41&gt;0,(-Assumptions!$I$82*Assumptions!$C$34)*(1+'Monthly-CF'!V30),0)</f>
        <v>0</v>
      </c>
      <c r="W42" s="704">
        <f>IF(W41&gt;0,(-Assumptions!$I$82*Assumptions!$C$34)*(1+'Monthly-CF'!W30),0)</f>
        <v>0</v>
      </c>
      <c r="X42" s="704">
        <f>IF(X41&gt;0,(-Assumptions!$I$82*Assumptions!$C$34)*(1+'Monthly-CF'!X30),0)</f>
        <v>0</v>
      </c>
      <c r="Y42" s="704">
        <f>IF(Y41&gt;0,(-Assumptions!$I$82*Assumptions!$C$34)*(1+'Monthly-CF'!Y30),0)</f>
        <v>0</v>
      </c>
      <c r="Z42" s="704">
        <f>IF(Z41&gt;0,(-Assumptions!$I$82*Assumptions!$C$34)*(1+'Monthly-CF'!Z30),0)</f>
        <v>0</v>
      </c>
      <c r="AA42" s="704">
        <f>IF(AA41&gt;0,(-Assumptions!$I$82*Assumptions!$C$34)*(1+'Monthly-CF'!AA30),0)</f>
        <v>0</v>
      </c>
      <c r="AB42" s="704">
        <f>IF(AB41&gt;0,(-Assumptions!$I$82*Assumptions!$C$34)*(1+'Monthly-CF'!AB30),0)</f>
        <v>0</v>
      </c>
      <c r="AC42" s="704">
        <f>IF(AC41&gt;0,(-Assumptions!$I$82*Assumptions!$C$34)*(1+'Monthly-CF'!AC30),0)</f>
        <v>0</v>
      </c>
      <c r="AD42" s="704">
        <f>IF(AD41&gt;0,(-Assumptions!$I$82*Assumptions!$C$34)*(1+'Monthly-CF'!AD30),0)</f>
        <v>0</v>
      </c>
      <c r="AE42" s="703">
        <f ca="1">IF(AE41&gt;0,(-Assumptions!$I$82*Assumptions!$C$34)*(1+'Monthly-CF'!AE30),0)</f>
        <v>-23612.75</v>
      </c>
      <c r="AF42" s="703">
        <f ca="1">IF(AF41&gt;0,(-Assumptions!$I$82*Assumptions!$C$34)*(1+'Monthly-CF'!AF30),0)</f>
        <v>-23612.75</v>
      </c>
      <c r="AG42" s="703">
        <f ca="1">IF(AG41&gt;0,(-Assumptions!$I$82*Assumptions!$C$34)*(1+'Monthly-CF'!AG30),0)</f>
        <v>-23612.75</v>
      </c>
      <c r="AH42" s="703">
        <f ca="1">IF(AH41&gt;0,(-Assumptions!$I$82*Assumptions!$C$34)*(1+'Monthly-CF'!AH30),0)</f>
        <v>-23612.75</v>
      </c>
      <c r="AI42" s="703">
        <f ca="1">IF(AI41&gt;0,(-Assumptions!$I$82*Assumptions!$C$34)*(1+'Monthly-CF'!AI30),0)</f>
        <v>-23612.75</v>
      </c>
      <c r="AJ42" s="703">
        <f ca="1">IF(AJ41&gt;0,(-Assumptions!$I$82*Assumptions!$C$34)*(1+'Monthly-CF'!AJ30),0)</f>
        <v>-24321.1325</v>
      </c>
      <c r="AK42" s="703">
        <f ca="1">IF(AK41&gt;0,(-Assumptions!$I$82*Assumptions!$C$34)*(1+'Monthly-CF'!AK30),0)</f>
        <v>-24321.1325</v>
      </c>
      <c r="AL42" s="703">
        <f ca="1">IF(AL41&gt;0,(-Assumptions!$I$82*Assumptions!$C$34)*(1+'Monthly-CF'!AL30),0)</f>
        <v>-24321.1325</v>
      </c>
      <c r="AM42" s="703">
        <f ca="1">IF(AM41&gt;0,(-Assumptions!$I$82*Assumptions!$C$34)*(1+'Monthly-CF'!AM30),0)</f>
        <v>-24321.1325</v>
      </c>
      <c r="AN42" s="703">
        <f ca="1">IF(AN41&gt;0,(-Assumptions!$I$82*Assumptions!$C$34)*(1+'Monthly-CF'!AN30),0)</f>
        <v>-24321.1325</v>
      </c>
      <c r="AO42" s="703">
        <f ca="1">IF(AO41&gt;0,(-Assumptions!$I$82*Assumptions!$C$34)*(1+'Monthly-CF'!AO30),0)</f>
        <v>-24321.1325</v>
      </c>
      <c r="AP42" s="703">
        <f ca="1">IF(AP41&gt;0,(-Assumptions!$I$82*Assumptions!$C$34)*(1+'Monthly-CF'!AP30),0)</f>
        <v>-24321.1325</v>
      </c>
      <c r="AQ42" s="703">
        <f ca="1">IF(AQ41&gt;0,(-Assumptions!$I$82*Assumptions!$C$34)*(1+'Monthly-CF'!AQ30),0)</f>
        <v>-24321.1325</v>
      </c>
      <c r="AR42" s="703">
        <f ca="1">IF(AR41&gt;0,(-Assumptions!$I$82*Assumptions!$C$34)*(1+'Monthly-CF'!AR30),0)</f>
        <v>-24321.1325</v>
      </c>
      <c r="AS42" s="703">
        <f ca="1">IF(AS41&gt;0,(-Assumptions!$I$82*Assumptions!$C$34)*(1+'Monthly-CF'!AS30),0)</f>
        <v>-24321.1325</v>
      </c>
      <c r="AT42" s="703">
        <f ca="1">IF(AT41&gt;0,(-Assumptions!$I$82*Assumptions!$C$34)*(1+'Monthly-CF'!AT30),0)</f>
        <v>-24321.1325</v>
      </c>
      <c r="AU42" s="703">
        <f ca="1">IF(AU41&gt;0,(-Assumptions!$I$82*Assumptions!$C$34)*(1+'Monthly-CF'!AU30),0)</f>
        <v>-24321.1325</v>
      </c>
      <c r="AV42" s="703">
        <f ca="1">IF(AV41&gt;0,(-Assumptions!$I$82*Assumptions!$C$34)*(1+'Monthly-CF'!AV30),0)</f>
        <v>-25050.766475</v>
      </c>
      <c r="AW42" s="703">
        <f ca="1">IF(AW41&gt;0,(-Assumptions!$I$82*Assumptions!$C$34)*(1+'Monthly-CF'!AW30),0)</f>
        <v>-25050.766475</v>
      </c>
      <c r="AX42" s="703">
        <f ca="1">IF(AX41&gt;0,(-Assumptions!$I$82*Assumptions!$C$34)*(1+'Monthly-CF'!AX30),0)</f>
        <v>-25050.766475</v>
      </c>
      <c r="AY42" s="703">
        <f ca="1">IF(AY41&gt;0,(-Assumptions!$I$82*Assumptions!$C$34)*(1+'Monthly-CF'!AY30),0)</f>
        <v>-25050.766475</v>
      </c>
      <c r="AZ42" s="703">
        <f ca="1">IF(AZ41&gt;0,(-Assumptions!$I$82*Assumptions!$C$34)*(1+'Monthly-CF'!AZ30),0)</f>
        <v>-25050.766475</v>
      </c>
      <c r="BA42" s="703">
        <f ca="1">IF(BA41&gt;0,(-Assumptions!$I$82*Assumptions!$C$34)*(1+'Monthly-CF'!BA30),0)</f>
        <v>-25050.766475</v>
      </c>
      <c r="BB42" s="703">
        <f ca="1">IF(BB41&gt;0,(-Assumptions!$I$82*Assumptions!$C$34)*(1+'Monthly-CF'!BB30),0)</f>
        <v>-25050.766475</v>
      </c>
      <c r="BC42" s="703">
        <f ca="1">IF(BC41&gt;0,(-Assumptions!$I$82*Assumptions!$C$34)*(1+'Monthly-CF'!BC30),0)</f>
        <v>-25050.766475</v>
      </c>
      <c r="BD42" s="703">
        <f ca="1">IF(BD41&gt;0,(-Assumptions!$I$82*Assumptions!$C$34)*(1+'Monthly-CF'!BD30),0)</f>
        <v>-25050.766475</v>
      </c>
      <c r="BE42" s="703">
        <f ca="1">IF(BE41&gt;0,(-Assumptions!$I$82*Assumptions!$C$34)*(1+'Monthly-CF'!BE30),0)</f>
        <v>-25050.766475</v>
      </c>
      <c r="BF42" s="703">
        <f ca="1">IF(BF41&gt;0,(-Assumptions!$I$82*Assumptions!$C$34)*(1+'Monthly-CF'!BF30),0)</f>
        <v>-25050.766475</v>
      </c>
      <c r="BG42" s="703">
        <f ca="1">IF(BG41&gt;0,(-Assumptions!$I$82*Assumptions!$C$34)*(1+'Monthly-CF'!BG30),0)</f>
        <v>-25050.766475</v>
      </c>
      <c r="BH42" s="703">
        <f ca="1">IF(BH41&gt;0,(-Assumptions!$I$82*Assumptions!$C$34)*(1+'Monthly-CF'!BH30),0)</f>
        <v>-25802.289469250005</v>
      </c>
      <c r="BI42" s="703">
        <f ca="1">IF(BI41&gt;0,(-Assumptions!$I$82*Assumptions!$C$34)*(1+'Monthly-CF'!BI30),0)</f>
        <v>-25802.289469250005</v>
      </c>
      <c r="BJ42" s="703">
        <f ca="1">IF(BJ41&gt;0,(-Assumptions!$I$82*Assumptions!$C$34)*(1+'Monthly-CF'!BJ30),0)</f>
        <v>-25802.289469250005</v>
      </c>
      <c r="BK42" s="703">
        <f ca="1">IF(BK41&gt;0,(-Assumptions!$I$82*Assumptions!$C$34)*(1+'Monthly-CF'!BK30),0)</f>
        <v>-25802.289469250005</v>
      </c>
      <c r="BL42" s="703">
        <f ca="1">IF(BL41&gt;0,(-Assumptions!$I$82*Assumptions!$C$34)*(1+'Monthly-CF'!BL30),0)</f>
        <v>-25802.289469250005</v>
      </c>
      <c r="BM42" s="703">
        <f ca="1">IF(BM41&gt;0,(-Assumptions!$I$82*Assumptions!$C$34)*(1+'Monthly-CF'!BM30),0)</f>
        <v>-25802.289469250005</v>
      </c>
      <c r="BN42" s="703">
        <f ca="1">IF(BN41&gt;0,(-Assumptions!$I$82*Assumptions!$C$34)*(1+'Monthly-CF'!BN30),0)</f>
        <v>-25802.289469250005</v>
      </c>
      <c r="BO42" s="703">
        <f ca="1">IF(BO41&gt;0,(-Assumptions!$I$82*Assumptions!$C$34)*(1+'Monthly-CF'!BO30),0)</f>
        <v>-25802.289469250005</v>
      </c>
      <c r="BP42" s="703">
        <f ca="1">IF(BP41&gt;0,(-Assumptions!$I$82*Assumptions!$C$34)*(1+'Monthly-CF'!BP30),0)</f>
        <v>-25802.289469250005</v>
      </c>
      <c r="BQ42" s="703">
        <f ca="1">IF(BQ41&gt;0,(-Assumptions!$I$82*Assumptions!$C$34)*(1+'Monthly-CF'!BQ30),0)</f>
        <v>-25802.289469250005</v>
      </c>
      <c r="BR42" s="703">
        <f ca="1">IF(BR41&gt;0,(-Assumptions!$I$82*Assumptions!$C$34)*(1+'Monthly-CF'!BR30),0)</f>
        <v>-25802.289469250005</v>
      </c>
      <c r="BS42" s="703">
        <f ca="1">IF(BS41&gt;0,(-Assumptions!$I$82*Assumptions!$C$34)*(1+'Monthly-CF'!BS30),0)</f>
        <v>-25802.289469250005</v>
      </c>
      <c r="BT42" s="703">
        <f ca="1">IF(BT41&gt;0,(-Assumptions!$I$82*Assumptions!$C$34)*(1+'Monthly-CF'!BT30),0)</f>
        <v>-26576.358153327503</v>
      </c>
      <c r="BU42" s="703">
        <f ca="1">IF(BU41&gt;0,(-Assumptions!$I$82*Assumptions!$C$34)*(1+'Monthly-CF'!BU30),0)</f>
        <v>-26576.358153327503</v>
      </c>
      <c r="BV42" s="703">
        <f ca="1">IF(BV41&gt;0,(-Assumptions!$I$82*Assumptions!$C$34)*(1+'Monthly-CF'!BV30),0)</f>
        <v>-26576.358153327503</v>
      </c>
      <c r="BW42" s="703">
        <f ca="1">IF(BW41&gt;0,(-Assumptions!$I$82*Assumptions!$C$34)*(1+'Monthly-CF'!BW30),0)</f>
        <v>-26576.358153327503</v>
      </c>
      <c r="BX42" s="703">
        <f ca="1">IF(BX41&gt;0,(-Assumptions!$I$82*Assumptions!$C$34)*(1+'Monthly-CF'!BX30),0)</f>
        <v>-26576.358153327503</v>
      </c>
      <c r="BY42" s="703">
        <f ca="1">IF(BY41&gt;0,(-Assumptions!$I$82*Assumptions!$C$34)*(1+'Monthly-CF'!BY30),0)</f>
        <v>-26576.358153327503</v>
      </c>
      <c r="BZ42" s="703">
        <f ca="1">IF(BZ41&gt;0,(-Assumptions!$I$82*Assumptions!$C$34)*(1+'Monthly-CF'!BZ30),0)</f>
        <v>-26576.358153327503</v>
      </c>
      <c r="CA42" s="703">
        <f ca="1">IF(CA41&gt;0,(-Assumptions!$I$82*Assumptions!$C$34)*(1+'Monthly-CF'!CA30),0)</f>
        <v>-26576.358153327503</v>
      </c>
      <c r="CB42" s="703">
        <f ca="1">IF(CB41&gt;0,(-Assumptions!$I$82*Assumptions!$C$34)*(1+'Monthly-CF'!CB30),0)</f>
        <v>-26576.358153327503</v>
      </c>
      <c r="CC42" s="703">
        <f ca="1">IF(CC41&gt;0,(-Assumptions!$I$82*Assumptions!$C$34)*(1+'Monthly-CF'!CC30),0)</f>
        <v>-26576.358153327503</v>
      </c>
      <c r="CD42" s="703">
        <f ca="1">IF(CD41&gt;0,(-Assumptions!$I$82*Assumptions!$C$34)*(1+'Monthly-CF'!CD30),0)</f>
        <v>-26576.358153327503</v>
      </c>
      <c r="CE42" s="703">
        <f ca="1">IF(CE41&gt;0,(-Assumptions!$I$82*Assumptions!$C$34)*(1+'Monthly-CF'!CE30),0)</f>
        <v>-26576.358153327503</v>
      </c>
      <c r="CF42" s="703">
        <f ca="1">IF(CF41&gt;0,(-Assumptions!$I$82*Assumptions!$C$34)*(1+'Monthly-CF'!CF30),0)</f>
        <v>-27373.648897927327</v>
      </c>
      <c r="CG42" s="703">
        <f ca="1">IF(CG41&gt;0,(-Assumptions!$I$82*Assumptions!$C$34)*(1+'Monthly-CF'!CG30),0)</f>
        <v>-27373.648897927327</v>
      </c>
      <c r="CH42" s="703">
        <f ca="1">IF(CH41&gt;0,(-Assumptions!$I$82*Assumptions!$C$34)*(1+'Monthly-CF'!CH30),0)</f>
        <v>-27373.648897927327</v>
      </c>
      <c r="CI42" s="703">
        <f ca="1">IF(CI41&gt;0,(-Assumptions!$I$82*Assumptions!$C$34)*(1+'Monthly-CF'!CI30),0)</f>
        <v>-27373.648897927327</v>
      </c>
      <c r="CJ42" s="703">
        <f ca="1">IF(CJ41&gt;0,(-Assumptions!$I$82*Assumptions!$C$34)*(1+'Monthly-CF'!CJ30),0)</f>
        <v>-27373.648897927327</v>
      </c>
      <c r="CK42" s="703">
        <f ca="1">IF(CK41&gt;0,(-Assumptions!$I$82*Assumptions!$C$34)*(1+'Monthly-CF'!CK30),0)</f>
        <v>-27373.648897927327</v>
      </c>
      <c r="CL42" s="703">
        <f ca="1">IF(CL41&gt;0,(-Assumptions!$I$82*Assumptions!$C$34)*(1+'Monthly-CF'!CL30),0)</f>
        <v>-27373.648897927327</v>
      </c>
      <c r="CM42" s="703">
        <f ca="1">IF(CM41&gt;0,(-Assumptions!$I$82*Assumptions!$C$34)*(1+'Monthly-CF'!CM30),0)</f>
        <v>-27373.648897927327</v>
      </c>
      <c r="CN42" s="703">
        <f ca="1">IF(CN41&gt;0,(-Assumptions!$I$82*Assumptions!$C$34)*(1+'Monthly-CF'!CN30),0)</f>
        <v>-27373.648897927327</v>
      </c>
      <c r="CO42" s="703">
        <f ca="1">IF(CO41&gt;0,(-Assumptions!$I$82*Assumptions!$C$34)*(1+'Monthly-CF'!CO30),0)</f>
        <v>-27373.648897927327</v>
      </c>
      <c r="CP42" s="703">
        <f ca="1">IF(CP41&gt;0,(-Assumptions!$I$82*Assumptions!$C$34)*(1+'Monthly-CF'!CP30),0)</f>
        <v>-27373.648897927327</v>
      </c>
      <c r="CQ42" s="703">
        <f ca="1">IF(CQ41&gt;0,(-Assumptions!$I$82*Assumptions!$C$34)*(1+'Monthly-CF'!CQ30),0)</f>
        <v>-27373.648897927327</v>
      </c>
      <c r="CR42" s="703">
        <f ca="1">IF(CR41&gt;0,(-Assumptions!$I$82*Assumptions!$C$34)*(1+'Monthly-CF'!CR30),0)</f>
        <v>-28194.858364865151</v>
      </c>
      <c r="CS42" s="703">
        <f ca="1">IF(CS41&gt;0,(-Assumptions!$I$82*Assumptions!$C$34)*(1+'Monthly-CF'!CS30),0)</f>
        <v>-28194.858364865151</v>
      </c>
      <c r="CT42" s="703">
        <f ca="1">IF(CT41&gt;0,(-Assumptions!$I$82*Assumptions!$C$34)*(1+'Monthly-CF'!CT30),0)</f>
        <v>-28194.858364865151</v>
      </c>
      <c r="CU42" s="703">
        <f ca="1">IF(CU41&gt;0,(-Assumptions!$I$82*Assumptions!$C$34)*(1+'Monthly-CF'!CU30),0)</f>
        <v>-28194.858364865151</v>
      </c>
      <c r="CV42" s="703">
        <f ca="1">IF(CV41&gt;0,(-Assumptions!$I$82*Assumptions!$C$34)*(1+'Monthly-CF'!CV30),0)</f>
        <v>-28194.858364865151</v>
      </c>
      <c r="CW42" s="703">
        <f ca="1">IF(CW41&gt;0,(-Assumptions!$I$82*Assumptions!$C$34)*(1+'Monthly-CF'!CW30),0)</f>
        <v>-28194.858364865151</v>
      </c>
      <c r="CX42" s="703">
        <f ca="1">IF(CX41&gt;0,(-Assumptions!$I$82*Assumptions!$C$34)*(1+'Monthly-CF'!CX30),0)</f>
        <v>-28194.858364865151</v>
      </c>
      <c r="CY42" s="703">
        <f ca="1">IF(CY41&gt;0,(-Assumptions!$I$82*Assumptions!$C$34)*(1+'Monthly-CF'!CY30),0)</f>
        <v>-28194.858364865151</v>
      </c>
      <c r="CZ42" s="703">
        <f ca="1">IF(CZ41&gt;0,(-Assumptions!$I$82*Assumptions!$C$34)*(1+'Monthly-CF'!CZ30),0)</f>
        <v>-28194.858364865151</v>
      </c>
      <c r="DA42" s="703">
        <f ca="1">IF(DA41&gt;0,(-Assumptions!$I$82*Assumptions!$C$34)*(1+'Monthly-CF'!DA30),0)</f>
        <v>-28194.858364865151</v>
      </c>
      <c r="DB42" s="703">
        <f ca="1">IF(DB41&gt;0,(-Assumptions!$I$82*Assumptions!$C$34)*(1+'Monthly-CF'!DB30),0)</f>
        <v>-28194.858364865151</v>
      </c>
      <c r="DC42" s="703">
        <f ca="1">IF(DC41&gt;0,(-Assumptions!$I$82*Assumptions!$C$34)*(1+'Monthly-CF'!DC30),0)</f>
        <v>-28194.858364865151</v>
      </c>
      <c r="DD42" s="703">
        <f ca="1">IF(DD41&gt;0,(-Assumptions!$I$82*Assumptions!$C$34)*(1+'Monthly-CF'!DD30),0)</f>
        <v>-29040.704115811106</v>
      </c>
      <c r="DE42" s="703">
        <f ca="1">IF(DE41&gt;0,(-Assumptions!$I$82*Assumptions!$C$34)*(1+'Monthly-CF'!DE30),0)</f>
        <v>-29040.704115811106</v>
      </c>
      <c r="DF42" s="703">
        <f ca="1">IF(DF41&gt;0,(-Assumptions!$I$82*Assumptions!$C$34)*(1+'Monthly-CF'!DF30),0)</f>
        <v>-29040.704115811106</v>
      </c>
      <c r="DG42" s="703">
        <f ca="1">IF(DG41&gt;0,(-Assumptions!$I$82*Assumptions!$C$34)*(1+'Monthly-CF'!DG30),0)</f>
        <v>-29040.704115811106</v>
      </c>
      <c r="DH42" s="703">
        <f ca="1">IF(DH41&gt;0,(-Assumptions!$I$82*Assumptions!$C$34)*(1+'Monthly-CF'!DH30),0)</f>
        <v>-29040.704115811106</v>
      </c>
      <c r="DI42" s="703">
        <f ca="1">IF(DI41&gt;0,(-Assumptions!$I$82*Assumptions!$C$34)*(1+'Monthly-CF'!DI30),0)</f>
        <v>-29040.704115811106</v>
      </c>
      <c r="DJ42" s="703">
        <f ca="1">IF(DJ41&gt;0,(-Assumptions!$I$82*Assumptions!$C$34)*(1+'Monthly-CF'!DJ30),0)</f>
        <v>-29040.704115811106</v>
      </c>
      <c r="DK42" s="703">
        <f ca="1">IF(DK41&gt;0,(-Assumptions!$I$82*Assumptions!$C$34)*(1+'Monthly-CF'!DK30),0)</f>
        <v>-29040.704115811106</v>
      </c>
      <c r="DL42" s="703">
        <f ca="1">IF(DL41&gt;0,(-Assumptions!$I$82*Assumptions!$C$34)*(1+'Monthly-CF'!DL30),0)</f>
        <v>-29040.704115811106</v>
      </c>
      <c r="DM42" s="703">
        <f ca="1">IF(DM41&gt;0,(-Assumptions!$I$82*Assumptions!$C$34)*(1+'Monthly-CF'!DM30),0)</f>
        <v>-29040.704115811106</v>
      </c>
      <c r="DN42" s="703">
        <f ca="1">IF(DN41&gt;0,(-Assumptions!$I$82*Assumptions!$C$34)*(1+'Monthly-CF'!DN30),0)</f>
        <v>-29040.704115811106</v>
      </c>
      <c r="DO42" s="703">
        <f ca="1">IF(DO41&gt;0,(-Assumptions!$I$82*Assumptions!$C$34)*(1+'Monthly-CF'!DO30),0)</f>
        <v>-29040.704115811106</v>
      </c>
      <c r="DP42" s="703">
        <f ca="1">IF(DP41&gt;0,(-Assumptions!$I$82*Assumptions!$C$34)*(1+'Monthly-CF'!DP30),0)</f>
        <v>-29911.92523928544</v>
      </c>
      <c r="DQ42" s="703">
        <f ca="1">IF(DQ41&gt;0,(-Assumptions!$I$82*Assumptions!$C$34)*(1+'Monthly-CF'!DQ30),0)</f>
        <v>-29911.92523928544</v>
      </c>
      <c r="DR42" s="703">
        <f ca="1">IF(DR41&gt;0,(-Assumptions!$I$82*Assumptions!$C$34)*(1+'Monthly-CF'!DR30),0)</f>
        <v>-29911.92523928544</v>
      </c>
      <c r="DS42" s="703">
        <f ca="1">IF(DS41&gt;0,(-Assumptions!$I$82*Assumptions!$C$34)*(1+'Monthly-CF'!DS30),0)</f>
        <v>-29911.92523928544</v>
      </c>
      <c r="DT42" s="703">
        <f ca="1">IF(DT41&gt;0,(-Assumptions!$I$82*Assumptions!$C$34)*(1+'Monthly-CF'!DT30),0)</f>
        <v>-29911.92523928544</v>
      </c>
      <c r="DU42" s="703">
        <f ca="1">IF(DU41&gt;0,(-Assumptions!$I$82*Assumptions!$C$34)*(1+'Monthly-CF'!DU30),0)</f>
        <v>-29911.92523928544</v>
      </c>
      <c r="DV42" s="703">
        <f ca="1">IF(DV41&gt;0,(-Assumptions!$I$82*Assumptions!$C$34)*(1+'Monthly-CF'!DV30),0)</f>
        <v>-29911.92523928544</v>
      </c>
      <c r="DW42" s="703">
        <f ca="1">IF(DW41&gt;0,(-Assumptions!$I$82*Assumptions!$C$34)*(1+'Monthly-CF'!DW30),0)</f>
        <v>-29911.92523928544</v>
      </c>
      <c r="DX42" s="703">
        <f ca="1">IF(DX41&gt;0,(-Assumptions!$I$82*Assumptions!$C$34)*(1+'Monthly-CF'!DX30),0)</f>
        <v>-29911.92523928544</v>
      </c>
      <c r="DY42" s="703">
        <f ca="1">IF(DY41&gt;0,(-Assumptions!$I$82*Assumptions!$C$34)*(1+'Monthly-CF'!DY30),0)</f>
        <v>-29911.92523928544</v>
      </c>
      <c r="DZ42" s="703">
        <f ca="1">IF(DZ41&gt;0,(-Assumptions!$I$82*Assumptions!$C$34)*(1+'Monthly-CF'!DZ30),0)</f>
        <v>-29911.92523928544</v>
      </c>
      <c r="EA42" s="703">
        <f ca="1">IF(EA41&gt;0,(-Assumptions!$I$82*Assumptions!$C$34)*(1+'Monthly-CF'!EA30),0)</f>
        <v>-29911.92523928544</v>
      </c>
      <c r="EB42" s="389"/>
      <c r="EC42" s="392" t="s">
        <v>65</v>
      </c>
    </row>
    <row r="43" spans="1:134" s="390" customFormat="1" ht="15" customHeight="1">
      <c r="A43" s="389"/>
      <c r="B43" s="389"/>
      <c r="C43" s="389"/>
      <c r="D43" s="419" t="s">
        <v>1158</v>
      </c>
      <c r="E43" s="413"/>
      <c r="F43" s="413"/>
      <c r="G43" s="413"/>
      <c r="H43" s="413"/>
      <c r="I43" s="795">
        <f t="shared" ca="1" si="49"/>
        <v>-4640788.6104047811</v>
      </c>
      <c r="J43" s="701"/>
      <c r="K43" s="507"/>
      <c r="L43" s="507">
        <f ca="1">-IF(SUM(K$70:$L70)=$I$70,INDEX('RE Tax'!$D$43:$P$43,MATCH('Monthly-CF'!L9,'RE Tax'!$D$11:$P$11,0))/12,0)</f>
        <v>0</v>
      </c>
      <c r="M43" s="507">
        <f ca="1">-IF(SUM($L$70:L70)=$I$70,INDEX('RE Tax'!$D$43:$P$43,MATCH('Monthly-CF'!M9,'RE Tax'!$D$11:$P$11,0))/12,0)</f>
        <v>0</v>
      </c>
      <c r="N43" s="507">
        <f ca="1">-IF(SUM($L$70:M70)=$I$70,INDEX('RE Tax'!$D$43:$P$43,MATCH('Monthly-CF'!N9,'RE Tax'!$D$11:$P$11,0))/12,0)</f>
        <v>0</v>
      </c>
      <c r="O43" s="507">
        <f ca="1">-IF(SUM($L$70:N70)=$I$70,INDEX('RE Tax'!$D$43:$P$43,MATCH('Monthly-CF'!O9,'RE Tax'!$D$11:$P$11,0))/12,0)</f>
        <v>0</v>
      </c>
      <c r="P43" s="507">
        <f ca="1">-IF(SUM($L$70:O70)=$I$70,INDEX('RE Tax'!$D$43:$P$43,MATCH('Monthly-CF'!P9,'RE Tax'!$D$11:$P$11,0))/12,0)</f>
        <v>0</v>
      </c>
      <c r="Q43" s="507">
        <f ca="1">-IF(SUM($L$70:P70)=$I$70,INDEX('RE Tax'!$D$43:$P$43,MATCH('Monthly-CF'!Q9,'RE Tax'!$D$11:$P$11,0))/12,0)</f>
        <v>0</v>
      </c>
      <c r="R43" s="507">
        <f ca="1">-IF(SUM($L$70:Q70)=$I$70,INDEX('RE Tax'!$D$43:$P$43,MATCH('Monthly-CF'!R9,'RE Tax'!$D$11:$P$11,0))/12,0)</f>
        <v>0</v>
      </c>
      <c r="S43" s="507">
        <f ca="1">-IF(SUM($L$70:R70)=$I$70,INDEX('RE Tax'!$D$43:$P$43,MATCH('Monthly-CF'!S9,'RE Tax'!$D$11:$P$11,0))/12,0)</f>
        <v>0</v>
      </c>
      <c r="T43" s="507">
        <f ca="1">-IF(SUM($L$70:S70)=$I$70,INDEX('RE Tax'!$D$43:$P$43,MATCH('Monthly-CF'!T9,'RE Tax'!$D$11:$P$11,0))/12,0)</f>
        <v>0</v>
      </c>
      <c r="U43" s="507">
        <f ca="1">-IF(SUM($L$70:T70)=$I$70,INDEX('RE Tax'!$D$43:$P$43,MATCH('Monthly-CF'!U9,'RE Tax'!$D$11:$P$11,0))/12,0)</f>
        <v>0</v>
      </c>
      <c r="V43" s="507">
        <f ca="1">-IF(SUM($L$70:U70)=$I$70,INDEX('RE Tax'!$D$43:$P$43,MATCH('Monthly-CF'!V9,'RE Tax'!$D$11:$P$11,0))/12,0)</f>
        <v>0</v>
      </c>
      <c r="W43" s="507">
        <f ca="1">-IF(SUM($L$70:V70)=$I$70,INDEX('RE Tax'!$D$43:$P$43,MATCH('Monthly-CF'!W9,'RE Tax'!$D$11:$P$11,0))/12,0)</f>
        <v>0</v>
      </c>
      <c r="X43" s="507">
        <f ca="1">-IF(SUM($L$70:W70)=$I$70,INDEX('RE Tax'!$D$43:$P$43,MATCH('Monthly-CF'!X9,'RE Tax'!$D$11:$P$11,0))/12,0)</f>
        <v>0</v>
      </c>
      <c r="Y43" s="507">
        <f ca="1">-IF(SUM($L$70:X70)=$I$70,INDEX('RE Tax'!$D$43:$P$43,MATCH('Monthly-CF'!Y9,'RE Tax'!$D$11:$P$11,0))/12,0)</f>
        <v>0</v>
      </c>
      <c r="Z43" s="507">
        <f ca="1">-IF(SUM($L$70:Y70)=$I$70,INDEX('RE Tax'!$D$43:$P$43,MATCH('Monthly-CF'!Z9,'RE Tax'!$D$11:$P$11,0))/12,0)</f>
        <v>0</v>
      </c>
      <c r="AA43" s="507">
        <f ca="1">-IF(SUM($L$70:Z70)=$I$70,INDEX('RE Tax'!$D$43:$P$43,MATCH('Monthly-CF'!AA9,'RE Tax'!$D$11:$P$11,0))/12,0)</f>
        <v>0</v>
      </c>
      <c r="AB43" s="507">
        <f ca="1">-IF(SUM($L$70:AA70)=$I$70,INDEX('RE Tax'!$D$43:$P$43,MATCH('Monthly-CF'!AB9,'RE Tax'!$D$11:$P$11,0))/12,0)</f>
        <v>0</v>
      </c>
      <c r="AC43" s="507">
        <f ca="1">-IF(SUM($L$70:AB70)=$I$70,INDEX('RE Tax'!$D$43:$P$43,MATCH('Monthly-CF'!AC9,'RE Tax'!$D$11:$P$11,0))/12,0)</f>
        <v>0</v>
      </c>
      <c r="AD43" s="507">
        <f ca="1">-IF(SUM($L$70:AC70)=$I$70,INDEX('RE Tax'!$D$43:$P$43,MATCH('Monthly-CF'!AD9,'RE Tax'!$D$11:$P$11,0))/12,0)</f>
        <v>0</v>
      </c>
      <c r="AE43" s="507">
        <f ca="1">-IF(SUM($L$70:AD70)=$I$70,INDEX('RE Tax'!$D$43:$P$43,MATCH('Monthly-CF'!AE9,'RE Tax'!$D$11:$P$11,0))/12,0)</f>
        <v>-32825.773637949453</v>
      </c>
      <c r="AF43" s="507">
        <f ca="1">-IF(SUM($L$70:AE70)=$I$70,INDEX('RE Tax'!$D$43:$P$43,MATCH('Monthly-CF'!AF9,'RE Tax'!$D$11:$P$11,0))/12,0)</f>
        <v>-32825.773637949453</v>
      </c>
      <c r="AG43" s="507">
        <f ca="1">-IF(SUM($L$70:AF70)=$I$70,INDEX('RE Tax'!$D$43:$P$43,MATCH('Monthly-CF'!AG9,'RE Tax'!$D$11:$P$11,0))/12,0)</f>
        <v>-32825.773637949453</v>
      </c>
      <c r="AH43" s="507">
        <f ca="1">-IF(SUM($L$70:AG70)=$I$70,INDEX('RE Tax'!$D$43:$P$43,MATCH('Monthly-CF'!AH9,'RE Tax'!$D$11:$P$11,0))/12,0)</f>
        <v>-32825.773637949453</v>
      </c>
      <c r="AI43" s="507">
        <f ca="1">-IF(SUM($L$70:AH70)=$I$70,INDEX('RE Tax'!$D$43:$P$43,MATCH('Monthly-CF'!AI9,'RE Tax'!$D$11:$P$11,0))/12,0)</f>
        <v>-32825.773637949453</v>
      </c>
      <c r="AJ43" s="507">
        <f ca="1">-IF(SUM($L$70:AI70)=$I$70,INDEX('RE Tax'!$D$43:$P$43,MATCH('Monthly-CF'!AJ9,'RE Tax'!$D$11:$P$11,0))/12,0)</f>
        <v>-41161.464693662121</v>
      </c>
      <c r="AK43" s="507">
        <f ca="1">-IF(SUM($L$70:AJ70)=$I$70,INDEX('RE Tax'!$D$43:$P$43,MATCH('Monthly-CF'!AK9,'RE Tax'!$D$11:$P$11,0))/12,0)</f>
        <v>-41161.464693662121</v>
      </c>
      <c r="AL43" s="507">
        <f ca="1">-IF(SUM($L$70:AK70)=$I$70,INDEX('RE Tax'!$D$43:$P$43,MATCH('Monthly-CF'!AL9,'RE Tax'!$D$11:$P$11,0))/12,0)</f>
        <v>-41161.464693662121</v>
      </c>
      <c r="AM43" s="507">
        <f ca="1">-IF(SUM($L$70:AL70)=$I$70,INDEX('RE Tax'!$D$43:$P$43,MATCH('Monthly-CF'!AM9,'RE Tax'!$D$11:$P$11,0))/12,0)</f>
        <v>-41161.464693662121</v>
      </c>
      <c r="AN43" s="507">
        <f ca="1">-IF(SUM($L$70:AM70)=$I$70,INDEX('RE Tax'!$D$43:$P$43,MATCH('Monthly-CF'!AN9,'RE Tax'!$D$11:$P$11,0))/12,0)</f>
        <v>-41161.464693662121</v>
      </c>
      <c r="AO43" s="507">
        <f ca="1">-IF(SUM($L$70:AN70)=$I$70,INDEX('RE Tax'!$D$43:$P$43,MATCH('Monthly-CF'!AO9,'RE Tax'!$D$11:$P$11,0))/12,0)</f>
        <v>-41161.464693662121</v>
      </c>
      <c r="AP43" s="507">
        <f ca="1">-IF(SUM($L$70:AO70)=$I$70,INDEX('RE Tax'!$D$43:$P$43,MATCH('Monthly-CF'!AP9,'RE Tax'!$D$11:$P$11,0))/12,0)</f>
        <v>-41161.464693662121</v>
      </c>
      <c r="AQ43" s="507">
        <f ca="1">-IF(SUM($L$70:AP70)=$I$70,INDEX('RE Tax'!$D$43:$P$43,MATCH('Monthly-CF'!AQ9,'RE Tax'!$D$11:$P$11,0))/12,0)</f>
        <v>-41161.464693662121</v>
      </c>
      <c r="AR43" s="507">
        <f ca="1">-IF(SUM($L$70:AQ70)=$I$70,INDEX('RE Tax'!$D$43:$P$43,MATCH('Monthly-CF'!AR9,'RE Tax'!$D$11:$P$11,0))/12,0)</f>
        <v>-41161.464693662121</v>
      </c>
      <c r="AS43" s="507">
        <f ca="1">-IF(SUM($L$70:AR70)=$I$70,INDEX('RE Tax'!$D$43:$P$43,MATCH('Monthly-CF'!AS9,'RE Tax'!$D$11:$P$11,0))/12,0)</f>
        <v>-41161.464693662121</v>
      </c>
      <c r="AT43" s="507">
        <f ca="1">-IF(SUM($L$70:AS70)=$I$70,INDEX('RE Tax'!$D$43:$P$43,MATCH('Monthly-CF'!AT9,'RE Tax'!$D$11:$P$11,0))/12,0)</f>
        <v>-41161.464693662121</v>
      </c>
      <c r="AU43" s="507">
        <f ca="1">-IF(SUM($L$70:AT70)=$I$70,INDEX('RE Tax'!$D$43:$P$43,MATCH('Monthly-CF'!AU9,'RE Tax'!$D$11:$P$11,0))/12,0)</f>
        <v>-41161.464693662121</v>
      </c>
      <c r="AV43" s="507">
        <f ca="1">-IF(SUM($L$70:AU70)=$I$70,INDEX('RE Tax'!$D$43:$P$43,MATCH('Monthly-CF'!AV9,'RE Tax'!$D$11:$P$11,0))/12,0)</f>
        <v>-41367.272017130432</v>
      </c>
      <c r="AW43" s="507">
        <f ca="1">-IF(SUM($L$70:AV70)=$I$70,INDEX('RE Tax'!$D$43:$P$43,MATCH('Monthly-CF'!AW9,'RE Tax'!$D$11:$P$11,0))/12,0)</f>
        <v>-41367.272017130432</v>
      </c>
      <c r="AX43" s="507">
        <f ca="1">-IF(SUM($L$70:AW70)=$I$70,INDEX('RE Tax'!$D$43:$P$43,MATCH('Monthly-CF'!AX9,'RE Tax'!$D$11:$P$11,0))/12,0)</f>
        <v>-41367.272017130432</v>
      </c>
      <c r="AY43" s="507">
        <f ca="1">-IF(SUM($L$70:AX70)=$I$70,INDEX('RE Tax'!$D$43:$P$43,MATCH('Monthly-CF'!AY9,'RE Tax'!$D$11:$P$11,0))/12,0)</f>
        <v>-41367.272017130432</v>
      </c>
      <c r="AZ43" s="507">
        <f ca="1">-IF(SUM($L$70:AY70)=$I$70,INDEX('RE Tax'!$D$43:$P$43,MATCH('Monthly-CF'!AZ9,'RE Tax'!$D$11:$P$11,0))/12,0)</f>
        <v>-41367.272017130432</v>
      </c>
      <c r="BA43" s="507">
        <f ca="1">-IF(SUM($L$70:AZ70)=$I$70,INDEX('RE Tax'!$D$43:$P$43,MATCH('Monthly-CF'!BA9,'RE Tax'!$D$11:$P$11,0))/12,0)</f>
        <v>-41367.272017130432</v>
      </c>
      <c r="BB43" s="507">
        <f ca="1">-IF(SUM($L$70:BA70)=$I$70,INDEX('RE Tax'!$D$43:$P$43,MATCH('Monthly-CF'!BB9,'RE Tax'!$D$11:$P$11,0))/12,0)</f>
        <v>-41367.272017130432</v>
      </c>
      <c r="BC43" s="507">
        <f ca="1">-IF(SUM($L$70:BB70)=$I$70,INDEX('RE Tax'!$D$43:$P$43,MATCH('Monthly-CF'!BC9,'RE Tax'!$D$11:$P$11,0))/12,0)</f>
        <v>-41367.272017130432</v>
      </c>
      <c r="BD43" s="507">
        <f ca="1">-IF(SUM($L$70:BC70)=$I$70,INDEX('RE Tax'!$D$43:$P$43,MATCH('Monthly-CF'!BD9,'RE Tax'!$D$11:$P$11,0))/12,0)</f>
        <v>-41367.272017130432</v>
      </c>
      <c r="BE43" s="507">
        <f ca="1">-IF(SUM($L$70:BD70)=$I$70,INDEX('RE Tax'!$D$43:$P$43,MATCH('Monthly-CF'!BE9,'RE Tax'!$D$11:$P$11,0))/12,0)</f>
        <v>-41367.272017130432</v>
      </c>
      <c r="BF43" s="507">
        <f ca="1">-IF(SUM($L$70:BE70)=$I$70,INDEX('RE Tax'!$D$43:$P$43,MATCH('Monthly-CF'!BF9,'RE Tax'!$D$11:$P$11,0))/12,0)</f>
        <v>-41367.272017130432</v>
      </c>
      <c r="BG43" s="507">
        <f ca="1">-IF(SUM($L$70:BF70)=$I$70,INDEX('RE Tax'!$D$43:$P$43,MATCH('Monthly-CF'!BG9,'RE Tax'!$D$11:$P$11,0))/12,0)</f>
        <v>-41367.272017130432</v>
      </c>
      <c r="BH43" s="507">
        <f ca="1">-IF(SUM($L$70:BG70)=$I$70,INDEX('RE Tax'!$D$43:$P$43,MATCH('Monthly-CF'!BH9,'RE Tax'!$D$11:$P$11,0))/12,0)</f>
        <v>-41574.108377216078</v>
      </c>
      <c r="BI43" s="507">
        <f ca="1">-IF(SUM($L$70:BH70)=$I$70,INDEX('RE Tax'!$D$43:$P$43,MATCH('Monthly-CF'!BI9,'RE Tax'!$D$11:$P$11,0))/12,0)</f>
        <v>-41574.108377216078</v>
      </c>
      <c r="BJ43" s="507">
        <f ca="1">-IF(SUM($L$70:BI70)=$I$70,INDEX('RE Tax'!$D$43:$P$43,MATCH('Monthly-CF'!BJ9,'RE Tax'!$D$11:$P$11,0))/12,0)</f>
        <v>-41574.108377216078</v>
      </c>
      <c r="BK43" s="507">
        <f ca="1">-IF(SUM($L$70:BJ70)=$I$70,INDEX('RE Tax'!$D$43:$P$43,MATCH('Monthly-CF'!BK9,'RE Tax'!$D$11:$P$11,0))/12,0)</f>
        <v>-41574.108377216078</v>
      </c>
      <c r="BL43" s="507">
        <f ca="1">-IF(SUM($L$70:BK70)=$I$70,INDEX('RE Tax'!$D$43:$P$43,MATCH('Monthly-CF'!BL9,'RE Tax'!$D$11:$P$11,0))/12,0)</f>
        <v>-41574.108377216078</v>
      </c>
      <c r="BM43" s="507">
        <f ca="1">-IF(SUM($L$70:BL70)=$I$70,INDEX('RE Tax'!$D$43:$P$43,MATCH('Monthly-CF'!BM9,'RE Tax'!$D$11:$P$11,0))/12,0)</f>
        <v>-41574.108377216078</v>
      </c>
      <c r="BN43" s="507">
        <f ca="1">-IF(SUM($L$70:BM70)=$I$70,INDEX('RE Tax'!$D$43:$P$43,MATCH('Monthly-CF'!BN9,'RE Tax'!$D$11:$P$11,0))/12,0)</f>
        <v>-41574.108377216078</v>
      </c>
      <c r="BO43" s="507">
        <f ca="1">-IF(SUM($L$70:BN70)=$I$70,INDEX('RE Tax'!$D$43:$P$43,MATCH('Monthly-CF'!BO9,'RE Tax'!$D$11:$P$11,0))/12,0)</f>
        <v>-41574.108377216078</v>
      </c>
      <c r="BP43" s="507">
        <f ca="1">-IF(SUM($L$70:BO70)=$I$70,INDEX('RE Tax'!$D$43:$P$43,MATCH('Monthly-CF'!BP9,'RE Tax'!$D$11:$P$11,0))/12,0)</f>
        <v>-41574.108377216078</v>
      </c>
      <c r="BQ43" s="507">
        <f ca="1">-IF(SUM($L$70:BP70)=$I$70,INDEX('RE Tax'!$D$43:$P$43,MATCH('Monthly-CF'!BQ9,'RE Tax'!$D$11:$P$11,0))/12,0)</f>
        <v>-41574.108377216078</v>
      </c>
      <c r="BR43" s="507">
        <f ca="1">-IF(SUM($L$70:BQ70)=$I$70,INDEX('RE Tax'!$D$43:$P$43,MATCH('Monthly-CF'!BR9,'RE Tax'!$D$11:$P$11,0))/12,0)</f>
        <v>-41574.108377216078</v>
      </c>
      <c r="BS43" s="507">
        <f ca="1">-IF(SUM($L$70:BR70)=$I$70,INDEX('RE Tax'!$D$43:$P$43,MATCH('Monthly-CF'!BS9,'RE Tax'!$D$11:$P$11,0))/12,0)</f>
        <v>-41574.108377216078</v>
      </c>
      <c r="BT43" s="507">
        <f ca="1">-IF(SUM($L$70:BS70)=$I$70,INDEX('RE Tax'!$D$43:$P$43,MATCH('Monthly-CF'!BT9,'RE Tax'!$D$11:$P$11,0))/12,0)</f>
        <v>-41781.978919102148</v>
      </c>
      <c r="BU43" s="507">
        <f ca="1">-IF(SUM($L$70:BT70)=$I$70,INDEX('RE Tax'!$D$43:$P$43,MATCH('Monthly-CF'!BU9,'RE Tax'!$D$11:$P$11,0))/12,0)</f>
        <v>-41781.978919102148</v>
      </c>
      <c r="BV43" s="507">
        <f ca="1">-IF(SUM($L$70:BU70)=$I$70,INDEX('RE Tax'!$D$43:$P$43,MATCH('Monthly-CF'!BV9,'RE Tax'!$D$11:$P$11,0))/12,0)</f>
        <v>-41781.978919102148</v>
      </c>
      <c r="BW43" s="507">
        <f ca="1">-IF(SUM($L$70:BV70)=$I$70,INDEX('RE Tax'!$D$43:$P$43,MATCH('Monthly-CF'!BW9,'RE Tax'!$D$11:$P$11,0))/12,0)</f>
        <v>-41781.978919102148</v>
      </c>
      <c r="BX43" s="507">
        <f ca="1">-IF(SUM($L$70:BW70)=$I$70,INDEX('RE Tax'!$D$43:$P$43,MATCH('Monthly-CF'!BX9,'RE Tax'!$D$11:$P$11,0))/12,0)</f>
        <v>-41781.978919102148</v>
      </c>
      <c r="BY43" s="507">
        <f ca="1">-IF(SUM($L$70:BX70)=$I$70,INDEX('RE Tax'!$D$43:$P$43,MATCH('Monthly-CF'!BY9,'RE Tax'!$D$11:$P$11,0))/12,0)</f>
        <v>-41781.978919102148</v>
      </c>
      <c r="BZ43" s="507">
        <f ca="1">-IF(SUM($L$70:BY70)=$I$70,INDEX('RE Tax'!$D$43:$P$43,MATCH('Monthly-CF'!BZ9,'RE Tax'!$D$11:$P$11,0))/12,0)</f>
        <v>-41781.978919102148</v>
      </c>
      <c r="CA43" s="507">
        <f ca="1">-IF(SUM($L$70:BZ70)=$I$70,INDEX('RE Tax'!$D$43:$P$43,MATCH('Monthly-CF'!CA9,'RE Tax'!$D$11:$P$11,0))/12,0)</f>
        <v>-41781.978919102148</v>
      </c>
      <c r="CB43" s="507">
        <f ca="1">-IF(SUM($L$70:CA70)=$I$70,INDEX('RE Tax'!$D$43:$P$43,MATCH('Monthly-CF'!CB9,'RE Tax'!$D$11:$P$11,0))/12,0)</f>
        <v>-41781.978919102148</v>
      </c>
      <c r="CC43" s="507">
        <f ca="1">-IF(SUM($L$70:CB70)=$I$70,INDEX('RE Tax'!$D$43:$P$43,MATCH('Monthly-CF'!CC9,'RE Tax'!$D$11:$P$11,0))/12,0)</f>
        <v>-41781.978919102148</v>
      </c>
      <c r="CD43" s="507">
        <f ca="1">-IF(SUM($L$70:CC70)=$I$70,INDEX('RE Tax'!$D$43:$P$43,MATCH('Monthly-CF'!CD9,'RE Tax'!$D$11:$P$11,0))/12,0)</f>
        <v>-41781.978919102148</v>
      </c>
      <c r="CE43" s="507">
        <f ca="1">-IF(SUM($L$70:CD70)=$I$70,INDEX('RE Tax'!$D$43:$P$43,MATCH('Monthly-CF'!CE9,'RE Tax'!$D$11:$P$11,0))/12,0)</f>
        <v>-41781.978919102148</v>
      </c>
      <c r="CF43" s="507">
        <f ca="1">-IF(SUM($L$70:CE70)=$I$70,INDEX('RE Tax'!$D$43:$P$43,MATCH('Monthly-CF'!CF9,'RE Tax'!$D$11:$P$11,0))/12,0)</f>
        <v>-41990.888813697653</v>
      </c>
      <c r="CG43" s="507">
        <f ca="1">-IF(SUM($L$70:CF70)=$I$70,INDEX('RE Tax'!$D$43:$P$43,MATCH('Monthly-CF'!CG9,'RE Tax'!$D$11:$P$11,0))/12,0)</f>
        <v>-41990.888813697653</v>
      </c>
      <c r="CH43" s="507">
        <f ca="1">-IF(SUM($L$70:CG70)=$I$70,INDEX('RE Tax'!$D$43:$P$43,MATCH('Monthly-CF'!CH9,'RE Tax'!$D$11:$P$11,0))/12,0)</f>
        <v>-41990.888813697653</v>
      </c>
      <c r="CI43" s="507">
        <f ca="1">-IF(SUM($L$70:CH70)=$I$70,INDEX('RE Tax'!$D$43:$P$43,MATCH('Monthly-CF'!CI9,'RE Tax'!$D$11:$P$11,0))/12,0)</f>
        <v>-41990.888813697653</v>
      </c>
      <c r="CJ43" s="507">
        <f ca="1">-IF(SUM($L$70:CI70)=$I$70,INDEX('RE Tax'!$D$43:$P$43,MATCH('Monthly-CF'!CJ9,'RE Tax'!$D$11:$P$11,0))/12,0)</f>
        <v>-41990.888813697653</v>
      </c>
      <c r="CK43" s="507">
        <f ca="1">-IF(SUM($L$70:CJ70)=$I$70,INDEX('RE Tax'!$D$43:$P$43,MATCH('Monthly-CF'!CK9,'RE Tax'!$D$11:$P$11,0))/12,0)</f>
        <v>-41990.888813697653</v>
      </c>
      <c r="CL43" s="507">
        <f ca="1">-IF(SUM($L$70:CK70)=$I$70,INDEX('RE Tax'!$D$43:$P$43,MATCH('Monthly-CF'!CL9,'RE Tax'!$D$11:$P$11,0))/12,0)</f>
        <v>-41990.888813697653</v>
      </c>
      <c r="CM43" s="507">
        <f ca="1">-IF(SUM($L$70:CL70)=$I$70,INDEX('RE Tax'!$D$43:$P$43,MATCH('Monthly-CF'!CM9,'RE Tax'!$D$11:$P$11,0))/12,0)</f>
        <v>-41990.888813697653</v>
      </c>
      <c r="CN43" s="507">
        <f ca="1">-IF(SUM($L$70:CM70)=$I$70,INDEX('RE Tax'!$D$43:$P$43,MATCH('Monthly-CF'!CN9,'RE Tax'!$D$11:$P$11,0))/12,0)</f>
        <v>-41990.888813697653</v>
      </c>
      <c r="CO43" s="507">
        <f ca="1">-IF(SUM($L$70:CN70)=$I$70,INDEX('RE Tax'!$D$43:$P$43,MATCH('Monthly-CF'!CO9,'RE Tax'!$D$11:$P$11,0))/12,0)</f>
        <v>-41990.888813697653</v>
      </c>
      <c r="CP43" s="507">
        <f ca="1">-IF(SUM($L$70:CO70)=$I$70,INDEX('RE Tax'!$D$43:$P$43,MATCH('Monthly-CF'!CP9,'RE Tax'!$D$11:$P$11,0))/12,0)</f>
        <v>-41990.888813697653</v>
      </c>
      <c r="CQ43" s="507">
        <f ca="1">-IF(SUM($L$70:CP70)=$I$70,INDEX('RE Tax'!$D$43:$P$43,MATCH('Monthly-CF'!CQ9,'RE Tax'!$D$11:$P$11,0))/12,0)</f>
        <v>-41990.888813697653</v>
      </c>
      <c r="CR43" s="507">
        <f ca="1">-IF(SUM($L$70:CQ70)=$I$70,INDEX('RE Tax'!$D$43:$P$43,MATCH('Monthly-CF'!CR9,'RE Tax'!$D$11:$P$11,0))/12,0)</f>
        <v>-39261.48104080731</v>
      </c>
      <c r="CS43" s="507">
        <f ca="1">-IF(SUM($L$70:CR70)=$I$70,INDEX('RE Tax'!$D$43:$P$43,MATCH('Monthly-CF'!CS9,'RE Tax'!$D$11:$P$11,0))/12,0)</f>
        <v>-39261.48104080731</v>
      </c>
      <c r="CT43" s="507">
        <f ca="1">-IF(SUM($L$70:CS70)=$I$70,INDEX('RE Tax'!$D$43:$P$43,MATCH('Monthly-CF'!CT9,'RE Tax'!$D$11:$P$11,0))/12,0)</f>
        <v>-39261.48104080731</v>
      </c>
      <c r="CU43" s="507">
        <f ca="1">-IF(SUM($L$70:CT70)=$I$70,INDEX('RE Tax'!$D$43:$P$43,MATCH('Monthly-CF'!CU9,'RE Tax'!$D$11:$P$11,0))/12,0)</f>
        <v>-39261.48104080731</v>
      </c>
      <c r="CV43" s="507">
        <f ca="1">-IF(SUM($L$70:CU70)=$I$70,INDEX('RE Tax'!$D$43:$P$43,MATCH('Monthly-CF'!CV9,'RE Tax'!$D$11:$P$11,0))/12,0)</f>
        <v>-39261.48104080731</v>
      </c>
      <c r="CW43" s="507">
        <f ca="1">-IF(SUM($L$70:CV70)=$I$70,INDEX('RE Tax'!$D$43:$P$43,MATCH('Monthly-CF'!CW9,'RE Tax'!$D$11:$P$11,0))/12,0)</f>
        <v>-39261.48104080731</v>
      </c>
      <c r="CX43" s="507">
        <f ca="1">-IF(SUM($L$70:CW70)=$I$70,INDEX('RE Tax'!$D$43:$P$43,MATCH('Monthly-CF'!CX9,'RE Tax'!$D$11:$P$11,0))/12,0)</f>
        <v>-39261.48104080731</v>
      </c>
      <c r="CY43" s="507">
        <f ca="1">-IF(SUM($L$70:CX70)=$I$70,INDEX('RE Tax'!$D$43:$P$43,MATCH('Monthly-CF'!CY9,'RE Tax'!$D$11:$P$11,0))/12,0)</f>
        <v>-39261.48104080731</v>
      </c>
      <c r="CZ43" s="507">
        <f ca="1">-IF(SUM($L$70:CY70)=$I$70,INDEX('RE Tax'!$D$43:$P$43,MATCH('Monthly-CF'!CZ9,'RE Tax'!$D$11:$P$11,0))/12,0)</f>
        <v>-39261.48104080731</v>
      </c>
      <c r="DA43" s="507">
        <f ca="1">-IF(SUM($L$70:CZ70)=$I$70,INDEX('RE Tax'!$D$43:$P$43,MATCH('Monthly-CF'!DA9,'RE Tax'!$D$11:$P$11,0))/12,0)</f>
        <v>-39261.48104080731</v>
      </c>
      <c r="DB43" s="507">
        <f ca="1">-IF(SUM($L$70:DA70)=$I$70,INDEX('RE Tax'!$D$43:$P$43,MATCH('Monthly-CF'!DB9,'RE Tax'!$D$11:$P$11,0))/12,0)</f>
        <v>-39261.48104080731</v>
      </c>
      <c r="DC43" s="507">
        <f ca="1">-IF(SUM($L$70:DB70)=$I$70,INDEX('RE Tax'!$D$43:$P$43,MATCH('Monthly-CF'!DC9,'RE Tax'!$D$11:$P$11,0))/12,0)</f>
        <v>-39261.48104080731</v>
      </c>
      <c r="DD43" s="507">
        <f ca="1">-IF(SUM($L$70:DC70)=$I$70,INDEX('RE Tax'!$D$43:$P$43,MATCH('Monthly-CF'!DD9,'RE Tax'!$D$11:$P$11,0))/12,0)</f>
        <v>-62007.524002379323</v>
      </c>
      <c r="DE43" s="507">
        <f ca="1">-IF(SUM($L$70:DD70)=$I$70,INDEX('RE Tax'!$D$43:$P$43,MATCH('Monthly-CF'!DE9,'RE Tax'!$D$11:$P$11,0))/12,0)</f>
        <v>-62007.524002379323</v>
      </c>
      <c r="DF43" s="507">
        <f ca="1">-IF(SUM($L$70:DE70)=$I$70,INDEX('RE Tax'!$D$43:$P$43,MATCH('Monthly-CF'!DF9,'RE Tax'!$D$11:$P$11,0))/12,0)</f>
        <v>-62007.524002379323</v>
      </c>
      <c r="DG43" s="507">
        <f ca="1">-IF(SUM($L$70:DF70)=$I$70,INDEX('RE Tax'!$D$43:$P$43,MATCH('Monthly-CF'!DG9,'RE Tax'!$D$11:$P$11,0))/12,0)</f>
        <v>-62007.524002379323</v>
      </c>
      <c r="DH43" s="507">
        <f ca="1">-IF(SUM($L$70:DG70)=$I$70,INDEX('RE Tax'!$D$43:$P$43,MATCH('Monthly-CF'!DH9,'RE Tax'!$D$11:$P$11,0))/12,0)</f>
        <v>-62007.524002379323</v>
      </c>
      <c r="DI43" s="507">
        <f ca="1">-IF(SUM($L$70:DH70)=$I$70,INDEX('RE Tax'!$D$43:$P$43,MATCH('Monthly-CF'!DI9,'RE Tax'!$D$11:$P$11,0))/12,0)</f>
        <v>-62007.524002379323</v>
      </c>
      <c r="DJ43" s="507">
        <f ca="1">-IF(SUM($L$70:DI70)=$I$70,INDEX('RE Tax'!$D$43:$P$43,MATCH('Monthly-CF'!DJ9,'RE Tax'!$D$11:$P$11,0))/12,0)</f>
        <v>-62007.524002379323</v>
      </c>
      <c r="DK43" s="507">
        <f ca="1">-IF(SUM($L$70:DJ70)=$I$70,INDEX('RE Tax'!$D$43:$P$43,MATCH('Monthly-CF'!DK9,'RE Tax'!$D$11:$P$11,0))/12,0)</f>
        <v>-62007.524002379323</v>
      </c>
      <c r="DL43" s="507">
        <f ca="1">-IF(SUM($L$70:DK70)=$I$70,INDEX('RE Tax'!$D$43:$P$43,MATCH('Monthly-CF'!DL9,'RE Tax'!$D$11:$P$11,0))/12,0)</f>
        <v>-62007.524002379323</v>
      </c>
      <c r="DM43" s="507">
        <f ca="1">-IF(SUM($L$70:DL70)=$I$70,INDEX('RE Tax'!$D$43:$P$43,MATCH('Monthly-CF'!DM9,'RE Tax'!$D$11:$P$11,0))/12,0)</f>
        <v>-62007.524002379323</v>
      </c>
      <c r="DN43" s="507">
        <f ca="1">-IF(SUM($L$70:DM70)=$I$70,INDEX('RE Tax'!$D$43:$P$43,MATCH('Monthly-CF'!DN9,'RE Tax'!$D$11:$P$11,0))/12,0)</f>
        <v>-62007.524002379323</v>
      </c>
      <c r="DO43" s="507">
        <f ca="1">-IF(SUM($L$70:DN70)=$I$70,INDEX('RE Tax'!$D$43:$P$43,MATCH('Monthly-CF'!DO9,'RE Tax'!$D$11:$P$11,0))/12,0)</f>
        <v>-62007.524002379323</v>
      </c>
      <c r="DP43" s="507">
        <f ca="1">-IF(SUM($L$70:DO70)=$I$70,INDEX('RE Tax'!$D$43:$P$43,MATCH('Monthly-CF'!DP9,'RE Tax'!$D$11:$P$11,0))/12,0)</f>
        <v>-63910.260653924226</v>
      </c>
      <c r="DQ43" s="507">
        <f ca="1">-IF(SUM($L$70:DP70)=$I$70,INDEX('RE Tax'!$D$43:$P$43,MATCH('Monthly-CF'!DQ9,'RE Tax'!$D$11:$P$11,0))/12,0)</f>
        <v>-63910.260653924226</v>
      </c>
      <c r="DR43" s="507">
        <f ca="1">-IF(SUM($L$70:DQ70)=$I$70,INDEX('RE Tax'!$D$43:$P$43,MATCH('Monthly-CF'!DR9,'RE Tax'!$D$11:$P$11,0))/12,0)</f>
        <v>-63910.260653924226</v>
      </c>
      <c r="DS43" s="507">
        <f ca="1">-IF(SUM($L$70:DR70)=$I$70,INDEX('RE Tax'!$D$43:$P$43,MATCH('Monthly-CF'!DS9,'RE Tax'!$D$11:$P$11,0))/12,0)</f>
        <v>-63910.260653924226</v>
      </c>
      <c r="DT43" s="507">
        <f ca="1">-IF(SUM($L$70:DS70)=$I$70,INDEX('RE Tax'!$D$43:$P$43,MATCH('Monthly-CF'!DT9,'RE Tax'!$D$11:$P$11,0))/12,0)</f>
        <v>-63910.260653924226</v>
      </c>
      <c r="DU43" s="507">
        <f ca="1">-IF(SUM($L$70:DT70)=$I$70,INDEX('RE Tax'!$D$43:$P$43,MATCH('Monthly-CF'!DU9,'RE Tax'!$D$11:$P$11,0))/12,0)</f>
        <v>-63910.260653924226</v>
      </c>
      <c r="DV43" s="507">
        <f ca="1">-IF(SUM($L$70:DU70)=$I$70,INDEX('RE Tax'!$D$43:$P$43,MATCH('Monthly-CF'!DV9,'RE Tax'!$D$11:$P$11,0))/12,0)</f>
        <v>-63910.260653924226</v>
      </c>
      <c r="DW43" s="507">
        <f ca="1">-IF(SUM($L$70:DV70)=$I$70,INDEX('RE Tax'!$D$43:$P$43,MATCH('Monthly-CF'!DW9,'RE Tax'!$D$11:$P$11,0))/12,0)</f>
        <v>-63910.260653924226</v>
      </c>
      <c r="DX43" s="507">
        <f ca="1">-IF(SUM($L$70:DW70)=$I$70,INDEX('RE Tax'!$D$43:$P$43,MATCH('Monthly-CF'!DX9,'RE Tax'!$D$11:$P$11,0))/12,0)</f>
        <v>-63910.260653924226</v>
      </c>
      <c r="DY43" s="507">
        <f ca="1">-IF(SUM($L$70:DX70)=$I$70,INDEX('RE Tax'!$D$43:$P$43,MATCH('Monthly-CF'!DY9,'RE Tax'!$D$11:$P$11,0))/12,0)</f>
        <v>-63910.260653924226</v>
      </c>
      <c r="DZ43" s="507">
        <f ca="1">-IF(SUM($L$70:DY70)=$I$70,INDEX('RE Tax'!$D$43:$P$43,MATCH('Monthly-CF'!DZ9,'RE Tax'!$D$11:$P$11,0))/12,0)</f>
        <v>-63910.260653924226</v>
      </c>
      <c r="EA43" s="507">
        <f ca="1">-IF(SUM($L$70:DZ70)=$I$70,INDEX('RE Tax'!$D$43:$P$43,MATCH('Monthly-CF'!EA9,'RE Tax'!$D$11:$P$11,0))/12,0)</f>
        <v>-63910.260653924226</v>
      </c>
      <c r="EB43" s="389"/>
      <c r="EC43" s="392" t="s">
        <v>65</v>
      </c>
    </row>
    <row r="44" spans="1:134" s="390" customFormat="1" ht="15" customHeight="1">
      <c r="A44" s="389"/>
      <c r="B44" s="389"/>
      <c r="C44" s="389"/>
      <c r="D44" s="410" t="s">
        <v>1159</v>
      </c>
      <c r="E44" s="411"/>
      <c r="F44" s="411"/>
      <c r="G44" s="411"/>
      <c r="H44" s="411"/>
      <c r="I44" s="797">
        <f t="shared" ca="1" si="49"/>
        <v>35056884.087125286</v>
      </c>
      <c r="J44" s="701"/>
      <c r="K44" s="411"/>
      <c r="L44" s="411">
        <f ca="1">SUM(L41:L43)</f>
        <v>0</v>
      </c>
      <c r="M44" s="411">
        <f t="shared" ref="M44:BX44" ca="1" si="50">SUM(M41:M43)</f>
        <v>0</v>
      </c>
      <c r="N44" s="411">
        <f t="shared" ca="1" si="50"/>
        <v>0</v>
      </c>
      <c r="O44" s="411">
        <f t="shared" ca="1" si="50"/>
        <v>0</v>
      </c>
      <c r="P44" s="411">
        <f t="shared" ca="1" si="50"/>
        <v>0</v>
      </c>
      <c r="Q44" s="411">
        <f t="shared" ca="1" si="50"/>
        <v>0</v>
      </c>
      <c r="R44" s="411">
        <f t="shared" ca="1" si="50"/>
        <v>0</v>
      </c>
      <c r="S44" s="411">
        <f t="shared" ca="1" si="50"/>
        <v>0</v>
      </c>
      <c r="T44" s="411">
        <f t="shared" ca="1" si="50"/>
        <v>0</v>
      </c>
      <c r="U44" s="411">
        <f t="shared" ca="1" si="50"/>
        <v>0</v>
      </c>
      <c r="V44" s="411">
        <f t="shared" ca="1" si="50"/>
        <v>0</v>
      </c>
      <c r="W44" s="411">
        <f t="shared" ca="1" si="50"/>
        <v>0</v>
      </c>
      <c r="X44" s="411">
        <f t="shared" ca="1" si="50"/>
        <v>0</v>
      </c>
      <c r="Y44" s="411">
        <f t="shared" ca="1" si="50"/>
        <v>0</v>
      </c>
      <c r="Z44" s="411">
        <f t="shared" ca="1" si="50"/>
        <v>0</v>
      </c>
      <c r="AA44" s="411">
        <f t="shared" ca="1" si="50"/>
        <v>0</v>
      </c>
      <c r="AB44" s="411">
        <f t="shared" ca="1" si="50"/>
        <v>0</v>
      </c>
      <c r="AC44" s="411">
        <f t="shared" ca="1" si="50"/>
        <v>0</v>
      </c>
      <c r="AD44" s="411">
        <f t="shared" ca="1" si="50"/>
        <v>0</v>
      </c>
      <c r="AE44" s="411">
        <f t="shared" ca="1" si="50"/>
        <v>131719.02465141728</v>
      </c>
      <c r="AF44" s="411">
        <f t="shared" ca="1" si="50"/>
        <v>131719.02465141728</v>
      </c>
      <c r="AG44" s="411">
        <f t="shared" ca="1" si="50"/>
        <v>131719.02465141728</v>
      </c>
      <c r="AH44" s="411">
        <f t="shared" ca="1" si="50"/>
        <v>143110.42607851737</v>
      </c>
      <c r="AI44" s="411">
        <f t="shared" ca="1" si="50"/>
        <v>187893.02928506277</v>
      </c>
      <c r="AJ44" s="411">
        <f t="shared" ca="1" si="50"/>
        <v>223258.32390192867</v>
      </c>
      <c r="AK44" s="411">
        <f t="shared" ca="1" si="50"/>
        <v>206235.64600205375</v>
      </c>
      <c r="AL44" s="411">
        <f t="shared" ca="1" si="50"/>
        <v>237707.88351587654</v>
      </c>
      <c r="AM44" s="411">
        <f t="shared" ca="1" si="50"/>
        <v>281182.15799853031</v>
      </c>
      <c r="AN44" s="411">
        <f t="shared" ca="1" si="50"/>
        <v>376361.39378924511</v>
      </c>
      <c r="AO44" s="411">
        <f t="shared" ca="1" si="50"/>
        <v>262330.20811038307</v>
      </c>
      <c r="AP44" s="411">
        <f t="shared" ca="1" si="50"/>
        <v>192790.26715813929</v>
      </c>
      <c r="AQ44" s="411">
        <f t="shared" ca="1" si="50"/>
        <v>152907.44976458148</v>
      </c>
      <c r="AR44" s="411">
        <f t="shared" ca="1" si="50"/>
        <v>232891.88638836407</v>
      </c>
      <c r="AS44" s="411">
        <f t="shared" ca="1" si="50"/>
        <v>377390.11212870508</v>
      </c>
      <c r="AT44" s="411">
        <f t="shared" ca="1" si="50"/>
        <v>384827.74052563985</v>
      </c>
      <c r="AU44" s="411">
        <f t="shared" ca="1" si="50"/>
        <v>410402.60860605352</v>
      </c>
      <c r="AV44" s="411">
        <f t="shared" ca="1" si="50"/>
        <v>432600.3487501234</v>
      </c>
      <c r="AW44" s="411">
        <f t="shared" ca="1" si="50"/>
        <v>354811.38996826683</v>
      </c>
      <c r="AX44" s="411">
        <f t="shared" ca="1" si="50"/>
        <v>351951.61340581067</v>
      </c>
      <c r="AY44" s="411">
        <f t="shared" ca="1" si="50"/>
        <v>392251.12127424107</v>
      </c>
      <c r="AZ44" s="411">
        <f t="shared" ca="1" si="50"/>
        <v>493736.9005721233</v>
      </c>
      <c r="BA44" s="411">
        <f t="shared" ca="1" si="50"/>
        <v>340569.65246195381</v>
      </c>
      <c r="BB44" s="411">
        <f t="shared" ca="1" si="50"/>
        <v>246653.91045380486</v>
      </c>
      <c r="BC44" s="411">
        <f t="shared" ca="1" si="50"/>
        <v>191431.17204208873</v>
      </c>
      <c r="BD44" s="411">
        <f t="shared" ca="1" si="50"/>
        <v>271097.9843876271</v>
      </c>
      <c r="BE44" s="411">
        <f t="shared" ca="1" si="50"/>
        <v>417068.17055769113</v>
      </c>
      <c r="BF44" s="411">
        <f t="shared" ca="1" si="50"/>
        <v>411280.16831668385</v>
      </c>
      <c r="BG44" s="411">
        <f t="shared" ca="1" si="50"/>
        <v>424532.40955077979</v>
      </c>
      <c r="BH44" s="411">
        <f t="shared" ca="1" si="50"/>
        <v>433827.40795527992</v>
      </c>
      <c r="BI44" s="411">
        <f t="shared" ca="1" si="50"/>
        <v>354800.38204484957</v>
      </c>
      <c r="BJ44" s="411">
        <f t="shared" ca="1" si="50"/>
        <v>351904.57066839613</v>
      </c>
      <c r="BK44" s="411">
        <f t="shared" ca="1" si="50"/>
        <v>392842.68892356631</v>
      </c>
      <c r="BL44" s="411">
        <f t="shared" ca="1" si="50"/>
        <v>495890.25937920803</v>
      </c>
      <c r="BM44" s="411">
        <f t="shared" ca="1" si="50"/>
        <v>340381.25049054984</v>
      </c>
      <c r="BN44" s="411">
        <f t="shared" ca="1" si="50"/>
        <v>245037.5977826587</v>
      </c>
      <c r="BO44" s="411">
        <f t="shared" ca="1" si="50"/>
        <v>192100.47370748373</v>
      </c>
      <c r="BP44" s="411">
        <f t="shared" ca="1" si="50"/>
        <v>290018.54150457378</v>
      </c>
      <c r="BQ44" s="411">
        <f t="shared" ca="1" si="50"/>
        <v>421097.51619598671</v>
      </c>
      <c r="BR44" s="411">
        <f t="shared" ca="1" si="50"/>
        <v>415238.29654115374</v>
      </c>
      <c r="BS44" s="411">
        <f t="shared" ca="1" si="50"/>
        <v>428679.09687050153</v>
      </c>
      <c r="BT44" s="411">
        <f t="shared" ca="1" si="50"/>
        <v>438139.64307501965</v>
      </c>
      <c r="BU44" s="411">
        <f t="shared" ca="1" si="50"/>
        <v>357870.27607120527</v>
      </c>
      <c r="BV44" s="411">
        <f t="shared" ca="1" si="50"/>
        <v>354938.84159082023</v>
      </c>
      <c r="BW44" s="411">
        <f t="shared" ca="1" si="50"/>
        <v>396517.61729885335</v>
      </c>
      <c r="BX44" s="411">
        <f t="shared" ca="1" si="50"/>
        <v>501129.34918035223</v>
      </c>
      <c r="BY44" s="411">
        <f t="shared" ref="BY44:EA44" ca="1" si="51">SUM(BY41:BY43)</f>
        <v>343275.92438979499</v>
      </c>
      <c r="BZ44" s="411">
        <f t="shared" ca="1" si="51"/>
        <v>246503.21050798488</v>
      </c>
      <c r="CA44" s="411">
        <f t="shared" ca="1" si="51"/>
        <v>192611.79087295389</v>
      </c>
      <c r="CB44" s="411">
        <f t="shared" ca="1" si="51"/>
        <v>274681.60965655767</v>
      </c>
      <c r="CC44" s="411">
        <f t="shared" ca="1" si="51"/>
        <v>424967.40667406778</v>
      </c>
      <c r="CD44" s="411">
        <f t="shared" ca="1" si="51"/>
        <v>419037.90576259588</v>
      </c>
      <c r="CE44" s="411">
        <f t="shared" ca="1" si="51"/>
        <v>432666.6517158004</v>
      </c>
      <c r="CF44" s="411">
        <f t="shared" ca="1" si="51"/>
        <v>442294.18381704832</v>
      </c>
      <c r="CG44" s="411">
        <f t="shared" ca="1" si="51"/>
        <v>360779.05957756599</v>
      </c>
      <c r="CH44" s="411">
        <f t="shared" ca="1" si="51"/>
        <v>357812.47083725291</v>
      </c>
      <c r="CI44" s="411">
        <f t="shared" ca="1" si="51"/>
        <v>400033.49913889094</v>
      </c>
      <c r="CJ44" s="411">
        <f t="shared" ca="1" si="51"/>
        <v>506210.499318388</v>
      </c>
      <c r="CK44" s="411">
        <f t="shared" ca="1" si="51"/>
        <v>346011.95177981781</v>
      </c>
      <c r="CL44" s="411">
        <f t="shared" ca="1" si="51"/>
        <v>247810.24234109037</v>
      </c>
      <c r="CM44" s="411">
        <f t="shared" ca="1" si="51"/>
        <v>192954.91282427995</v>
      </c>
      <c r="CN44" s="411">
        <f t="shared" ca="1" si="51"/>
        <v>276225.74441799597</v>
      </c>
      <c r="CO44" s="411">
        <f t="shared" ca="1" si="51"/>
        <v>428664.51899852138</v>
      </c>
      <c r="CP44" s="411">
        <f t="shared" ca="1" si="51"/>
        <v>422665.79325270181</v>
      </c>
      <c r="CQ44" s="411">
        <f t="shared" ca="1" si="51"/>
        <v>436481.66484689759</v>
      </c>
      <c r="CR44" s="411">
        <f t="shared" ca="1" si="51"/>
        <v>449216.91980496567</v>
      </c>
      <c r="CS44" s="411">
        <f t="shared" ca="1" si="51"/>
        <v>366453.53532597859</v>
      </c>
      <c r="CT44" s="411">
        <f t="shared" ca="1" si="51"/>
        <v>363452.32136117399</v>
      </c>
      <c r="CU44" s="411">
        <f t="shared" ca="1" si="51"/>
        <v>406316.71651389613</v>
      </c>
      <c r="CV44" s="411">
        <f t="shared" ca="1" si="51"/>
        <v>514058.75053057808</v>
      </c>
      <c r="CW44" s="411">
        <f t="shared" ca="1" si="51"/>
        <v>351516.44096142554</v>
      </c>
      <c r="CX44" s="411">
        <f t="shared" ca="1" si="51"/>
        <v>251887.09167485946</v>
      </c>
      <c r="CY44" s="411">
        <f t="shared" ca="1" si="51"/>
        <v>202732.69464630942</v>
      </c>
      <c r="CZ44" s="411">
        <f t="shared" ca="1" si="51"/>
        <v>288501.65118783718</v>
      </c>
      <c r="DA44" s="411">
        <f t="shared" ca="1" si="51"/>
        <v>445513.58900577843</v>
      </c>
      <c r="DB44" s="411">
        <f t="shared" ca="1" si="51"/>
        <v>439334.90148758405</v>
      </c>
      <c r="DC44" s="411">
        <f t="shared" ca="1" si="51"/>
        <v>453565.24922960572</v>
      </c>
      <c r="DD44" s="411">
        <f t="shared" ca="1" si="51"/>
        <v>441125.22886876669</v>
      </c>
      <c r="DE44" s="411">
        <f t="shared" ca="1" si="51"/>
        <v>355878.94285541034</v>
      </c>
      <c r="DF44" s="411">
        <f t="shared" ca="1" si="51"/>
        <v>352787.69247166166</v>
      </c>
      <c r="DG44" s="411">
        <f t="shared" ca="1" si="51"/>
        <v>396938.01947896526</v>
      </c>
      <c r="DH44" s="411">
        <f t="shared" ca="1" si="51"/>
        <v>507912.31451614766</v>
      </c>
      <c r="DI44" s="411">
        <f t="shared" ca="1" si="51"/>
        <v>340493.73565992049</v>
      </c>
      <c r="DJ44" s="411">
        <f t="shared" ca="1" si="51"/>
        <v>237875.5058947574</v>
      </c>
      <c r="DK44" s="411">
        <f t="shared" ca="1" si="51"/>
        <v>187246.47695535107</v>
      </c>
      <c r="DL44" s="411">
        <f t="shared" ca="1" si="51"/>
        <v>294191.77011494024</v>
      </c>
      <c r="DM44" s="411">
        <f t="shared" ca="1" si="51"/>
        <v>437310.79814560385</v>
      </c>
      <c r="DN44" s="411">
        <f t="shared" ca="1" si="51"/>
        <v>430946.75000186352</v>
      </c>
      <c r="DO44" s="411">
        <f t="shared" ca="1" si="51"/>
        <v>445604.00817614619</v>
      </c>
      <c r="DP44" s="411">
        <f t="shared" ca="1" si="51"/>
        <v>454316.4748033561</v>
      </c>
      <c r="DQ44" s="411">
        <f t="shared" ca="1" si="51"/>
        <v>366512.80020959908</v>
      </c>
      <c r="DR44" s="411">
        <f t="shared" ca="1" si="51"/>
        <v>363328.81231433759</v>
      </c>
      <c r="DS44" s="411">
        <f t="shared" ca="1" si="51"/>
        <v>408803.6491318607</v>
      </c>
      <c r="DT44" s="411">
        <f t="shared" ca="1" si="51"/>
        <v>523107.17302015878</v>
      </c>
      <c r="DU44" s="411">
        <f t="shared" ca="1" si="51"/>
        <v>350666.03679824469</v>
      </c>
      <c r="DV44" s="411">
        <f t="shared" ca="1" si="51"/>
        <v>244969.2601401266</v>
      </c>
      <c r="DW44" s="411">
        <f t="shared" ca="1" si="51"/>
        <v>192821.360332538</v>
      </c>
      <c r="DX44" s="411">
        <f t="shared" ca="1" si="51"/>
        <v>283813.6463274447</v>
      </c>
      <c r="DY44" s="411">
        <f t="shared" ca="1" si="51"/>
        <v>450387.61115849821</v>
      </c>
      <c r="DZ44" s="411">
        <f t="shared" ca="1" si="51"/>
        <v>443832.6415704462</v>
      </c>
      <c r="EA44" s="411">
        <f t="shared" ca="1" si="51"/>
        <v>458929.61748995725</v>
      </c>
      <c r="EB44" s="389"/>
      <c r="EC44" s="392" t="s">
        <v>65</v>
      </c>
      <c r="ED44" s="2010"/>
    </row>
    <row r="45" spans="1:134" s="390" customFormat="1" ht="15" customHeight="1">
      <c r="A45" s="389"/>
      <c r="B45" s="389"/>
      <c r="C45" s="389"/>
      <c r="D45" s="412"/>
      <c r="E45" s="413"/>
      <c r="F45" s="413"/>
      <c r="G45" s="413"/>
      <c r="H45" s="413"/>
      <c r="I45" s="798"/>
      <c r="J45" s="701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  <c r="AD45" s="413"/>
      <c r="AE45" s="413"/>
      <c r="AF45" s="413"/>
      <c r="AG45" s="413"/>
      <c r="AH45" s="413"/>
      <c r="AI45" s="413"/>
      <c r="AJ45" s="413"/>
      <c r="AK45" s="413"/>
      <c r="AL45" s="413"/>
      <c r="AM45" s="413"/>
      <c r="AN45" s="413"/>
      <c r="AO45" s="413"/>
      <c r="AP45" s="413"/>
      <c r="AQ45" s="413"/>
      <c r="AR45" s="413"/>
      <c r="AS45" s="413"/>
      <c r="AT45" s="413"/>
      <c r="AU45" s="413"/>
      <c r="AV45" s="413"/>
      <c r="AW45" s="413"/>
      <c r="AX45" s="413"/>
      <c r="AY45" s="413"/>
      <c r="AZ45" s="413"/>
      <c r="BA45" s="413"/>
      <c r="BB45" s="413"/>
      <c r="BC45" s="413"/>
      <c r="BD45" s="413"/>
      <c r="BE45" s="413"/>
      <c r="BF45" s="413"/>
      <c r="BG45" s="413"/>
      <c r="BH45" s="413"/>
      <c r="BI45" s="413"/>
      <c r="BJ45" s="413"/>
      <c r="BK45" s="413"/>
      <c r="BL45" s="413"/>
      <c r="BM45" s="413"/>
      <c r="BN45" s="413"/>
      <c r="BO45" s="413"/>
      <c r="BP45" s="413"/>
      <c r="BQ45" s="413"/>
      <c r="BR45" s="413"/>
      <c r="BS45" s="413"/>
      <c r="BT45" s="413"/>
      <c r="BU45" s="413"/>
      <c r="BV45" s="413"/>
      <c r="BW45" s="413"/>
      <c r="BX45" s="413"/>
      <c r="BY45" s="413"/>
      <c r="BZ45" s="413"/>
      <c r="CA45" s="413"/>
      <c r="CB45" s="413"/>
      <c r="CC45" s="413"/>
      <c r="CD45" s="413"/>
      <c r="CE45" s="413"/>
      <c r="CF45" s="413"/>
      <c r="CG45" s="413"/>
      <c r="CH45" s="413"/>
      <c r="CI45" s="413"/>
      <c r="CJ45" s="413"/>
      <c r="CK45" s="413"/>
      <c r="CL45" s="413"/>
      <c r="CM45" s="413"/>
      <c r="CN45" s="413"/>
      <c r="CO45" s="413"/>
      <c r="CP45" s="413"/>
      <c r="CQ45" s="413"/>
      <c r="CR45" s="413"/>
      <c r="CS45" s="413"/>
      <c r="CT45" s="413"/>
      <c r="CU45" s="413"/>
      <c r="CV45" s="413"/>
      <c r="CW45" s="413"/>
      <c r="CX45" s="413"/>
      <c r="CY45" s="413"/>
      <c r="CZ45" s="413"/>
      <c r="DA45" s="413"/>
      <c r="DB45" s="413"/>
      <c r="DC45" s="413"/>
      <c r="DD45" s="413"/>
      <c r="DE45" s="413"/>
      <c r="DF45" s="413"/>
      <c r="DG45" s="413"/>
      <c r="DH45" s="413"/>
      <c r="DI45" s="413"/>
      <c r="DJ45" s="413"/>
      <c r="DK45" s="413"/>
      <c r="DL45" s="413"/>
      <c r="DM45" s="413"/>
      <c r="DN45" s="413"/>
      <c r="DO45" s="413"/>
      <c r="DP45" s="413"/>
      <c r="DQ45" s="413"/>
      <c r="DR45" s="413"/>
      <c r="DS45" s="413"/>
      <c r="DT45" s="413"/>
      <c r="DU45" s="413"/>
      <c r="DV45" s="413"/>
      <c r="DW45" s="413"/>
      <c r="DX45" s="413"/>
      <c r="DY45" s="413"/>
      <c r="DZ45" s="413"/>
      <c r="EA45" s="413"/>
      <c r="EB45" s="389"/>
      <c r="EC45" s="392" t="s">
        <v>65</v>
      </c>
    </row>
    <row r="46" spans="1:134" s="390" customFormat="1" ht="15" hidden="1" customHeight="1" outlineLevel="1">
      <c r="A46" s="389"/>
      <c r="B46" s="389"/>
      <c r="C46" s="389"/>
      <c r="D46" s="998" t="s">
        <v>567</v>
      </c>
      <c r="E46" s="701"/>
      <c r="F46" s="701"/>
      <c r="G46" s="701"/>
      <c r="H46" s="701"/>
      <c r="I46" s="795"/>
      <c r="J46" s="701"/>
      <c r="K46" s="420"/>
      <c r="L46" s="420"/>
      <c r="M46" s="420"/>
      <c r="N46" s="420"/>
      <c r="O46" s="420"/>
      <c r="P46" s="420"/>
      <c r="Q46" s="420"/>
      <c r="R46" s="420"/>
      <c r="S46" s="420"/>
      <c r="T46" s="420"/>
      <c r="U46" s="420"/>
      <c r="V46" s="420"/>
      <c r="W46" s="420"/>
      <c r="X46" s="420"/>
      <c r="Y46" s="420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  <c r="AK46" s="420"/>
      <c r="AL46" s="420"/>
      <c r="AM46" s="420"/>
      <c r="AN46" s="420"/>
      <c r="AO46" s="420"/>
      <c r="AP46" s="420"/>
      <c r="AQ46" s="420"/>
      <c r="AR46" s="420"/>
      <c r="AS46" s="420"/>
      <c r="AT46" s="420"/>
      <c r="AU46" s="420"/>
      <c r="AV46" s="420"/>
      <c r="AW46" s="420"/>
      <c r="AX46" s="420"/>
      <c r="AY46" s="420"/>
      <c r="AZ46" s="420"/>
      <c r="BA46" s="420"/>
      <c r="BB46" s="420"/>
      <c r="BC46" s="420"/>
      <c r="BD46" s="420"/>
      <c r="BE46" s="420"/>
      <c r="BF46" s="420"/>
      <c r="BG46" s="420"/>
      <c r="BH46" s="420"/>
      <c r="BI46" s="420"/>
      <c r="BJ46" s="420"/>
      <c r="BK46" s="420"/>
      <c r="BL46" s="420"/>
      <c r="BM46" s="420"/>
      <c r="BN46" s="420"/>
      <c r="BO46" s="420"/>
      <c r="BP46" s="420"/>
      <c r="BQ46" s="420"/>
      <c r="BR46" s="420"/>
      <c r="BS46" s="420"/>
      <c r="BT46" s="420"/>
      <c r="BU46" s="420"/>
      <c r="BV46" s="420"/>
      <c r="BW46" s="420"/>
      <c r="BX46" s="420"/>
      <c r="BY46" s="420"/>
      <c r="BZ46" s="420"/>
      <c r="CA46" s="420"/>
      <c r="CB46" s="420"/>
      <c r="CC46" s="420"/>
      <c r="CD46" s="420"/>
      <c r="CE46" s="420"/>
      <c r="CF46" s="420"/>
      <c r="CG46" s="420"/>
      <c r="CH46" s="420"/>
      <c r="CI46" s="420"/>
      <c r="CJ46" s="420"/>
      <c r="CK46" s="420"/>
      <c r="CL46" s="420"/>
      <c r="CM46" s="420"/>
      <c r="CN46" s="420"/>
      <c r="CO46" s="420"/>
      <c r="CP46" s="420"/>
      <c r="CQ46" s="420"/>
      <c r="CR46" s="420"/>
      <c r="CS46" s="420"/>
      <c r="CT46" s="420"/>
      <c r="CU46" s="420"/>
      <c r="CV46" s="420"/>
      <c r="CW46" s="420"/>
      <c r="CX46" s="420"/>
      <c r="CY46" s="420"/>
      <c r="CZ46" s="420"/>
      <c r="DA46" s="420"/>
      <c r="DB46" s="420"/>
      <c r="DC46" s="420"/>
      <c r="DD46" s="420"/>
      <c r="DE46" s="420"/>
      <c r="DF46" s="420"/>
      <c r="DG46" s="420"/>
      <c r="DH46" s="420"/>
      <c r="DI46" s="420"/>
      <c r="DJ46" s="420"/>
      <c r="DK46" s="420"/>
      <c r="DL46" s="420"/>
      <c r="DM46" s="420"/>
      <c r="DN46" s="420"/>
      <c r="DO46" s="420"/>
      <c r="DP46" s="420"/>
      <c r="DQ46" s="420"/>
      <c r="DR46" s="420"/>
      <c r="DS46" s="420"/>
      <c r="DT46" s="420"/>
      <c r="DU46" s="420"/>
      <c r="DV46" s="420"/>
      <c r="DW46" s="420"/>
      <c r="DX46" s="420"/>
      <c r="DY46" s="420"/>
      <c r="DZ46" s="420"/>
      <c r="EA46" s="420"/>
      <c r="EB46" s="389"/>
      <c r="EC46" s="392" t="s">
        <v>65</v>
      </c>
    </row>
    <row r="47" spans="1:134" s="390" customFormat="1" ht="15" hidden="1" customHeight="1" outlineLevel="1">
      <c r="A47" s="389"/>
      <c r="B47" s="389"/>
      <c r="C47" s="389"/>
      <c r="D47" s="416"/>
      <c r="E47" s="701"/>
      <c r="F47" s="701"/>
      <c r="G47" s="701"/>
      <c r="H47" s="701"/>
      <c r="I47" s="795"/>
      <c r="J47" s="701"/>
      <c r="K47" s="420"/>
      <c r="L47" s="420"/>
      <c r="M47" s="420"/>
      <c r="N47" s="420"/>
      <c r="O47" s="420"/>
      <c r="P47" s="420"/>
      <c r="Q47" s="420"/>
      <c r="R47" s="420"/>
      <c r="S47" s="420"/>
      <c r="T47" s="420"/>
      <c r="U47" s="420"/>
      <c r="V47" s="420"/>
      <c r="W47" s="420"/>
      <c r="X47" s="420"/>
      <c r="Y47" s="420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  <c r="AK47" s="420"/>
      <c r="AL47" s="420"/>
      <c r="AM47" s="420"/>
      <c r="AN47" s="420"/>
      <c r="AO47" s="420"/>
      <c r="AP47" s="420"/>
      <c r="AQ47" s="420"/>
      <c r="AR47" s="420"/>
      <c r="AS47" s="420"/>
      <c r="AT47" s="420"/>
      <c r="AU47" s="420"/>
      <c r="AV47" s="420"/>
      <c r="AW47" s="420"/>
      <c r="AX47" s="420"/>
      <c r="AY47" s="420"/>
      <c r="AZ47" s="420"/>
      <c r="BA47" s="420"/>
      <c r="BB47" s="420"/>
      <c r="BC47" s="420"/>
      <c r="BD47" s="420"/>
      <c r="BE47" s="420"/>
      <c r="BF47" s="420"/>
      <c r="BG47" s="420"/>
      <c r="BH47" s="420"/>
      <c r="BI47" s="420"/>
      <c r="BJ47" s="420"/>
      <c r="BK47" s="420"/>
      <c r="BL47" s="420"/>
      <c r="BM47" s="420"/>
      <c r="BN47" s="420"/>
      <c r="BO47" s="420"/>
      <c r="BP47" s="420"/>
      <c r="BQ47" s="420"/>
      <c r="BR47" s="420"/>
      <c r="BS47" s="420"/>
      <c r="BT47" s="420"/>
      <c r="BU47" s="420"/>
      <c r="BV47" s="420"/>
      <c r="BW47" s="420"/>
      <c r="BX47" s="420"/>
      <c r="BY47" s="420"/>
      <c r="BZ47" s="420"/>
      <c r="CA47" s="420"/>
      <c r="CB47" s="420"/>
      <c r="CC47" s="420"/>
      <c r="CD47" s="420"/>
      <c r="CE47" s="420"/>
      <c r="CF47" s="420"/>
      <c r="CG47" s="420"/>
      <c r="CH47" s="420"/>
      <c r="CI47" s="420"/>
      <c r="CJ47" s="420"/>
      <c r="CK47" s="420"/>
      <c r="CL47" s="420"/>
      <c r="CM47" s="420"/>
      <c r="CN47" s="420"/>
      <c r="CO47" s="420"/>
      <c r="CP47" s="420"/>
      <c r="CQ47" s="420"/>
      <c r="CR47" s="420"/>
      <c r="CS47" s="420"/>
      <c r="CT47" s="420"/>
      <c r="CU47" s="420"/>
      <c r="CV47" s="420"/>
      <c r="CW47" s="420"/>
      <c r="CX47" s="420"/>
      <c r="CY47" s="420"/>
      <c r="CZ47" s="420"/>
      <c r="DA47" s="420"/>
      <c r="DB47" s="420"/>
      <c r="DC47" s="420"/>
      <c r="DD47" s="420"/>
      <c r="DE47" s="420"/>
      <c r="DF47" s="420"/>
      <c r="DG47" s="420"/>
      <c r="DH47" s="420"/>
      <c r="DI47" s="420"/>
      <c r="DJ47" s="420"/>
      <c r="DK47" s="420"/>
      <c r="DL47" s="420"/>
      <c r="DM47" s="420"/>
      <c r="DN47" s="420"/>
      <c r="DO47" s="420"/>
      <c r="DP47" s="420"/>
      <c r="DQ47" s="420"/>
      <c r="DR47" s="420"/>
      <c r="DS47" s="420"/>
      <c r="DT47" s="420"/>
      <c r="DU47" s="420"/>
      <c r="DV47" s="420"/>
      <c r="DW47" s="420"/>
      <c r="DX47" s="420"/>
      <c r="DY47" s="420"/>
      <c r="DZ47" s="420"/>
      <c r="EA47" s="420"/>
      <c r="EB47" s="389"/>
      <c r="EC47" s="392" t="s">
        <v>65</v>
      </c>
    </row>
    <row r="48" spans="1:134" s="390" customFormat="1" hidden="1" outlineLevel="1">
      <c r="A48" s="389"/>
      <c r="B48" s="389"/>
      <c r="C48" s="389"/>
      <c r="D48" s="403" t="str">
        <f>CONCATENATE("Occ - ",Assumptions!$D$54)</f>
        <v>Occ - Commercial</v>
      </c>
      <c r="F48" s="700"/>
      <c r="G48" s="700"/>
      <c r="H48" s="700"/>
      <c r="I48" s="792">
        <f ca="1">MAX(L48:EA48)</f>
        <v>0</v>
      </c>
      <c r="J48" s="700"/>
      <c r="K48" s="404"/>
      <c r="L48" s="750">
        <f ca="1">IF(L$8&lt;=Assumptions!$M$58,IF(SUM($K$70:K$70)=$I$70,IF(K48=0,Assumptions!$H$60,MIN('Monthly-CF'!K48+Assumptions!$I$60,Assumptions!$J$60)),0),0)</f>
        <v>0</v>
      </c>
      <c r="M48" s="750">
        <f ca="1">IF(M$8&lt;=Assumptions!$M$58,IF(SUM($K$70:L$70)=$I$70,IF(L48=0,Assumptions!$H$60,MIN('Monthly-CF'!L48+Assumptions!$I$60,Assumptions!$J$60)),0),0)</f>
        <v>0</v>
      </c>
      <c r="N48" s="750">
        <f ca="1">IF(N$8&lt;=Assumptions!$M$58,IF(SUM($K$70:M$70)=$I$70,IF(M48=0,Assumptions!$H$60,MIN('Monthly-CF'!M48+Assumptions!$I$60,Assumptions!$J$60)),0),0)</f>
        <v>0</v>
      </c>
      <c r="O48" s="750">
        <f ca="1">IF(O$8&lt;=Assumptions!$M$58,IF(SUM($K$70:N$70)=$I$70,IF(N48=0,Assumptions!$H$60,MIN('Monthly-CF'!N48+Assumptions!$I$60,Assumptions!$J$60)),0),0)</f>
        <v>0</v>
      </c>
      <c r="P48" s="750">
        <f ca="1">IF(P$8&lt;=Assumptions!$M$58,IF(SUM($K$70:O$70)=$I$70,IF(O48=0,Assumptions!$H$60,MIN('Monthly-CF'!O48+Assumptions!$I$60,Assumptions!$J$60)),0),0)</f>
        <v>0</v>
      </c>
      <c r="Q48" s="750">
        <f ca="1">IF(Q$8&lt;=Assumptions!$M$58,IF(SUM($K$70:P$70)=$I$70,IF(P48=0,Assumptions!$H$60,MIN('Monthly-CF'!P48+Assumptions!$I$60,Assumptions!$J$60)),0),0)</f>
        <v>0</v>
      </c>
      <c r="R48" s="750">
        <f ca="1">IF(R$8&lt;=Assumptions!$M$58,IF(SUM($K$70:Q$70)=$I$70,IF(Q48=0,Assumptions!$H$60,MIN('Monthly-CF'!Q48+Assumptions!$I$60,Assumptions!$J$60)),0),0)</f>
        <v>0</v>
      </c>
      <c r="S48" s="750">
        <f ca="1">IF(S$8&lt;=Assumptions!$M$58,IF(SUM($K$70:R$70)=$I$70,IF(R48=0,Assumptions!$H$60,MIN('Monthly-CF'!R48+Assumptions!$I$60,Assumptions!$J$60)),0),0)</f>
        <v>0</v>
      </c>
      <c r="T48" s="750">
        <f ca="1">IF(T$8&lt;=Assumptions!$M$58,IF(SUM($K$70:S$70)=$I$70,IF(S48=0,Assumptions!$H$60,MIN('Monthly-CF'!S48+Assumptions!$I$60,Assumptions!$J$60)),0),0)</f>
        <v>0</v>
      </c>
      <c r="U48" s="750">
        <f ca="1">IF(U$8&lt;=Assumptions!$M$58,IF(SUM($K$70:T$70)=$I$70,IF(T48=0,Assumptions!$H$60,MIN('Monthly-CF'!T48+Assumptions!$I$60,Assumptions!$J$60)),0),0)</f>
        <v>0</v>
      </c>
      <c r="V48" s="750">
        <f ca="1">IF(V$8&lt;=Assumptions!$M$58,IF(SUM($K$70:U$70)=$I$70,IF(U48=0,Assumptions!$H$60,MIN('Monthly-CF'!U48+Assumptions!$I$60,Assumptions!$J$60)),0),0)</f>
        <v>0</v>
      </c>
      <c r="W48" s="750">
        <f ca="1">IF(W$8&lt;=Assumptions!$M$58,IF(SUM($K$70:V$70)=$I$70,IF(V48=0,Assumptions!$H$60,MIN('Monthly-CF'!V48+Assumptions!$I$60,Assumptions!$J$60)),0),0)</f>
        <v>0</v>
      </c>
      <c r="X48" s="750">
        <f ca="1">IF(X$8&lt;=Assumptions!$M$58,IF(SUM($K$70:W$70)=$I$70,IF(W48=0,Assumptions!$H$60,MIN('Monthly-CF'!W48+Assumptions!$I$60,Assumptions!$J$60)),0),0)</f>
        <v>0</v>
      </c>
      <c r="Y48" s="750">
        <f ca="1">IF(Y$8&lt;=Assumptions!$M$58,IF(SUM($K$70:X$70)=$I$70,IF(X48=0,Assumptions!$H$60,MIN('Monthly-CF'!X48+Assumptions!$I$60,Assumptions!$J$60)),0),0)</f>
        <v>0</v>
      </c>
      <c r="Z48" s="750">
        <f ca="1">IF(Z$8&lt;=Assumptions!$M$58,IF(SUM($K$70:Y$70)=$I$70,IF(Y48=0,Assumptions!$H$60,MIN('Monthly-CF'!Y48+Assumptions!$I$60,Assumptions!$J$60)),0),0)</f>
        <v>0</v>
      </c>
      <c r="AA48" s="750">
        <f ca="1">IF(AA$8&lt;=Assumptions!$M$58,IF(SUM($K$70:Z$70)=$I$70,IF(Z48=0,Assumptions!$H$60,MIN('Monthly-CF'!Z48+Assumptions!$I$60,Assumptions!$J$60)),0),0)</f>
        <v>0</v>
      </c>
      <c r="AB48" s="750">
        <f ca="1">IF(AB$8&lt;=Assumptions!$M$58,IF(SUM($K$70:AA$70)=$I$70,IF(AA48=0,Assumptions!$H$60,MIN('Monthly-CF'!AA48+Assumptions!$I$60,Assumptions!$J$60)),0),0)</f>
        <v>0</v>
      </c>
      <c r="AC48" s="750">
        <f ca="1">IF(AC$8&lt;=Assumptions!$M$58,IF(SUM($K$70:AB$70)=$I$70,IF(AB48=0,Assumptions!$H$60,MIN('Monthly-CF'!AB48+Assumptions!$I$60,Assumptions!$J$60)),0),0)</f>
        <v>0</v>
      </c>
      <c r="AD48" s="750">
        <f ca="1">IF(AD$8&lt;=Assumptions!$M$58,IF(SUM($K$70:AC$70)=$I$70,IF(AC48=0,Assumptions!$H$60,MIN('Monthly-CF'!AC48+Assumptions!$I$60,Assumptions!$J$60)),0),0)</f>
        <v>0</v>
      </c>
      <c r="AE48" s="750">
        <f ca="1">IF(AE$8&lt;=Assumptions!$M$58,IF(SUM($K$70:AD$70)=$I$70,IF(AD48=0,Assumptions!$H$60,MIN('Monthly-CF'!AD48+Assumptions!$I$60,Assumptions!$J$60)),0),0)</f>
        <v>0</v>
      </c>
      <c r="AF48" s="750">
        <f ca="1">IF(AF$8&lt;=Assumptions!$M$58,IF(SUM($K$70:AE$70)=$I$70,IF(AE48=0,Assumptions!$H$60,MIN('Monthly-CF'!AE48+Assumptions!$I$60,Assumptions!$J$60)),0),0)</f>
        <v>0</v>
      </c>
      <c r="AG48" s="750">
        <f ca="1">IF(AG$8&lt;=Assumptions!$M$58,IF(SUM($K$70:AF$70)=$I$70,IF(AF48=0,Assumptions!$H$60,MIN('Monthly-CF'!AF48+Assumptions!$I$60,Assumptions!$J$60)),0),0)</f>
        <v>0</v>
      </c>
      <c r="AH48" s="750">
        <f ca="1">IF(AH$8&lt;=Assumptions!$M$58,IF(SUM($K$70:AG$70)=$I$70,IF(AG48=0,Assumptions!$H$60,MIN('Monthly-CF'!AG48+Assumptions!$I$60,Assumptions!$J$60)),0),0)</f>
        <v>0</v>
      </c>
      <c r="AI48" s="750">
        <f ca="1">IF(AI$8&lt;=Assumptions!$M$58,IF(SUM($K$70:AH$70)=$I$70,IF(AH48=0,Assumptions!$H$60,MIN('Monthly-CF'!AH48+Assumptions!$I$60,Assumptions!$J$60)),0),0)</f>
        <v>0</v>
      </c>
      <c r="AJ48" s="750">
        <f ca="1">IF(AJ$8&lt;=Assumptions!$M$58,IF(SUM($K$70:AI$70)=$I$70,IF(AI48=0,Assumptions!$H$60,MIN('Monthly-CF'!AI48+Assumptions!$I$60,Assumptions!$J$60)),0),0)</f>
        <v>0</v>
      </c>
      <c r="AK48" s="750">
        <f ca="1">IF(AK$8&lt;=Assumptions!$M$58,IF(SUM($K$70:AJ$70)=$I$70,IF(AJ48=0,Assumptions!$H$60,MIN('Monthly-CF'!AJ48+Assumptions!$I$60,Assumptions!$J$60)),0),0)</f>
        <v>0</v>
      </c>
      <c r="AL48" s="750">
        <f ca="1">IF(AL$8&lt;=Assumptions!$M$58,IF(SUM($K$70:AK$70)=$I$70,IF(AK48=0,Assumptions!$H$60,MIN('Monthly-CF'!AK48+Assumptions!$I$60,Assumptions!$J$60)),0),0)</f>
        <v>0</v>
      </c>
      <c r="AM48" s="750">
        <f ca="1">IF(AM$8&lt;=Assumptions!$M$58,IF(SUM($K$70:AL$70)=$I$70,IF(AL48=0,Assumptions!$H$60,MIN('Monthly-CF'!AL48+Assumptions!$I$60,Assumptions!$J$60)),0),0)</f>
        <v>0</v>
      </c>
      <c r="AN48" s="750">
        <f ca="1">IF(AN$8&lt;=Assumptions!$M$58,IF(SUM($K$70:AM$70)=$I$70,IF(AM48=0,Assumptions!$H$60,MIN('Monthly-CF'!AM48+Assumptions!$I$60,Assumptions!$J$60)),0),0)</f>
        <v>0</v>
      </c>
      <c r="AO48" s="750">
        <f ca="1">IF(AO$8&lt;=Assumptions!$M$58,IF(SUM($K$70:AN$70)=$I$70,IF(AN48=0,Assumptions!$H$60,MIN('Monthly-CF'!AN48+Assumptions!$I$60,Assumptions!$J$60)),0),0)</f>
        <v>0</v>
      </c>
      <c r="AP48" s="750">
        <f ca="1">IF(AP$8&lt;=Assumptions!$M$58,IF(SUM($K$70:AO$70)=$I$70,IF(AO48=0,Assumptions!$H$60,MIN('Monthly-CF'!AO48+Assumptions!$I$60,Assumptions!$J$60)),0),0)</f>
        <v>0</v>
      </c>
      <c r="AQ48" s="750">
        <f ca="1">IF(AQ$8&lt;=Assumptions!$M$58,IF(SUM($K$70:AP$70)=$I$70,IF(AP48=0,Assumptions!$H$60,MIN('Monthly-CF'!AP48+Assumptions!$I$60,Assumptions!$J$60)),0),0)</f>
        <v>0</v>
      </c>
      <c r="AR48" s="750">
        <f ca="1">IF(AR$8&lt;=Assumptions!$M$58,IF(SUM($K$70:AQ$70)=$I$70,IF(AQ48=0,Assumptions!$H$60,MIN('Monthly-CF'!AQ48+Assumptions!$I$60,Assumptions!$J$60)),0),0)</f>
        <v>0</v>
      </c>
      <c r="AS48" s="750">
        <f ca="1">IF(AS$8&lt;=Assumptions!$M$58,IF(SUM($K$70:AR$70)=$I$70,IF(AR48=0,Assumptions!$H$60,MIN('Monthly-CF'!AR48+Assumptions!$I$60,Assumptions!$J$60)),0),0)</f>
        <v>0</v>
      </c>
      <c r="AT48" s="750">
        <f ca="1">IF(AT$8&lt;=Assumptions!$M$58,IF(SUM($K$70:AS$70)=$I$70,IF(AS48=0,Assumptions!$H$60,MIN('Monthly-CF'!AS48+Assumptions!$I$60,Assumptions!$J$60)),0),0)</f>
        <v>0</v>
      </c>
      <c r="AU48" s="750">
        <f ca="1">IF(AU$8&lt;=Assumptions!$M$58,IF(SUM($K$70:AT$70)=$I$70,IF(AT48=0,Assumptions!$H$60,MIN('Monthly-CF'!AT48+Assumptions!$I$60,Assumptions!$J$60)),0),0)</f>
        <v>0</v>
      </c>
      <c r="AV48" s="750">
        <f ca="1">IF(AV$8&lt;=Assumptions!$M$58,IF(SUM($K$70:AU$70)=$I$70,IF(AU48=0,Assumptions!$H$60,MIN('Monthly-CF'!AU48+Assumptions!$I$60,Assumptions!$J$60)),0),0)</f>
        <v>0</v>
      </c>
      <c r="AW48" s="750">
        <f ca="1">IF(AW$8&lt;=Assumptions!$M$58,IF(SUM($K$70:AV$70)=$I$70,IF(AV48=0,Assumptions!$H$60,MIN('Monthly-CF'!AV48+Assumptions!$I$60,Assumptions!$J$60)),0),0)</f>
        <v>0</v>
      </c>
      <c r="AX48" s="750">
        <f ca="1">IF(AX$8&lt;=Assumptions!$M$58,IF(SUM($K$70:AW$70)=$I$70,IF(AW48=0,Assumptions!$H$60,MIN('Monthly-CF'!AW48+Assumptions!$I$60,Assumptions!$J$60)),0),0)</f>
        <v>0</v>
      </c>
      <c r="AY48" s="750">
        <f ca="1">IF(AY$8&lt;=Assumptions!$M$58,IF(SUM($K$70:AX$70)=$I$70,IF(AX48=0,Assumptions!$H$60,MIN('Monthly-CF'!AX48+Assumptions!$I$60,Assumptions!$J$60)),0),0)</f>
        <v>0</v>
      </c>
      <c r="AZ48" s="750">
        <f ca="1">IF(AZ$8&lt;=Assumptions!$M$58,IF(SUM($K$70:AY$70)=$I$70,IF(AY48=0,Assumptions!$H$60,MIN('Monthly-CF'!AY48+Assumptions!$I$60,Assumptions!$J$60)),0),0)</f>
        <v>0</v>
      </c>
      <c r="BA48" s="750">
        <f ca="1">IF(BA$8&lt;=Assumptions!$M$58,IF(SUM($K$70:AZ$70)=$I$70,IF(AZ48=0,Assumptions!$H$60,MIN('Monthly-CF'!AZ48+Assumptions!$I$60,Assumptions!$J$60)),0),0)</f>
        <v>0</v>
      </c>
      <c r="BB48" s="750">
        <f ca="1">IF(BB$8&lt;=Assumptions!$M$58,IF(SUM($K$70:BA$70)=$I$70,IF(BA48=0,Assumptions!$H$60,MIN('Monthly-CF'!BA48+Assumptions!$I$60,Assumptions!$J$60)),0),0)</f>
        <v>0</v>
      </c>
      <c r="BC48" s="750">
        <f ca="1">IF(BC$8&lt;=Assumptions!$M$58,IF(SUM($K$70:BB$70)=$I$70,IF(BB48=0,Assumptions!$H$60,MIN('Monthly-CF'!BB48+Assumptions!$I$60,Assumptions!$J$60)),0),0)</f>
        <v>0</v>
      </c>
      <c r="BD48" s="750">
        <f ca="1">IF(BD$8&lt;=Assumptions!$M$58,IF(SUM($K$70:BC$70)=$I$70,IF(BC48=0,Assumptions!$H$60,MIN('Monthly-CF'!BC48+Assumptions!$I$60,Assumptions!$J$60)),0),0)</f>
        <v>0</v>
      </c>
      <c r="BE48" s="750">
        <f ca="1">IF(BE$8&lt;=Assumptions!$M$58,IF(SUM($K$70:BD$70)=$I$70,IF(BD48=0,Assumptions!$H$60,MIN('Monthly-CF'!BD48+Assumptions!$I$60,Assumptions!$J$60)),0),0)</f>
        <v>0</v>
      </c>
      <c r="BF48" s="750">
        <f ca="1">IF(BF$8&lt;=Assumptions!$M$58,IF(SUM($K$70:BE$70)=$I$70,IF(BE48=0,Assumptions!$H$60,MIN('Monthly-CF'!BE48+Assumptions!$I$60,Assumptions!$J$60)),0),0)</f>
        <v>0</v>
      </c>
      <c r="BG48" s="750">
        <f ca="1">IF(BG$8&lt;=Assumptions!$M$58,IF(SUM($K$70:BF$70)=$I$70,IF(BF48=0,Assumptions!$H$60,MIN('Monthly-CF'!BF48+Assumptions!$I$60,Assumptions!$J$60)),0),0)</f>
        <v>0</v>
      </c>
      <c r="BH48" s="750">
        <f ca="1">IF(BH$8&lt;=Assumptions!$M$58,IF(SUM($K$70:BG$70)=$I$70,IF(BG48=0,Assumptions!$H$60,MIN('Monthly-CF'!BG48+Assumptions!$I$60,Assumptions!$J$60)),0),0)</f>
        <v>0</v>
      </c>
      <c r="BI48" s="750">
        <f ca="1">IF(BI$8&lt;=Assumptions!$M$58,IF(SUM($K$70:BH$70)=$I$70,IF(BH48=0,Assumptions!$H$60,MIN('Monthly-CF'!BH48+Assumptions!$I$60,Assumptions!$J$60)),0),0)</f>
        <v>0</v>
      </c>
      <c r="BJ48" s="750">
        <f ca="1">IF(BJ$8&lt;=Assumptions!$M$58,IF(SUM($K$70:BI$70)=$I$70,IF(BI48=0,Assumptions!$H$60,MIN('Monthly-CF'!BI48+Assumptions!$I$60,Assumptions!$J$60)),0),0)</f>
        <v>0</v>
      </c>
      <c r="BK48" s="750">
        <f ca="1">IF(BK$8&lt;=Assumptions!$M$58,IF(SUM($K$70:BJ$70)=$I$70,IF(BJ48=0,Assumptions!$H$60,MIN('Monthly-CF'!BJ48+Assumptions!$I$60,Assumptions!$J$60)),0),0)</f>
        <v>0</v>
      </c>
      <c r="BL48" s="750">
        <f ca="1">IF(BL$8&lt;=Assumptions!$M$58,IF(SUM($K$70:BK$70)=$I$70,IF(BK48=0,Assumptions!$H$60,MIN('Monthly-CF'!BK48+Assumptions!$I$60,Assumptions!$J$60)),0),0)</f>
        <v>0</v>
      </c>
      <c r="BM48" s="750">
        <f ca="1">IF(BM$8&lt;=Assumptions!$M$58,IF(SUM($K$70:BL$70)=$I$70,IF(BL48=0,Assumptions!$H$60,MIN('Monthly-CF'!BL48+Assumptions!$I$60,Assumptions!$J$60)),0),0)</f>
        <v>0</v>
      </c>
      <c r="BN48" s="750">
        <f ca="1">IF(BN$8&lt;=Assumptions!$M$58,IF(SUM($K$70:BM$70)=$I$70,IF(BM48=0,Assumptions!$H$60,MIN('Monthly-CF'!BM48+Assumptions!$I$60,Assumptions!$J$60)),0),0)</f>
        <v>0</v>
      </c>
      <c r="BO48" s="750">
        <f ca="1">IF(BO$8&lt;=Assumptions!$M$58,IF(SUM($K$70:BN$70)=$I$70,IF(BN48=0,Assumptions!$H$60,MIN('Monthly-CF'!BN48+Assumptions!$I$60,Assumptions!$J$60)),0),0)</f>
        <v>0</v>
      </c>
      <c r="BP48" s="750">
        <f ca="1">IF(BP$8&lt;=Assumptions!$M$58,IF(SUM($K$70:BO$70)=$I$70,IF(BO48=0,Assumptions!$H$60,MIN('Monthly-CF'!BO48+Assumptions!$I$60,Assumptions!$J$60)),0),0)</f>
        <v>0</v>
      </c>
      <c r="BQ48" s="750">
        <f ca="1">IF(BQ$8&lt;=Assumptions!$M$58,IF(SUM($K$70:BP$70)=$I$70,IF(BP48=0,Assumptions!$H$60,MIN('Monthly-CF'!BP48+Assumptions!$I$60,Assumptions!$J$60)),0),0)</f>
        <v>0</v>
      </c>
      <c r="BR48" s="750">
        <f ca="1">IF(BR$8&lt;=Assumptions!$M$58,IF(SUM($K$70:BQ$70)=$I$70,IF(BQ48=0,Assumptions!$H$60,MIN('Monthly-CF'!BQ48+Assumptions!$I$60,Assumptions!$J$60)),0),0)</f>
        <v>0</v>
      </c>
      <c r="BS48" s="750">
        <f ca="1">IF(BS$8&lt;=Assumptions!$M$58,IF(SUM($K$70:BR$70)=$I$70,IF(BR48=0,Assumptions!$H$60,MIN('Monthly-CF'!BR48+Assumptions!$I$60,Assumptions!$J$60)),0),0)</f>
        <v>0</v>
      </c>
      <c r="BT48" s="750">
        <f ca="1">IF(BT$8&lt;=Assumptions!$M$58,IF(SUM($K$70:BS$70)=$I$70,IF(BS48=0,Assumptions!$H$60,MIN('Monthly-CF'!BS48+Assumptions!$I$60,Assumptions!$J$60)),0),0)</f>
        <v>0</v>
      </c>
      <c r="BU48" s="750">
        <f ca="1">IF(BU$8&lt;=Assumptions!$M$58,IF(SUM($K$70:BT$70)=$I$70,IF(BT48=0,Assumptions!$H$60,MIN('Monthly-CF'!BT48+Assumptions!$I$60,Assumptions!$J$60)),0),0)</f>
        <v>0</v>
      </c>
      <c r="BV48" s="750">
        <f ca="1">IF(BV$8&lt;=Assumptions!$M$58,IF(SUM($K$70:BU$70)=$I$70,IF(BU48=0,Assumptions!$H$60,MIN('Monthly-CF'!BU48+Assumptions!$I$60,Assumptions!$J$60)),0),0)</f>
        <v>0</v>
      </c>
      <c r="BW48" s="750">
        <f ca="1">IF(BW$8&lt;=Assumptions!$M$58,IF(SUM($K$70:BV$70)=$I$70,IF(BV48=0,Assumptions!$H$60,MIN('Monthly-CF'!BV48+Assumptions!$I$60,Assumptions!$J$60)),0),0)</f>
        <v>0</v>
      </c>
      <c r="BX48" s="750">
        <f ca="1">IF(BX$8&lt;=Assumptions!$M$58,IF(SUM($K$70:BW$70)=$I$70,IF(BW48=0,Assumptions!$H$60,MIN('Monthly-CF'!BW48+Assumptions!$I$60,Assumptions!$J$60)),0),0)</f>
        <v>0</v>
      </c>
      <c r="BY48" s="750">
        <f ca="1">IF(BY$8&lt;=Assumptions!$M$58,IF(SUM($K$70:BX$70)=$I$70,IF(BX48=0,Assumptions!$H$60,MIN('Monthly-CF'!BX48+Assumptions!$I$60,Assumptions!$J$60)),0),0)</f>
        <v>0</v>
      </c>
      <c r="BZ48" s="750">
        <f ca="1">IF(BZ$8&lt;=Assumptions!$M$58,IF(SUM($K$70:BY$70)=$I$70,IF(BY48=0,Assumptions!$H$60,MIN('Monthly-CF'!BY48+Assumptions!$I$60,Assumptions!$J$60)),0),0)</f>
        <v>0</v>
      </c>
      <c r="CA48" s="750">
        <f ca="1">IF(CA$8&lt;=Assumptions!$M$58,IF(SUM($K$70:BZ$70)=$I$70,IF(BZ48=0,Assumptions!$H$60,MIN('Monthly-CF'!BZ48+Assumptions!$I$60,Assumptions!$J$60)),0),0)</f>
        <v>0</v>
      </c>
      <c r="CB48" s="750">
        <f ca="1">IF(CB$8&lt;=Assumptions!$M$58,IF(SUM($K$70:CA$70)=$I$70,IF(CA48=0,Assumptions!$H$60,MIN('Monthly-CF'!CA48+Assumptions!$I$60,Assumptions!$J$60)),0),0)</f>
        <v>0</v>
      </c>
      <c r="CC48" s="750">
        <f ca="1">IF(CC$8&lt;=Assumptions!$M$58,IF(SUM($K$70:CB$70)=$I$70,IF(CB48=0,Assumptions!$H$60,MIN('Monthly-CF'!CB48+Assumptions!$I$60,Assumptions!$J$60)),0),0)</f>
        <v>0</v>
      </c>
      <c r="CD48" s="750">
        <f ca="1">IF(CD$8&lt;=Assumptions!$M$58,IF(SUM($K$70:CC$70)=$I$70,IF(CC48=0,Assumptions!$H$60,MIN('Monthly-CF'!CC48+Assumptions!$I$60,Assumptions!$J$60)),0),0)</f>
        <v>0</v>
      </c>
      <c r="CE48" s="750">
        <f ca="1">IF(CE$8&lt;=Assumptions!$M$58,IF(SUM($K$70:CD$70)=$I$70,IF(CD48=0,Assumptions!$H$60,MIN('Monthly-CF'!CD48+Assumptions!$I$60,Assumptions!$J$60)),0),0)</f>
        <v>0</v>
      </c>
      <c r="CF48" s="750">
        <f ca="1">IF(CF$8&lt;=Assumptions!$M$58,IF(SUM($K$70:CE$70)=$I$70,IF(CE48=0,Assumptions!$H$60,MIN('Monthly-CF'!CE48+Assumptions!$I$60,Assumptions!$J$60)),0),0)</f>
        <v>0</v>
      </c>
      <c r="CG48" s="750">
        <f ca="1">IF(CG$8&lt;=Assumptions!$M$58,IF(SUM($K$70:CF$70)=$I$70,IF(CF48=0,Assumptions!$H$60,MIN('Monthly-CF'!CF48+Assumptions!$I$60,Assumptions!$J$60)),0),0)</f>
        <v>0</v>
      </c>
      <c r="CH48" s="750">
        <f ca="1">IF(CH$8&lt;=Assumptions!$M$58,IF(SUM($K$70:CG$70)=$I$70,IF(CG48=0,Assumptions!$H$60,MIN('Monthly-CF'!CG48+Assumptions!$I$60,Assumptions!$J$60)),0),0)</f>
        <v>0</v>
      </c>
      <c r="CI48" s="750">
        <f ca="1">IF(CI$8&lt;=Assumptions!$M$58,IF(SUM($K$70:CH$70)=$I$70,IF(CH48=0,Assumptions!$H$60,MIN('Monthly-CF'!CH48+Assumptions!$I$60,Assumptions!$J$60)),0),0)</f>
        <v>0</v>
      </c>
      <c r="CJ48" s="750">
        <f ca="1">IF(CJ$8&lt;=Assumptions!$M$58,IF(SUM($K$70:CI$70)=$I$70,IF(CI48=0,Assumptions!$H$60,MIN('Monthly-CF'!CI48+Assumptions!$I$60,Assumptions!$J$60)),0),0)</f>
        <v>0</v>
      </c>
      <c r="CK48" s="750">
        <f ca="1">IF(CK$8&lt;=Assumptions!$M$58,IF(SUM($K$70:CJ$70)=$I$70,IF(CJ48=0,Assumptions!$H$60,MIN('Monthly-CF'!CJ48+Assumptions!$I$60,Assumptions!$J$60)),0),0)</f>
        <v>0</v>
      </c>
      <c r="CL48" s="750">
        <f ca="1">IF(CL$8&lt;=Assumptions!$M$58,IF(SUM($K$70:CK$70)=$I$70,IF(CK48=0,Assumptions!$H$60,MIN('Monthly-CF'!CK48+Assumptions!$I$60,Assumptions!$J$60)),0),0)</f>
        <v>0</v>
      </c>
      <c r="CM48" s="750">
        <f ca="1">IF(CM$8&lt;=Assumptions!$M$58,IF(SUM($K$70:CL$70)=$I$70,IF(CL48=0,Assumptions!$H$60,MIN('Monthly-CF'!CL48+Assumptions!$I$60,Assumptions!$J$60)),0),0)</f>
        <v>0</v>
      </c>
      <c r="CN48" s="750">
        <f ca="1">IF(CN$8&lt;=Assumptions!$M$58,IF(SUM($K$70:CM$70)=$I$70,IF(CM48=0,Assumptions!$H$60,MIN('Monthly-CF'!CM48+Assumptions!$I$60,Assumptions!$J$60)),0),0)</f>
        <v>0</v>
      </c>
      <c r="CO48" s="750">
        <f ca="1">IF(CO$8&lt;=Assumptions!$M$58,IF(SUM($K$70:CN$70)=$I$70,IF(CN48=0,Assumptions!$H$60,MIN('Monthly-CF'!CN48+Assumptions!$I$60,Assumptions!$J$60)),0),0)</f>
        <v>0</v>
      </c>
      <c r="CP48" s="750">
        <f ca="1">IF(CP$8&lt;=Assumptions!$M$58,IF(SUM($K$70:CO$70)=$I$70,IF(CO48=0,Assumptions!$H$60,MIN('Monthly-CF'!CO48+Assumptions!$I$60,Assumptions!$J$60)),0),0)</f>
        <v>0</v>
      </c>
      <c r="CQ48" s="750">
        <f ca="1">IF(CQ$8&lt;=Assumptions!$M$58,IF(SUM($K$70:CP$70)=$I$70,IF(CP48=0,Assumptions!$H$60,MIN('Monthly-CF'!CP48+Assumptions!$I$60,Assumptions!$J$60)),0),0)</f>
        <v>0</v>
      </c>
      <c r="CR48" s="750">
        <f ca="1">IF(CR$8&lt;=Assumptions!$M$58,IF(SUM($K$70:CQ$70)=$I$70,IF(CQ48=0,Assumptions!$H$60,MIN('Monthly-CF'!CQ48+Assumptions!$I$60,Assumptions!$J$60)),0),0)</f>
        <v>0</v>
      </c>
      <c r="CS48" s="750">
        <f ca="1">IF(CS$8&lt;=Assumptions!$M$58,IF(SUM($K$70:CR$70)=$I$70,IF(CR48=0,Assumptions!$H$60,MIN('Monthly-CF'!CR48+Assumptions!$I$60,Assumptions!$J$60)),0),0)</f>
        <v>0</v>
      </c>
      <c r="CT48" s="750">
        <f ca="1">IF(CT$8&lt;=Assumptions!$M$58,IF(SUM($K$70:CS$70)=$I$70,IF(CS48=0,Assumptions!$H$60,MIN('Monthly-CF'!CS48+Assumptions!$I$60,Assumptions!$J$60)),0),0)</f>
        <v>0</v>
      </c>
      <c r="CU48" s="750">
        <f ca="1">IF(CU$8&lt;=Assumptions!$M$58,IF(SUM($K$70:CT$70)=$I$70,IF(CT48=0,Assumptions!$H$60,MIN('Monthly-CF'!CT48+Assumptions!$I$60,Assumptions!$J$60)),0),0)</f>
        <v>0</v>
      </c>
      <c r="CV48" s="750">
        <f ca="1">IF(CV$8&lt;=Assumptions!$M$58,IF(SUM($K$70:CU$70)=$I$70,IF(CU48=0,Assumptions!$H$60,MIN('Monthly-CF'!CU48+Assumptions!$I$60,Assumptions!$J$60)),0),0)</f>
        <v>0</v>
      </c>
      <c r="CW48" s="750">
        <f ca="1">IF(CW$8&lt;=Assumptions!$M$58,IF(SUM($K$70:CV$70)=$I$70,IF(CV48=0,Assumptions!$H$60,MIN('Monthly-CF'!CV48+Assumptions!$I$60,Assumptions!$J$60)),0),0)</f>
        <v>0</v>
      </c>
      <c r="CX48" s="750">
        <f ca="1">IF(CX$8&lt;=Assumptions!$M$58,IF(SUM($K$70:CW$70)=$I$70,IF(CW48=0,Assumptions!$H$60,MIN('Monthly-CF'!CW48+Assumptions!$I$60,Assumptions!$J$60)),0),0)</f>
        <v>0</v>
      </c>
      <c r="CY48" s="750">
        <f ca="1">IF(CY$8&lt;=Assumptions!$M$58,IF(SUM($K$70:CX$70)=$I$70,IF(CX48=0,Assumptions!$H$60,MIN('Monthly-CF'!CX48+Assumptions!$I$60,Assumptions!$J$60)),0),0)</f>
        <v>0</v>
      </c>
      <c r="CZ48" s="750">
        <f ca="1">IF(CZ$8&lt;=Assumptions!$M$58,IF(SUM($K$70:CY$70)=$I$70,IF(CY48=0,Assumptions!$H$60,MIN('Monthly-CF'!CY48+Assumptions!$I$60,Assumptions!$J$60)),0),0)</f>
        <v>0</v>
      </c>
      <c r="DA48" s="750">
        <f ca="1">IF(DA$8&lt;=Assumptions!$M$58,IF(SUM($K$70:CZ$70)=$I$70,IF(CZ48=0,Assumptions!$H$60,MIN('Monthly-CF'!CZ48+Assumptions!$I$60,Assumptions!$J$60)),0),0)</f>
        <v>0</v>
      </c>
      <c r="DB48" s="750">
        <f ca="1">IF(DB$8&lt;=Assumptions!$M$58,IF(SUM($K$70:DA$70)=$I$70,IF(DA48=0,Assumptions!$H$60,MIN('Monthly-CF'!DA48+Assumptions!$I$60,Assumptions!$J$60)),0),0)</f>
        <v>0</v>
      </c>
      <c r="DC48" s="750">
        <f ca="1">IF(DC$8&lt;=Assumptions!$M$58,IF(SUM($K$70:DB$70)=$I$70,IF(DB48=0,Assumptions!$H$60,MIN('Monthly-CF'!DB48+Assumptions!$I$60,Assumptions!$J$60)),0),0)</f>
        <v>0</v>
      </c>
      <c r="DD48" s="750">
        <f ca="1">IF(DD$8&lt;=Assumptions!$M$58,IF(SUM($K$70:DC$70)=$I$70,IF(DC48=0,Assumptions!$H$60,MIN('Monthly-CF'!DC48+Assumptions!$I$60,Assumptions!$J$60)),0),0)</f>
        <v>0</v>
      </c>
      <c r="DE48" s="750">
        <f ca="1">IF(DE$8&lt;=Assumptions!$M$58,IF(SUM($K$70:DD$70)=$I$70,IF(DD48=0,Assumptions!$H$60,MIN('Monthly-CF'!DD48+Assumptions!$I$60,Assumptions!$J$60)),0),0)</f>
        <v>0</v>
      </c>
      <c r="DF48" s="750">
        <f ca="1">IF(DF$8&lt;=Assumptions!$M$58,IF(SUM($K$70:DE$70)=$I$70,IF(DE48=0,Assumptions!$H$60,MIN('Monthly-CF'!DE48+Assumptions!$I$60,Assumptions!$J$60)),0),0)</f>
        <v>0</v>
      </c>
      <c r="DG48" s="750">
        <f ca="1">IF(DG$8&lt;=Assumptions!$M$58,IF(SUM($K$70:DF$70)=$I$70,IF(DF48=0,Assumptions!$H$60,MIN('Monthly-CF'!DF48+Assumptions!$I$60,Assumptions!$J$60)),0),0)</f>
        <v>0</v>
      </c>
      <c r="DH48" s="750">
        <f ca="1">IF(DH$8&lt;=Assumptions!$M$58,IF(SUM($K$70:DG$70)=$I$70,IF(DG48=0,Assumptions!$H$60,MIN('Monthly-CF'!DG48+Assumptions!$I$60,Assumptions!$J$60)),0),0)</f>
        <v>0</v>
      </c>
      <c r="DI48" s="750">
        <f ca="1">IF(DI$8&lt;=Assumptions!$M$58,IF(SUM($K$70:DH$70)=$I$70,IF(DH48=0,Assumptions!$H$60,MIN('Monthly-CF'!DH48+Assumptions!$I$60,Assumptions!$J$60)),0),0)</f>
        <v>0</v>
      </c>
      <c r="DJ48" s="750">
        <f ca="1">IF(DJ$8&lt;=Assumptions!$M$58,IF(SUM($K$70:DI$70)=$I$70,IF(DI48=0,Assumptions!$H$60,MIN('Monthly-CF'!DI48+Assumptions!$I$60,Assumptions!$J$60)),0),0)</f>
        <v>0</v>
      </c>
      <c r="DK48" s="750">
        <f ca="1">IF(DK$8&lt;=Assumptions!$M$58,IF(SUM($K$70:DJ$70)=$I$70,IF(DJ48=0,Assumptions!$H$60,MIN('Monthly-CF'!DJ48+Assumptions!$I$60,Assumptions!$J$60)),0),0)</f>
        <v>0</v>
      </c>
      <c r="DL48" s="750">
        <f ca="1">IF(DL$8&lt;=Assumptions!$M$58,IF(SUM($K$70:DK$70)=$I$70,IF(DK48=0,Assumptions!$H$60,MIN('Monthly-CF'!DK48+Assumptions!$I$60,Assumptions!$J$60)),0),0)</f>
        <v>0</v>
      </c>
      <c r="DM48" s="750">
        <f ca="1">IF(DM$8&lt;=Assumptions!$M$58,IF(SUM($K$70:DL$70)=$I$70,IF(DL48=0,Assumptions!$H$60,MIN('Monthly-CF'!DL48+Assumptions!$I$60,Assumptions!$J$60)),0),0)</f>
        <v>0</v>
      </c>
      <c r="DN48" s="750">
        <f ca="1">IF(DN$8&lt;=Assumptions!$M$58,IF(SUM($K$70:DM$70)=$I$70,IF(DM48=0,Assumptions!$H$60,MIN('Monthly-CF'!DM48+Assumptions!$I$60,Assumptions!$J$60)),0),0)</f>
        <v>0</v>
      </c>
      <c r="DO48" s="750">
        <f ca="1">IF(DO$8&lt;=Assumptions!$M$58,IF(SUM($K$70:DN$70)=$I$70,IF(DN48=0,Assumptions!$H$60,MIN('Monthly-CF'!DN48+Assumptions!$I$60,Assumptions!$J$60)),0),0)</f>
        <v>0</v>
      </c>
      <c r="DP48" s="750">
        <f ca="1">IF(DP$8&lt;=Assumptions!$M$58,IF(SUM($K$70:DO$70)=$I$70,IF(DO48=0,Assumptions!$H$60,MIN('Monthly-CF'!DO48+Assumptions!$I$60,Assumptions!$J$60)),0),0)</f>
        <v>0</v>
      </c>
      <c r="DQ48" s="750">
        <f ca="1">IF(DQ$8&lt;=Assumptions!$M$58,IF(SUM($K$70:DP$70)=$I$70,IF(DP48=0,Assumptions!$H$60,MIN('Monthly-CF'!DP48+Assumptions!$I$60,Assumptions!$J$60)),0),0)</f>
        <v>0</v>
      </c>
      <c r="DR48" s="750">
        <f ca="1">IF(DR$8&lt;=Assumptions!$M$58,IF(SUM($K$70:DQ$70)=$I$70,IF(DQ48=0,Assumptions!$H$60,MIN('Monthly-CF'!DQ48+Assumptions!$I$60,Assumptions!$J$60)),0),0)</f>
        <v>0</v>
      </c>
      <c r="DS48" s="750">
        <f ca="1">IF(DS$8&lt;=Assumptions!$M$58,IF(SUM($K$70:DR$70)=$I$70,IF(DR48=0,Assumptions!$H$60,MIN('Monthly-CF'!DR48+Assumptions!$I$60,Assumptions!$J$60)),0),0)</f>
        <v>0</v>
      </c>
      <c r="DT48" s="750">
        <f ca="1">IF(DT$8&lt;=Assumptions!$M$58,IF(SUM($K$70:DS$70)=$I$70,IF(DS48=0,Assumptions!$H$60,MIN('Monthly-CF'!DS48+Assumptions!$I$60,Assumptions!$J$60)),0),0)</f>
        <v>0</v>
      </c>
      <c r="DU48" s="750">
        <f ca="1">IF(DU$8&lt;=Assumptions!$M$58,IF(SUM($K$70:DT$70)=$I$70,IF(DT48=0,Assumptions!$H$60,MIN('Monthly-CF'!DT48+Assumptions!$I$60,Assumptions!$J$60)),0),0)</f>
        <v>0</v>
      </c>
      <c r="DV48" s="750">
        <f ca="1">IF(DV$8&lt;=Assumptions!$M$58,IF(SUM($K$70:DU$70)=$I$70,IF(DU48=0,Assumptions!$H$60,MIN('Monthly-CF'!DU48+Assumptions!$I$60,Assumptions!$J$60)),0),0)</f>
        <v>0</v>
      </c>
      <c r="DW48" s="750">
        <f ca="1">IF(DW$8&lt;=Assumptions!$M$58,IF(SUM($K$70:DV$70)=$I$70,IF(DV48=0,Assumptions!$H$60,MIN('Monthly-CF'!DV48+Assumptions!$I$60,Assumptions!$J$60)),0),0)</f>
        <v>0</v>
      </c>
      <c r="DX48" s="750">
        <f ca="1">IF(DX$8&lt;=Assumptions!$M$58,IF(SUM($K$70:DW$70)=$I$70,IF(DW48=0,Assumptions!$H$60,MIN('Monthly-CF'!DW48+Assumptions!$I$60,Assumptions!$J$60)),0),0)</f>
        <v>0</v>
      </c>
      <c r="DY48" s="750">
        <f ca="1">IF(DY$8&lt;=Assumptions!$M$58,IF(SUM($K$70:DX$70)=$I$70,IF(DX48=0,Assumptions!$H$60,MIN('Monthly-CF'!DX48+Assumptions!$I$60,Assumptions!$J$60)),0),0)</f>
        <v>0</v>
      </c>
      <c r="DZ48" s="750">
        <f ca="1">IF(DZ$8&lt;=Assumptions!$M$58,IF(SUM($K$70:DY$70)=$I$70,IF(DY48=0,Assumptions!$H$60,MIN('Monthly-CF'!DY48+Assumptions!$I$60,Assumptions!$J$60)),0),0)</f>
        <v>0</v>
      </c>
      <c r="EA48" s="750">
        <f ca="1">IF(EA$8&lt;=Assumptions!$M$58,IF(SUM($K$70:DZ$70)=$I$70,IF(DZ48=0,Assumptions!$H$60,MIN('Monthly-CF'!DZ48+Assumptions!$I$60,Assumptions!$J$60)),0),0)</f>
        <v>0</v>
      </c>
      <c r="EB48" s="389"/>
      <c r="EC48" s="392" t="s">
        <v>65</v>
      </c>
    </row>
    <row r="49" spans="1:133" s="390" customFormat="1" hidden="1" outlineLevel="1">
      <c r="A49" s="389"/>
      <c r="C49" s="389"/>
      <c r="D49" s="403" t="str">
        <f>CONCATENATE("PSF - ",Assumptions!I54)</f>
        <v>PSF - Commercial</v>
      </c>
      <c r="E49" s="704">
        <f>Assumptions!D55</f>
        <v>0</v>
      </c>
      <c r="F49" s="389"/>
      <c r="G49" s="749">
        <f>Assumptions!I56</f>
        <v>0.04</v>
      </c>
      <c r="H49" s="389"/>
      <c r="I49" s="794">
        <f ca="1">MAX(L49:EA49)</f>
        <v>0</v>
      </c>
      <c r="J49" s="389"/>
      <c r="K49" s="407"/>
      <c r="L49" s="407">
        <f t="shared" ref="L49:AQ49" ca="1" si="52">L48*$E49</f>
        <v>0</v>
      </c>
      <c r="M49" s="407">
        <f t="shared" ca="1" si="52"/>
        <v>0</v>
      </c>
      <c r="N49" s="407">
        <f t="shared" ca="1" si="52"/>
        <v>0</v>
      </c>
      <c r="O49" s="407">
        <f t="shared" ca="1" si="52"/>
        <v>0</v>
      </c>
      <c r="P49" s="407">
        <f t="shared" ca="1" si="52"/>
        <v>0</v>
      </c>
      <c r="Q49" s="407">
        <f t="shared" ca="1" si="52"/>
        <v>0</v>
      </c>
      <c r="R49" s="407">
        <f t="shared" ca="1" si="52"/>
        <v>0</v>
      </c>
      <c r="S49" s="407">
        <f t="shared" ca="1" si="52"/>
        <v>0</v>
      </c>
      <c r="T49" s="407">
        <f t="shared" ca="1" si="52"/>
        <v>0</v>
      </c>
      <c r="U49" s="407">
        <f t="shared" ca="1" si="52"/>
        <v>0</v>
      </c>
      <c r="V49" s="407">
        <f t="shared" ca="1" si="52"/>
        <v>0</v>
      </c>
      <c r="W49" s="407">
        <f t="shared" ca="1" si="52"/>
        <v>0</v>
      </c>
      <c r="X49" s="407">
        <f t="shared" ca="1" si="52"/>
        <v>0</v>
      </c>
      <c r="Y49" s="407">
        <f t="shared" ca="1" si="52"/>
        <v>0</v>
      </c>
      <c r="Z49" s="407">
        <f t="shared" ca="1" si="52"/>
        <v>0</v>
      </c>
      <c r="AA49" s="407">
        <f t="shared" ca="1" si="52"/>
        <v>0</v>
      </c>
      <c r="AB49" s="407">
        <f t="shared" ca="1" si="52"/>
        <v>0</v>
      </c>
      <c r="AC49" s="407">
        <f t="shared" ca="1" si="52"/>
        <v>0</v>
      </c>
      <c r="AD49" s="407">
        <f t="shared" ca="1" si="52"/>
        <v>0</v>
      </c>
      <c r="AE49" s="407">
        <f t="shared" ca="1" si="52"/>
        <v>0</v>
      </c>
      <c r="AF49" s="407">
        <f t="shared" ca="1" si="52"/>
        <v>0</v>
      </c>
      <c r="AG49" s="407">
        <f t="shared" ca="1" si="52"/>
        <v>0</v>
      </c>
      <c r="AH49" s="407">
        <f t="shared" ca="1" si="52"/>
        <v>0</v>
      </c>
      <c r="AI49" s="407">
        <f t="shared" ca="1" si="52"/>
        <v>0</v>
      </c>
      <c r="AJ49" s="407">
        <f t="shared" ca="1" si="52"/>
        <v>0</v>
      </c>
      <c r="AK49" s="407">
        <f t="shared" ca="1" si="52"/>
        <v>0</v>
      </c>
      <c r="AL49" s="407">
        <f t="shared" ca="1" si="52"/>
        <v>0</v>
      </c>
      <c r="AM49" s="407">
        <f t="shared" ca="1" si="52"/>
        <v>0</v>
      </c>
      <c r="AN49" s="407">
        <f t="shared" ca="1" si="52"/>
        <v>0</v>
      </c>
      <c r="AO49" s="407">
        <f t="shared" ca="1" si="52"/>
        <v>0</v>
      </c>
      <c r="AP49" s="407">
        <f t="shared" ca="1" si="52"/>
        <v>0</v>
      </c>
      <c r="AQ49" s="407">
        <f t="shared" ca="1" si="52"/>
        <v>0</v>
      </c>
      <c r="AR49" s="407">
        <f t="shared" ref="AR49:BW49" ca="1" si="53">AR48*$E49</f>
        <v>0</v>
      </c>
      <c r="AS49" s="407">
        <f t="shared" ca="1" si="53"/>
        <v>0</v>
      </c>
      <c r="AT49" s="407">
        <f t="shared" ca="1" si="53"/>
        <v>0</v>
      </c>
      <c r="AU49" s="407">
        <f t="shared" ca="1" si="53"/>
        <v>0</v>
      </c>
      <c r="AV49" s="407">
        <f t="shared" ca="1" si="53"/>
        <v>0</v>
      </c>
      <c r="AW49" s="407">
        <f t="shared" ca="1" si="53"/>
        <v>0</v>
      </c>
      <c r="AX49" s="407">
        <f t="shared" ca="1" si="53"/>
        <v>0</v>
      </c>
      <c r="AY49" s="407">
        <f t="shared" ca="1" si="53"/>
        <v>0</v>
      </c>
      <c r="AZ49" s="407">
        <f t="shared" ca="1" si="53"/>
        <v>0</v>
      </c>
      <c r="BA49" s="407">
        <f t="shared" ca="1" si="53"/>
        <v>0</v>
      </c>
      <c r="BB49" s="407">
        <f t="shared" ca="1" si="53"/>
        <v>0</v>
      </c>
      <c r="BC49" s="407">
        <f t="shared" ca="1" si="53"/>
        <v>0</v>
      </c>
      <c r="BD49" s="407">
        <f t="shared" ca="1" si="53"/>
        <v>0</v>
      </c>
      <c r="BE49" s="407">
        <f t="shared" ca="1" si="53"/>
        <v>0</v>
      </c>
      <c r="BF49" s="407">
        <f t="shared" ca="1" si="53"/>
        <v>0</v>
      </c>
      <c r="BG49" s="407">
        <f t="shared" ca="1" si="53"/>
        <v>0</v>
      </c>
      <c r="BH49" s="407">
        <f t="shared" ca="1" si="53"/>
        <v>0</v>
      </c>
      <c r="BI49" s="407">
        <f t="shared" ca="1" si="53"/>
        <v>0</v>
      </c>
      <c r="BJ49" s="407">
        <f t="shared" ca="1" si="53"/>
        <v>0</v>
      </c>
      <c r="BK49" s="407">
        <f t="shared" ca="1" si="53"/>
        <v>0</v>
      </c>
      <c r="BL49" s="407">
        <f t="shared" ca="1" si="53"/>
        <v>0</v>
      </c>
      <c r="BM49" s="407">
        <f t="shared" ca="1" si="53"/>
        <v>0</v>
      </c>
      <c r="BN49" s="407">
        <f t="shared" ca="1" si="53"/>
        <v>0</v>
      </c>
      <c r="BO49" s="407">
        <f t="shared" ca="1" si="53"/>
        <v>0</v>
      </c>
      <c r="BP49" s="407">
        <f t="shared" ca="1" si="53"/>
        <v>0</v>
      </c>
      <c r="BQ49" s="407">
        <f t="shared" ca="1" si="53"/>
        <v>0</v>
      </c>
      <c r="BR49" s="407">
        <f t="shared" ca="1" si="53"/>
        <v>0</v>
      </c>
      <c r="BS49" s="407">
        <f t="shared" ca="1" si="53"/>
        <v>0</v>
      </c>
      <c r="BT49" s="407">
        <f t="shared" ca="1" si="53"/>
        <v>0</v>
      </c>
      <c r="BU49" s="407">
        <f t="shared" ca="1" si="53"/>
        <v>0</v>
      </c>
      <c r="BV49" s="407">
        <f t="shared" ca="1" si="53"/>
        <v>0</v>
      </c>
      <c r="BW49" s="407">
        <f t="shared" ca="1" si="53"/>
        <v>0</v>
      </c>
      <c r="BX49" s="407">
        <f t="shared" ref="BX49:DC49" ca="1" si="54">BX48*$E49</f>
        <v>0</v>
      </c>
      <c r="BY49" s="407">
        <f t="shared" ca="1" si="54"/>
        <v>0</v>
      </c>
      <c r="BZ49" s="407">
        <f t="shared" ca="1" si="54"/>
        <v>0</v>
      </c>
      <c r="CA49" s="407">
        <f t="shared" ca="1" si="54"/>
        <v>0</v>
      </c>
      <c r="CB49" s="407">
        <f t="shared" ca="1" si="54"/>
        <v>0</v>
      </c>
      <c r="CC49" s="407">
        <f t="shared" ca="1" si="54"/>
        <v>0</v>
      </c>
      <c r="CD49" s="407">
        <f t="shared" ca="1" si="54"/>
        <v>0</v>
      </c>
      <c r="CE49" s="407">
        <f t="shared" ca="1" si="54"/>
        <v>0</v>
      </c>
      <c r="CF49" s="407">
        <f t="shared" ca="1" si="54"/>
        <v>0</v>
      </c>
      <c r="CG49" s="407">
        <f t="shared" ca="1" si="54"/>
        <v>0</v>
      </c>
      <c r="CH49" s="407">
        <f t="shared" ca="1" si="54"/>
        <v>0</v>
      </c>
      <c r="CI49" s="407">
        <f t="shared" ca="1" si="54"/>
        <v>0</v>
      </c>
      <c r="CJ49" s="407">
        <f t="shared" ca="1" si="54"/>
        <v>0</v>
      </c>
      <c r="CK49" s="407">
        <f t="shared" ca="1" si="54"/>
        <v>0</v>
      </c>
      <c r="CL49" s="407">
        <f t="shared" ca="1" si="54"/>
        <v>0</v>
      </c>
      <c r="CM49" s="407">
        <f t="shared" ca="1" si="54"/>
        <v>0</v>
      </c>
      <c r="CN49" s="407">
        <f t="shared" ca="1" si="54"/>
        <v>0</v>
      </c>
      <c r="CO49" s="407">
        <f t="shared" ca="1" si="54"/>
        <v>0</v>
      </c>
      <c r="CP49" s="407">
        <f t="shared" ca="1" si="54"/>
        <v>0</v>
      </c>
      <c r="CQ49" s="407">
        <f t="shared" ca="1" si="54"/>
        <v>0</v>
      </c>
      <c r="CR49" s="407">
        <f t="shared" ca="1" si="54"/>
        <v>0</v>
      </c>
      <c r="CS49" s="407">
        <f t="shared" ca="1" si="54"/>
        <v>0</v>
      </c>
      <c r="CT49" s="407">
        <f t="shared" ca="1" si="54"/>
        <v>0</v>
      </c>
      <c r="CU49" s="407">
        <f t="shared" ca="1" si="54"/>
        <v>0</v>
      </c>
      <c r="CV49" s="407">
        <f t="shared" ca="1" si="54"/>
        <v>0</v>
      </c>
      <c r="CW49" s="407">
        <f t="shared" ca="1" si="54"/>
        <v>0</v>
      </c>
      <c r="CX49" s="407">
        <f t="shared" ca="1" si="54"/>
        <v>0</v>
      </c>
      <c r="CY49" s="407">
        <f t="shared" ca="1" si="54"/>
        <v>0</v>
      </c>
      <c r="CZ49" s="407">
        <f t="shared" ca="1" si="54"/>
        <v>0</v>
      </c>
      <c r="DA49" s="407">
        <f t="shared" ca="1" si="54"/>
        <v>0</v>
      </c>
      <c r="DB49" s="407">
        <f t="shared" ca="1" si="54"/>
        <v>0</v>
      </c>
      <c r="DC49" s="407">
        <f t="shared" ca="1" si="54"/>
        <v>0</v>
      </c>
      <c r="DD49" s="407">
        <f t="shared" ref="DD49:EA49" ca="1" si="55">DD48*$E49</f>
        <v>0</v>
      </c>
      <c r="DE49" s="407">
        <f t="shared" ca="1" si="55"/>
        <v>0</v>
      </c>
      <c r="DF49" s="407">
        <f t="shared" ca="1" si="55"/>
        <v>0</v>
      </c>
      <c r="DG49" s="407">
        <f t="shared" ca="1" si="55"/>
        <v>0</v>
      </c>
      <c r="DH49" s="407">
        <f t="shared" ca="1" si="55"/>
        <v>0</v>
      </c>
      <c r="DI49" s="407">
        <f t="shared" ca="1" si="55"/>
        <v>0</v>
      </c>
      <c r="DJ49" s="407">
        <f t="shared" ca="1" si="55"/>
        <v>0</v>
      </c>
      <c r="DK49" s="407">
        <f t="shared" ca="1" si="55"/>
        <v>0</v>
      </c>
      <c r="DL49" s="407">
        <f t="shared" ca="1" si="55"/>
        <v>0</v>
      </c>
      <c r="DM49" s="407">
        <f t="shared" ca="1" si="55"/>
        <v>0</v>
      </c>
      <c r="DN49" s="407">
        <f t="shared" ca="1" si="55"/>
        <v>0</v>
      </c>
      <c r="DO49" s="407">
        <f t="shared" ca="1" si="55"/>
        <v>0</v>
      </c>
      <c r="DP49" s="407">
        <f t="shared" ca="1" si="55"/>
        <v>0</v>
      </c>
      <c r="DQ49" s="407">
        <f t="shared" ca="1" si="55"/>
        <v>0</v>
      </c>
      <c r="DR49" s="407">
        <f t="shared" ca="1" si="55"/>
        <v>0</v>
      </c>
      <c r="DS49" s="407">
        <f t="shared" ca="1" si="55"/>
        <v>0</v>
      </c>
      <c r="DT49" s="407">
        <f t="shared" ca="1" si="55"/>
        <v>0</v>
      </c>
      <c r="DU49" s="407">
        <f t="shared" ca="1" si="55"/>
        <v>0</v>
      </c>
      <c r="DV49" s="407">
        <f t="shared" ca="1" si="55"/>
        <v>0</v>
      </c>
      <c r="DW49" s="407">
        <f t="shared" ca="1" si="55"/>
        <v>0</v>
      </c>
      <c r="DX49" s="407">
        <f t="shared" ca="1" si="55"/>
        <v>0</v>
      </c>
      <c r="DY49" s="407">
        <f t="shared" ca="1" si="55"/>
        <v>0</v>
      </c>
      <c r="DZ49" s="407">
        <f t="shared" ca="1" si="55"/>
        <v>0</v>
      </c>
      <c r="EA49" s="407">
        <f t="shared" ca="1" si="55"/>
        <v>0</v>
      </c>
      <c r="EB49" s="389"/>
      <c r="EC49" s="392" t="s">
        <v>65</v>
      </c>
    </row>
    <row r="50" spans="1:133" s="390" customFormat="1" hidden="1" outlineLevel="1">
      <c r="A50" s="389"/>
      <c r="C50" s="389"/>
      <c r="D50" s="403"/>
      <c r="E50" s="704"/>
      <c r="F50" s="389"/>
      <c r="G50" s="749"/>
      <c r="H50" s="389"/>
      <c r="I50" s="794"/>
      <c r="J50" s="389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7"/>
      <c r="AD50" s="407"/>
      <c r="AE50" s="407"/>
      <c r="AF50" s="407"/>
      <c r="AG50" s="407"/>
      <c r="AH50" s="407"/>
      <c r="AI50" s="407"/>
      <c r="AJ50" s="407"/>
      <c r="AK50" s="407"/>
      <c r="AL50" s="407"/>
      <c r="AM50" s="407"/>
      <c r="AN50" s="407"/>
      <c r="AO50" s="407"/>
      <c r="AP50" s="407"/>
      <c r="AQ50" s="407"/>
      <c r="AR50" s="407"/>
      <c r="AS50" s="407"/>
      <c r="AT50" s="407"/>
      <c r="AU50" s="407"/>
      <c r="AV50" s="407"/>
      <c r="AW50" s="407"/>
      <c r="AX50" s="407"/>
      <c r="AY50" s="407"/>
      <c r="AZ50" s="407"/>
      <c r="BA50" s="407"/>
      <c r="BB50" s="407"/>
      <c r="BC50" s="407"/>
      <c r="BD50" s="407"/>
      <c r="BE50" s="407"/>
      <c r="BF50" s="407"/>
      <c r="BG50" s="407"/>
      <c r="BH50" s="407"/>
      <c r="BI50" s="407"/>
      <c r="BJ50" s="407"/>
      <c r="BK50" s="407"/>
      <c r="BL50" s="407"/>
      <c r="BM50" s="407"/>
      <c r="BN50" s="407"/>
      <c r="BO50" s="407"/>
      <c r="BP50" s="407"/>
      <c r="BQ50" s="407"/>
      <c r="BR50" s="407"/>
      <c r="BS50" s="407"/>
      <c r="BT50" s="407"/>
      <c r="BU50" s="407"/>
      <c r="BV50" s="407"/>
      <c r="BW50" s="407"/>
      <c r="BX50" s="407"/>
      <c r="BY50" s="407"/>
      <c r="BZ50" s="407"/>
      <c r="CA50" s="407"/>
      <c r="CB50" s="407"/>
      <c r="CC50" s="407"/>
      <c r="CD50" s="407"/>
      <c r="CE50" s="407"/>
      <c r="CF50" s="407"/>
      <c r="CG50" s="407"/>
      <c r="CH50" s="407"/>
      <c r="CI50" s="407"/>
      <c r="CJ50" s="407"/>
      <c r="CK50" s="407"/>
      <c r="CL50" s="407"/>
      <c r="CM50" s="407"/>
      <c r="CN50" s="407"/>
      <c r="CO50" s="407"/>
      <c r="CP50" s="407"/>
      <c r="CQ50" s="407"/>
      <c r="CR50" s="407"/>
      <c r="CS50" s="407"/>
      <c r="CT50" s="407"/>
      <c r="CU50" s="407"/>
      <c r="CV50" s="407"/>
      <c r="CW50" s="407"/>
      <c r="CX50" s="407"/>
      <c r="CY50" s="407"/>
      <c r="CZ50" s="407"/>
      <c r="DA50" s="407"/>
      <c r="DB50" s="407"/>
      <c r="DC50" s="407"/>
      <c r="DD50" s="407"/>
      <c r="DE50" s="407"/>
      <c r="DF50" s="407"/>
      <c r="DG50" s="407"/>
      <c r="DH50" s="407"/>
      <c r="DI50" s="407"/>
      <c r="DJ50" s="407"/>
      <c r="DK50" s="407"/>
      <c r="DL50" s="407"/>
      <c r="DM50" s="407"/>
      <c r="DN50" s="407"/>
      <c r="DO50" s="407"/>
      <c r="DP50" s="407"/>
      <c r="DQ50" s="407"/>
      <c r="DR50" s="407"/>
      <c r="DS50" s="407"/>
      <c r="DT50" s="407"/>
      <c r="DU50" s="407"/>
      <c r="DV50" s="407"/>
      <c r="DW50" s="407"/>
      <c r="DX50" s="407"/>
      <c r="DY50" s="407"/>
      <c r="DZ50" s="407"/>
      <c r="EA50" s="407"/>
      <c r="EB50" s="389"/>
      <c r="EC50" s="392" t="s">
        <v>65</v>
      </c>
    </row>
    <row r="51" spans="1:133" s="390" customFormat="1" hidden="1" outlineLevel="1">
      <c r="A51" s="389"/>
      <c r="B51" s="389"/>
      <c r="C51" s="389"/>
      <c r="D51" s="403" t="str">
        <f>CONCATENATE("Revenue - ",Assumptions!$I$54)</f>
        <v>Revenue - Commercial</v>
      </c>
      <c r="E51" s="406">
        <f>Assumptions!I55</f>
        <v>2.75</v>
      </c>
      <c r="F51" s="701"/>
      <c r="G51" s="702"/>
      <c r="H51" s="701"/>
      <c r="I51" s="795">
        <f ca="1">SUM(K51:EA51)</f>
        <v>0</v>
      </c>
      <c r="J51" s="701"/>
      <c r="K51" s="703"/>
      <c r="L51" s="703">
        <f ca="1">IF(AND(L9&gt;=1,L$9&lt;=Assumptions!$M$57),(1+L17)*L48*$E$49*$E$51,0)</f>
        <v>0</v>
      </c>
      <c r="M51" s="703">
        <f ca="1">IF(AND(M9&gt;=1,M$9&lt;=Assumptions!$M$57),(1+M17)*M48*$E$49*$E$51,0)</f>
        <v>0</v>
      </c>
      <c r="N51" s="703">
        <f ca="1">IF(AND(N9&gt;=1,N$9&lt;=Assumptions!$M$57),(1+N17)*N48*$E$49*$E$51,0)</f>
        <v>0</v>
      </c>
      <c r="O51" s="703">
        <f ca="1">IF(AND(O9&gt;=1,O$9&lt;=Assumptions!$M$57),(1+O17)*O48*$E$49*$E$51,0)</f>
        <v>0</v>
      </c>
      <c r="P51" s="703">
        <f ca="1">IF(AND(P9&gt;=1,P$9&lt;=Assumptions!$M$57),(1+P17)*P48*$E$49*$E$51,0)</f>
        <v>0</v>
      </c>
      <c r="Q51" s="703">
        <f ca="1">IF(AND(Q9&gt;=1,Q$9&lt;=Assumptions!$M$57),(1+Q17)*Q48*$E$49*$E$51,0)</f>
        <v>0</v>
      </c>
      <c r="R51" s="703">
        <f ca="1">IF(AND(R9&gt;=1,R$9&lt;=Assumptions!$M$57),(1+R17)*R48*$E$49*$E$51,0)</f>
        <v>0</v>
      </c>
      <c r="S51" s="703">
        <f ca="1">IF(AND(S9&gt;=1,S$9&lt;=Assumptions!$M$57),(1+S17)*S48*$E$49*$E$51,0)</f>
        <v>0</v>
      </c>
      <c r="T51" s="703">
        <f ca="1">IF(AND(T9&gt;=1,T$9&lt;=Assumptions!$M$57),(1+T17)*T48*$E$49*$E$51,0)</f>
        <v>0</v>
      </c>
      <c r="U51" s="703">
        <f ca="1">IF(AND(U9&gt;=1,U$9&lt;=Assumptions!$M$57),(1+U17)*U48*$E$49*$E$51,0)</f>
        <v>0</v>
      </c>
      <c r="V51" s="703">
        <f ca="1">IF(AND(V9&gt;=1,V$9&lt;=Assumptions!$M$57),(1+V17)*V48*$E$49*$E$51,0)</f>
        <v>0</v>
      </c>
      <c r="W51" s="703">
        <f ca="1">IF(AND(W9&gt;=1,W$9&lt;=Assumptions!$M$57),(1+W17)*W48*$E$49*$E$51,0)</f>
        <v>0</v>
      </c>
      <c r="X51" s="703">
        <f ca="1">IF(AND(X9&gt;=1,X$9&lt;=Assumptions!$M$57),(1+X17)*X48*$E$49*$E$51,0)</f>
        <v>0</v>
      </c>
      <c r="Y51" s="703">
        <f ca="1">IF(AND(Y9&gt;=1,Y$9&lt;=Assumptions!$M$57),(1+Y17)*Y48*$E$49*$E$51,0)</f>
        <v>0</v>
      </c>
      <c r="Z51" s="703">
        <f ca="1">IF(AND(Z9&gt;=1,Z$9&lt;=Assumptions!$M$57),(1+Z17)*Z48*$E$49*$E$51,0)</f>
        <v>0</v>
      </c>
      <c r="AA51" s="703">
        <f ca="1">IF(AND(AA9&gt;=1,AA$9&lt;=Assumptions!$M$57),(1+AA17)*AA48*$E$49*$E$51,0)</f>
        <v>0</v>
      </c>
      <c r="AB51" s="703">
        <f ca="1">IF(AND(AB9&gt;=1,AB$9&lt;=Assumptions!$M$57),(1+AB17)*AB48*$E$49*$E$51,0)</f>
        <v>0</v>
      </c>
      <c r="AC51" s="703">
        <f ca="1">IF(AND(AC9&gt;=1,AC$9&lt;=Assumptions!$M$57),(1+AC17)*AC48*$E$49*$E$51,0)</f>
        <v>0</v>
      </c>
      <c r="AD51" s="703">
        <f ca="1">IF(AND(AD9&gt;=1,AD$9&lt;=Assumptions!$M$57),(1+AD17)*AD48*$E$49*$E$51,0)</f>
        <v>0</v>
      </c>
      <c r="AE51" s="703">
        <f ca="1">IF(AND(AE9&gt;=1,AE$9&lt;=Assumptions!$M$57),(1+AE17)*AE48*$E$49*$E$51,0)</f>
        <v>0</v>
      </c>
      <c r="AF51" s="703">
        <f ca="1">IF(AND(AF9&gt;=1,AF$9&lt;=Assumptions!$M$57),(1+AF17)*AF48*$E$49*$E$51,0)</f>
        <v>0</v>
      </c>
      <c r="AG51" s="703">
        <f ca="1">IF(AND(AG9&gt;=1,AG$9&lt;=Assumptions!$M$57),(1+AG17)*AG48*$E$49*$E$51,0)</f>
        <v>0</v>
      </c>
      <c r="AH51" s="703">
        <f ca="1">IF(AND(AH9&gt;=1,AH$9&lt;=Assumptions!$M$57),(1+AH17)*AH48*$E$49*$E$51,0)</f>
        <v>0</v>
      </c>
      <c r="AI51" s="703">
        <f ca="1">IF(AND(AI9&gt;=1,AI$9&lt;=Assumptions!$M$57),(1+AI17)*AI48*$E$49*$E$51,0)</f>
        <v>0</v>
      </c>
      <c r="AJ51" s="703">
        <f ca="1">IF(AND(AJ9&gt;=1,AJ$9&lt;=Assumptions!$M$57),(1+AJ17)*AJ48*$E$49*$E$51,0)</f>
        <v>0</v>
      </c>
      <c r="AK51" s="703">
        <f ca="1">IF(AND(AK9&gt;=1,AK$9&lt;=Assumptions!$M$57),(1+AK17)*AK48*$E$49*$E$51,0)</f>
        <v>0</v>
      </c>
      <c r="AL51" s="703">
        <f ca="1">IF(AND(AL9&gt;=1,AL$9&lt;=Assumptions!$M$57),(1+AL17)*AL48*$E$49*$E$51,0)</f>
        <v>0</v>
      </c>
      <c r="AM51" s="703">
        <f ca="1">IF(AND(AM9&gt;=1,AM$9&lt;=Assumptions!$M$57),(1+AM17)*AM48*$E$49*$E$51,0)</f>
        <v>0</v>
      </c>
      <c r="AN51" s="703">
        <f ca="1">IF(AND(AN9&gt;=1,AN$9&lt;=Assumptions!$M$57),(1+AN17)*AN48*$E$49*$E$51,0)</f>
        <v>0</v>
      </c>
      <c r="AO51" s="703">
        <f ca="1">IF(AND(AO9&gt;=1,AO$9&lt;=Assumptions!$M$57),(1+AO17)*AO48*$E$49*$E$51,0)</f>
        <v>0</v>
      </c>
      <c r="AP51" s="703">
        <f ca="1">IF(AND(AP9&gt;=1,AP$9&lt;=Assumptions!$M$57),(1+AP17)*AP48*$E$49*$E$51,0)</f>
        <v>0</v>
      </c>
      <c r="AQ51" s="703">
        <f ca="1">IF(AND(AQ9&gt;=1,AQ$9&lt;=Assumptions!$M$57),(1+AQ17)*AQ48*$E$49*$E$51,0)</f>
        <v>0</v>
      </c>
      <c r="AR51" s="703">
        <f ca="1">IF(AND(AR9&gt;=1,AR$9&lt;=Assumptions!$M$57),(1+AR17)*AR48*$E$49*$E$51,0)</f>
        <v>0</v>
      </c>
      <c r="AS51" s="703">
        <f ca="1">IF(AND(AS9&gt;=1,AS$9&lt;=Assumptions!$M$57),(1+AS17)*AS48*$E$49*$E$51,0)</f>
        <v>0</v>
      </c>
      <c r="AT51" s="703">
        <f ca="1">IF(AND(AT9&gt;=1,AT$9&lt;=Assumptions!$M$57),(1+AT17)*AT48*$E$49*$E$51,0)</f>
        <v>0</v>
      </c>
      <c r="AU51" s="703">
        <f ca="1">IF(AND(AU9&gt;=1,AU$9&lt;=Assumptions!$M$57),(1+AU17)*AU48*$E$49*$E$51,0)</f>
        <v>0</v>
      </c>
      <c r="AV51" s="703">
        <f ca="1">IF(AND(AV9&gt;=1,AV$9&lt;=Assumptions!$M$57),(1+AV17)*AV48*$E$49*$E$51,0)</f>
        <v>0</v>
      </c>
      <c r="AW51" s="703">
        <f ca="1">IF(AND(AW9&gt;=1,AW$9&lt;=Assumptions!$M$57),(1+AW17)*AW48*$E$49*$E$51,0)</f>
        <v>0</v>
      </c>
      <c r="AX51" s="703">
        <f ca="1">IF(AND(AX9&gt;=1,AX$9&lt;=Assumptions!$M$57),(1+AX17)*AX48*$E$49*$E$51,0)</f>
        <v>0</v>
      </c>
      <c r="AY51" s="703">
        <f ca="1">IF(AND(AY9&gt;=1,AY$9&lt;=Assumptions!$M$57),(1+AY17)*AY48*$E$49*$E$51,0)</f>
        <v>0</v>
      </c>
      <c r="AZ51" s="703">
        <f ca="1">IF(AND(AZ9&gt;=1,AZ$9&lt;=Assumptions!$M$57),(1+AZ17)*AZ48*$E$49*$E$51,0)</f>
        <v>0</v>
      </c>
      <c r="BA51" s="703">
        <f ca="1">IF(AND(BA9&gt;=1,BA$9&lt;=Assumptions!$M$57),(1+BA17)*BA48*$E$49*$E$51,0)</f>
        <v>0</v>
      </c>
      <c r="BB51" s="703">
        <f ca="1">IF(AND(BB9&gt;=1,BB$9&lt;=Assumptions!$M$57),(1+BB17)*BB48*$E$49*$E$51,0)</f>
        <v>0</v>
      </c>
      <c r="BC51" s="703">
        <f ca="1">IF(AND(BC9&gt;=1,BC$9&lt;=Assumptions!$M$57),(1+BC17)*BC48*$E$49*$E$51,0)</f>
        <v>0</v>
      </c>
      <c r="BD51" s="703">
        <f ca="1">IF(AND(BD9&gt;=1,BD$9&lt;=Assumptions!$M$57),(1+BD17)*BD48*$E$49*$E$51,0)</f>
        <v>0</v>
      </c>
      <c r="BE51" s="703">
        <f ca="1">IF(AND(BE9&gt;=1,BE$9&lt;=Assumptions!$M$57),(1+BE17)*BE48*$E$49*$E$51,0)</f>
        <v>0</v>
      </c>
      <c r="BF51" s="703">
        <f ca="1">IF(AND(BF9&gt;=1,BF$9&lt;=Assumptions!$M$57),(1+BF17)*BF48*$E$49*$E$51,0)</f>
        <v>0</v>
      </c>
      <c r="BG51" s="703">
        <f ca="1">IF(AND(BG9&gt;=1,BG$9&lt;=Assumptions!$M$57),(1+BG17)*BG48*$E$49*$E$51,0)</f>
        <v>0</v>
      </c>
      <c r="BH51" s="703">
        <f ca="1">IF(AND(BH9&gt;=1,BH$9&lt;=Assumptions!$M$57),(1+BH17)*BH48*$E$49*$E$51,0)</f>
        <v>0</v>
      </c>
      <c r="BI51" s="703">
        <f ca="1">IF(AND(BI9&gt;=1,BI$9&lt;=Assumptions!$M$57),(1+BI17)*BI48*$E$49*$E$51,0)</f>
        <v>0</v>
      </c>
      <c r="BJ51" s="703">
        <f ca="1">IF(AND(BJ9&gt;=1,BJ$9&lt;=Assumptions!$M$57),(1+BJ17)*BJ48*$E$49*$E$51,0)</f>
        <v>0</v>
      </c>
      <c r="BK51" s="703">
        <f ca="1">IF(AND(BK9&gt;=1,BK$9&lt;=Assumptions!$M$57),(1+BK17)*BK48*$E$49*$E$51,0)</f>
        <v>0</v>
      </c>
      <c r="BL51" s="703">
        <f ca="1">IF(AND(BL9&gt;=1,BL$9&lt;=Assumptions!$M$57),(1+BL17)*BL48*$E$49*$E$51,0)</f>
        <v>0</v>
      </c>
      <c r="BM51" s="703">
        <f ca="1">IF(AND(BM9&gt;=1,BM$9&lt;=Assumptions!$M$57),(1+BM17)*BM48*$E$49*$E$51,0)</f>
        <v>0</v>
      </c>
      <c r="BN51" s="703">
        <f ca="1">IF(AND(BN9&gt;=1,BN$9&lt;=Assumptions!$M$57),(1+BN17)*BN48*$E$49*$E$51,0)</f>
        <v>0</v>
      </c>
      <c r="BO51" s="703">
        <f ca="1">IF(AND(BO9&gt;=1,BO$9&lt;=Assumptions!$M$57),(1+BO17)*BO48*$E$49*$E$51,0)</f>
        <v>0</v>
      </c>
      <c r="BP51" s="703">
        <f ca="1">IF(AND(BP9&gt;=1,BP$9&lt;=Assumptions!$M$57),(1+BP17)*BP48*$E$49*$E$51,0)</f>
        <v>0</v>
      </c>
      <c r="BQ51" s="703">
        <f ca="1">IF(AND(BQ9&gt;=1,BQ$9&lt;=Assumptions!$M$57),(1+BQ17)*BQ48*$E$49*$E$51,0)</f>
        <v>0</v>
      </c>
      <c r="BR51" s="703">
        <f ca="1">IF(AND(BR9&gt;=1,BR$9&lt;=Assumptions!$M$57),(1+BR17)*BR48*$E$49*$E$51,0)</f>
        <v>0</v>
      </c>
      <c r="BS51" s="703">
        <f ca="1">IF(AND(BS9&gt;=1,BS$9&lt;=Assumptions!$M$57),(1+BS17)*BS48*$E$49*$E$51,0)</f>
        <v>0</v>
      </c>
      <c r="BT51" s="703">
        <f ca="1">IF(AND(BT9&gt;=1,BT$9&lt;=Assumptions!$M$57),(1+BT17)*BT48*$E$49*$E$51,0)</f>
        <v>0</v>
      </c>
      <c r="BU51" s="703">
        <f ca="1">IF(AND(BU9&gt;=1,BU$9&lt;=Assumptions!$M$57),(1+BU17)*BU48*$E$49*$E$51,0)</f>
        <v>0</v>
      </c>
      <c r="BV51" s="703">
        <f ca="1">IF(AND(BV9&gt;=1,BV$9&lt;=Assumptions!$M$57),(1+BV17)*BV48*$E$49*$E$51,0)</f>
        <v>0</v>
      </c>
      <c r="BW51" s="703">
        <f ca="1">IF(AND(BW9&gt;=1,BW$9&lt;=Assumptions!$M$57),(1+BW17)*BW48*$E$49*$E$51,0)</f>
        <v>0</v>
      </c>
      <c r="BX51" s="703">
        <f ca="1">IF(AND(BX9&gt;=1,BX$9&lt;=Assumptions!$M$57),(1+BX17)*BX48*$E$49*$E$51,0)</f>
        <v>0</v>
      </c>
      <c r="BY51" s="703">
        <f ca="1">IF(AND(BY9&gt;=1,BY$9&lt;=Assumptions!$M$57),(1+BY17)*BY48*$E$49*$E$51,0)</f>
        <v>0</v>
      </c>
      <c r="BZ51" s="703">
        <f ca="1">IF(AND(BZ9&gt;=1,BZ$9&lt;=Assumptions!$M$57),(1+BZ17)*BZ48*$E$49*$E$51,0)</f>
        <v>0</v>
      </c>
      <c r="CA51" s="703">
        <f ca="1">IF(AND(CA9&gt;=1,CA$9&lt;=Assumptions!$M$57),(1+CA17)*CA48*$E$49*$E$51,0)</f>
        <v>0</v>
      </c>
      <c r="CB51" s="703">
        <f ca="1">IF(AND(CB9&gt;=1,CB$9&lt;=Assumptions!$M$57),(1+CB17)*CB48*$E$49*$E$51,0)</f>
        <v>0</v>
      </c>
      <c r="CC51" s="703">
        <f ca="1">IF(AND(CC9&gt;=1,CC$9&lt;=Assumptions!$M$57),(1+CC17)*CC48*$E$49*$E$51,0)</f>
        <v>0</v>
      </c>
      <c r="CD51" s="703">
        <f ca="1">IF(AND(CD9&gt;=1,CD$9&lt;=Assumptions!$M$57),(1+CD17)*CD48*$E$49*$E$51,0)</f>
        <v>0</v>
      </c>
      <c r="CE51" s="703">
        <f ca="1">IF(AND(CE9&gt;=1,CE$9&lt;=Assumptions!$M$57),(1+CE17)*CE48*$E$49*$E$51,0)</f>
        <v>0</v>
      </c>
      <c r="CF51" s="703">
        <f ca="1">IF(AND(CF9&gt;=1,CF$9&lt;=Assumptions!$M$57),(1+CF17)*CF48*$E$49*$E$51,0)</f>
        <v>0</v>
      </c>
      <c r="CG51" s="703">
        <f ca="1">IF(AND(CG9&gt;=1,CG$9&lt;=Assumptions!$M$57),(1+CG17)*CG48*$E$49*$E$51,0)</f>
        <v>0</v>
      </c>
      <c r="CH51" s="703">
        <f ca="1">IF(AND(CH9&gt;=1,CH$9&lt;=Assumptions!$M$57),(1+CH17)*CH48*$E$49*$E$51,0)</f>
        <v>0</v>
      </c>
      <c r="CI51" s="703">
        <f ca="1">IF(AND(CI9&gt;=1,CI$9&lt;=Assumptions!$M$57),(1+CI17)*CI48*$E$49*$E$51,0)</f>
        <v>0</v>
      </c>
      <c r="CJ51" s="703">
        <f ca="1">IF(AND(CJ9&gt;=1,CJ$9&lt;=Assumptions!$M$57),(1+CJ17)*CJ48*$E$49*$E$51,0)</f>
        <v>0</v>
      </c>
      <c r="CK51" s="703">
        <f ca="1">IF(AND(CK9&gt;=1,CK$9&lt;=Assumptions!$M$57),(1+CK17)*CK48*$E$49*$E$51,0)</f>
        <v>0</v>
      </c>
      <c r="CL51" s="703">
        <f ca="1">IF(AND(CL9&gt;=1,CL$9&lt;=Assumptions!$M$57),(1+CL17)*CL48*$E$49*$E$51,0)</f>
        <v>0</v>
      </c>
      <c r="CM51" s="703">
        <f ca="1">IF(AND(CM9&gt;=1,CM$9&lt;=Assumptions!$M$57),(1+CM17)*CM48*$E$49*$E$51,0)</f>
        <v>0</v>
      </c>
      <c r="CN51" s="703">
        <f ca="1">IF(AND(CN9&gt;=1,CN$9&lt;=Assumptions!$M$57),(1+CN17)*CN48*$E$49*$E$51,0)</f>
        <v>0</v>
      </c>
      <c r="CO51" s="703">
        <f ca="1">IF(AND(CO9&gt;=1,CO$9&lt;=Assumptions!$M$57),(1+CO17)*CO48*$E$49*$E$51,0)</f>
        <v>0</v>
      </c>
      <c r="CP51" s="703">
        <f ca="1">IF(AND(CP9&gt;=1,CP$9&lt;=Assumptions!$M$57),(1+CP17)*CP48*$E$49*$E$51,0)</f>
        <v>0</v>
      </c>
      <c r="CQ51" s="703">
        <f ca="1">IF(AND(CQ9&gt;=1,CQ$9&lt;=Assumptions!$M$57),(1+CQ17)*CQ48*$E$49*$E$51,0)</f>
        <v>0</v>
      </c>
      <c r="CR51" s="703">
        <f ca="1">IF(AND(CR9&gt;=1,CR$9&lt;=Assumptions!$M$57),(1+CR17)*CR48*$E$49*$E$51,0)</f>
        <v>0</v>
      </c>
      <c r="CS51" s="703">
        <f ca="1">IF(AND(CS9&gt;=1,CS$9&lt;=Assumptions!$M$57),(1+CS17)*CS48*$E$49*$E$51,0)</f>
        <v>0</v>
      </c>
      <c r="CT51" s="703">
        <f ca="1">IF(AND(CT9&gt;=1,CT$9&lt;=Assumptions!$M$57),(1+CT17)*CT48*$E$49*$E$51,0)</f>
        <v>0</v>
      </c>
      <c r="CU51" s="703">
        <f ca="1">IF(AND(CU9&gt;=1,CU$9&lt;=Assumptions!$M$57),(1+CU17)*CU48*$E$49*$E$51,0)</f>
        <v>0</v>
      </c>
      <c r="CV51" s="703">
        <f ca="1">IF(AND(CV9&gt;=1,CV$9&lt;=Assumptions!$M$57),(1+CV17)*CV48*$E$49*$E$51,0)</f>
        <v>0</v>
      </c>
      <c r="CW51" s="703">
        <f ca="1">IF(AND(CW9&gt;=1,CW$9&lt;=Assumptions!$M$57),(1+CW17)*CW48*$E$49*$E$51,0)</f>
        <v>0</v>
      </c>
      <c r="CX51" s="703">
        <f ca="1">IF(AND(CX9&gt;=1,CX$9&lt;=Assumptions!$M$57),(1+CX17)*CX48*$E$49*$E$51,0)</f>
        <v>0</v>
      </c>
      <c r="CY51" s="703">
        <f ca="1">IF(AND(CY9&gt;=1,CY$9&lt;=Assumptions!$M$57),(1+CY17)*CY48*$E$49*$E$51,0)</f>
        <v>0</v>
      </c>
      <c r="CZ51" s="703">
        <f ca="1">IF(AND(CZ9&gt;=1,CZ$9&lt;=Assumptions!$M$57),(1+CZ17)*CZ48*$E$49*$E$51,0)</f>
        <v>0</v>
      </c>
      <c r="DA51" s="703">
        <f ca="1">IF(AND(DA9&gt;=1,DA$9&lt;=Assumptions!$M$57),(1+DA17)*DA48*$E$49*$E$51,0)</f>
        <v>0</v>
      </c>
      <c r="DB51" s="703">
        <f ca="1">IF(AND(DB9&gt;=1,DB$9&lt;=Assumptions!$M$57),(1+DB17)*DB48*$E$49*$E$51,0)</f>
        <v>0</v>
      </c>
      <c r="DC51" s="703">
        <f ca="1">IF(AND(DC9&gt;=1,DC$9&lt;=Assumptions!$M$57),(1+DC17)*DC48*$E$49*$E$51,0)</f>
        <v>0</v>
      </c>
      <c r="DD51" s="703">
        <f ca="1">IF(AND(DD9&gt;=1,DD$9&lt;=Assumptions!$M$57),(1+DD17)*DD48*$E$49*$E$51,0)</f>
        <v>0</v>
      </c>
      <c r="DE51" s="703">
        <f ca="1">IF(AND(DE9&gt;=1,DE$9&lt;=Assumptions!$M$57),(1+DE17)*DE48*$E$49*$E$51,0)</f>
        <v>0</v>
      </c>
      <c r="DF51" s="703">
        <f ca="1">IF(AND(DF9&gt;=1,DF$9&lt;=Assumptions!$M$57),(1+DF17)*DF48*$E$49*$E$51,0)</f>
        <v>0</v>
      </c>
      <c r="DG51" s="703">
        <f ca="1">IF(AND(DG9&gt;=1,DG$9&lt;=Assumptions!$M$57),(1+DG17)*DG48*$E$49*$E$51,0)</f>
        <v>0</v>
      </c>
      <c r="DH51" s="703">
        <f ca="1">IF(AND(DH9&gt;=1,DH$9&lt;=Assumptions!$M$57),(1+DH17)*DH48*$E$49*$E$51,0)</f>
        <v>0</v>
      </c>
      <c r="DI51" s="703">
        <f ca="1">IF(AND(DI9&gt;=1,DI$9&lt;=Assumptions!$M$57),(1+DI17)*DI48*$E$49*$E$51,0)</f>
        <v>0</v>
      </c>
      <c r="DJ51" s="703">
        <f ca="1">IF(AND(DJ9&gt;=1,DJ$9&lt;=Assumptions!$M$57),(1+DJ17)*DJ48*$E$49*$E$51,0)</f>
        <v>0</v>
      </c>
      <c r="DK51" s="703">
        <f ca="1">IF(AND(DK9&gt;=1,DK$9&lt;=Assumptions!$M$57),(1+DK17)*DK48*$E$49*$E$51,0)</f>
        <v>0</v>
      </c>
      <c r="DL51" s="703">
        <f ca="1">IF(AND(DL9&gt;=1,DL$9&lt;=Assumptions!$M$57),(1+DL17)*DL48*$E$49*$E$51,0)</f>
        <v>0</v>
      </c>
      <c r="DM51" s="703">
        <f ca="1">IF(AND(DM9&gt;=1,DM$9&lt;=Assumptions!$M$57),(1+DM17)*DM48*$E$49*$E$51,0)</f>
        <v>0</v>
      </c>
      <c r="DN51" s="703">
        <f ca="1">IF(AND(DN9&gt;=1,DN$9&lt;=Assumptions!$M$57),(1+DN17)*DN48*$E$49*$E$51,0)</f>
        <v>0</v>
      </c>
      <c r="DO51" s="703">
        <f ca="1">IF(AND(DO9&gt;=1,DO$9&lt;=Assumptions!$M$57),(1+DO17)*DO48*$E$49*$E$51,0)</f>
        <v>0</v>
      </c>
      <c r="DP51" s="703">
        <f ca="1">IF(AND(DP9&gt;=1,DP$9&lt;=Assumptions!$M$57),(1+DP17)*DP48*$E$49*$E$51,0)</f>
        <v>0</v>
      </c>
      <c r="DQ51" s="703">
        <f ca="1">IF(AND(DQ9&gt;=1,DQ$9&lt;=Assumptions!$M$57),(1+DQ17)*DQ48*$E$49*$E$51,0)</f>
        <v>0</v>
      </c>
      <c r="DR51" s="703">
        <f ca="1">IF(AND(DR9&gt;=1,DR$9&lt;=Assumptions!$M$57),(1+DR17)*DR48*$E$49*$E$51,0)</f>
        <v>0</v>
      </c>
      <c r="DS51" s="703">
        <f ca="1">IF(AND(DS9&gt;=1,DS$9&lt;=Assumptions!$M$57),(1+DS17)*DS48*$E$49*$E$51,0)</f>
        <v>0</v>
      </c>
      <c r="DT51" s="703">
        <f ca="1">IF(AND(DT9&gt;=1,DT$9&lt;=Assumptions!$M$57),(1+DT17)*DT48*$E$49*$E$51,0)</f>
        <v>0</v>
      </c>
      <c r="DU51" s="703">
        <f ca="1">IF(AND(DU9&gt;=1,DU$9&lt;=Assumptions!$M$57),(1+DU17)*DU48*$E$49*$E$51,0)</f>
        <v>0</v>
      </c>
      <c r="DV51" s="703">
        <f ca="1">IF(AND(DV9&gt;=1,DV$9&lt;=Assumptions!$M$57),(1+DV17)*DV48*$E$49*$E$51,0)</f>
        <v>0</v>
      </c>
      <c r="DW51" s="703">
        <f ca="1">IF(AND(DW9&gt;=1,DW$9&lt;=Assumptions!$M$57),(1+DW17)*DW48*$E$49*$E$51,0)</f>
        <v>0</v>
      </c>
      <c r="DX51" s="703">
        <f ca="1">IF(AND(DX9&gt;=1,DX$9&lt;=Assumptions!$M$57),(1+DX17)*DX48*$E$49*$E$51,0)</f>
        <v>0</v>
      </c>
      <c r="DY51" s="703">
        <f ca="1">IF(AND(DY9&gt;=1,DY$9&lt;=Assumptions!$M$57),(1+DY17)*DY48*$E$49*$E$51,0)</f>
        <v>0</v>
      </c>
      <c r="DZ51" s="703">
        <f ca="1">IF(AND(DZ9&gt;=1,DZ$9&lt;=Assumptions!$M$57),(1+DZ17)*DZ48*$E$49*$E$51,0)</f>
        <v>0</v>
      </c>
      <c r="EA51" s="703">
        <f ca="1">IF(AND(EA9&gt;=1,EA$9&lt;=Assumptions!$M$57),(1+EA17)*EA48*$E$49*$E$51,0)</f>
        <v>0</v>
      </c>
      <c r="EB51" s="389"/>
      <c r="EC51" s="392" t="s">
        <v>65</v>
      </c>
    </row>
    <row r="52" spans="1:133" s="390" customFormat="1" hidden="1" outlineLevel="1">
      <c r="A52" s="389"/>
      <c r="B52" s="389"/>
      <c r="C52" s="389"/>
      <c r="D52" s="403" t="s">
        <v>195</v>
      </c>
      <c r="F52" s="701"/>
      <c r="G52" s="389"/>
      <c r="H52" s="701"/>
      <c r="I52" s="795">
        <f ca="1">SUM(K52:EA52)</f>
        <v>0</v>
      </c>
      <c r="J52" s="701"/>
      <c r="K52" s="703"/>
      <c r="L52" s="703">
        <f ca="1">-L55</f>
        <v>0</v>
      </c>
      <c r="M52" s="703">
        <f ca="1">-M55</f>
        <v>0</v>
      </c>
      <c r="N52" s="703">
        <f ca="1">-N55</f>
        <v>0</v>
      </c>
      <c r="O52" s="703">
        <f t="shared" ref="O52:BZ52" ca="1" si="56">-O55</f>
        <v>0</v>
      </c>
      <c r="P52" s="703">
        <f t="shared" ca="1" si="56"/>
        <v>0</v>
      </c>
      <c r="Q52" s="703">
        <f t="shared" ca="1" si="56"/>
        <v>0</v>
      </c>
      <c r="R52" s="703">
        <f t="shared" ca="1" si="56"/>
        <v>0</v>
      </c>
      <c r="S52" s="703">
        <f t="shared" ca="1" si="56"/>
        <v>0</v>
      </c>
      <c r="T52" s="703">
        <f t="shared" ca="1" si="56"/>
        <v>0</v>
      </c>
      <c r="U52" s="703">
        <f t="shared" ca="1" si="56"/>
        <v>0</v>
      </c>
      <c r="V52" s="703">
        <f t="shared" ca="1" si="56"/>
        <v>0</v>
      </c>
      <c r="W52" s="703">
        <f t="shared" ca="1" si="56"/>
        <v>0</v>
      </c>
      <c r="X52" s="703">
        <f t="shared" ca="1" si="56"/>
        <v>0</v>
      </c>
      <c r="Y52" s="703">
        <f t="shared" ca="1" si="56"/>
        <v>0</v>
      </c>
      <c r="Z52" s="703">
        <f t="shared" ca="1" si="56"/>
        <v>0</v>
      </c>
      <c r="AA52" s="703">
        <f t="shared" ca="1" si="56"/>
        <v>0</v>
      </c>
      <c r="AB52" s="703">
        <f t="shared" ca="1" si="56"/>
        <v>0</v>
      </c>
      <c r="AC52" s="703">
        <f t="shared" ca="1" si="56"/>
        <v>0</v>
      </c>
      <c r="AD52" s="703">
        <f t="shared" ca="1" si="56"/>
        <v>0</v>
      </c>
      <c r="AE52" s="703">
        <f t="shared" ca="1" si="56"/>
        <v>0</v>
      </c>
      <c r="AF52" s="703">
        <f t="shared" ca="1" si="56"/>
        <v>0</v>
      </c>
      <c r="AG52" s="703">
        <f t="shared" ca="1" si="56"/>
        <v>0</v>
      </c>
      <c r="AH52" s="703">
        <f t="shared" ca="1" si="56"/>
        <v>0</v>
      </c>
      <c r="AI52" s="703">
        <f t="shared" ca="1" si="56"/>
        <v>0</v>
      </c>
      <c r="AJ52" s="703">
        <f t="shared" ca="1" si="56"/>
        <v>0</v>
      </c>
      <c r="AK52" s="703">
        <f t="shared" ca="1" si="56"/>
        <v>0</v>
      </c>
      <c r="AL52" s="703">
        <f t="shared" ca="1" si="56"/>
        <v>0</v>
      </c>
      <c r="AM52" s="703">
        <f t="shared" ca="1" si="56"/>
        <v>0</v>
      </c>
      <c r="AN52" s="703">
        <f t="shared" ca="1" si="56"/>
        <v>0</v>
      </c>
      <c r="AO52" s="703">
        <f t="shared" ca="1" si="56"/>
        <v>0</v>
      </c>
      <c r="AP52" s="703">
        <f t="shared" ca="1" si="56"/>
        <v>0</v>
      </c>
      <c r="AQ52" s="703">
        <f t="shared" ca="1" si="56"/>
        <v>0</v>
      </c>
      <c r="AR52" s="703">
        <f t="shared" ca="1" si="56"/>
        <v>0</v>
      </c>
      <c r="AS52" s="703">
        <f t="shared" ca="1" si="56"/>
        <v>0</v>
      </c>
      <c r="AT52" s="703">
        <f t="shared" ca="1" si="56"/>
        <v>0</v>
      </c>
      <c r="AU52" s="703">
        <f t="shared" ca="1" si="56"/>
        <v>0</v>
      </c>
      <c r="AV52" s="703">
        <f t="shared" ca="1" si="56"/>
        <v>0</v>
      </c>
      <c r="AW52" s="703">
        <f t="shared" ca="1" si="56"/>
        <v>0</v>
      </c>
      <c r="AX52" s="703">
        <f t="shared" ca="1" si="56"/>
        <v>0</v>
      </c>
      <c r="AY52" s="703">
        <f t="shared" ca="1" si="56"/>
        <v>0</v>
      </c>
      <c r="AZ52" s="703">
        <f t="shared" ca="1" si="56"/>
        <v>0</v>
      </c>
      <c r="BA52" s="703">
        <f t="shared" ca="1" si="56"/>
        <v>0</v>
      </c>
      <c r="BB52" s="703">
        <f t="shared" ca="1" si="56"/>
        <v>0</v>
      </c>
      <c r="BC52" s="703">
        <f t="shared" ca="1" si="56"/>
        <v>0</v>
      </c>
      <c r="BD52" s="703">
        <f t="shared" ca="1" si="56"/>
        <v>0</v>
      </c>
      <c r="BE52" s="703">
        <f t="shared" ca="1" si="56"/>
        <v>0</v>
      </c>
      <c r="BF52" s="703">
        <f t="shared" ca="1" si="56"/>
        <v>0</v>
      </c>
      <c r="BG52" s="703">
        <f t="shared" ca="1" si="56"/>
        <v>0</v>
      </c>
      <c r="BH52" s="703">
        <f t="shared" ca="1" si="56"/>
        <v>0</v>
      </c>
      <c r="BI52" s="703">
        <f t="shared" ca="1" si="56"/>
        <v>0</v>
      </c>
      <c r="BJ52" s="703">
        <f t="shared" ca="1" si="56"/>
        <v>0</v>
      </c>
      <c r="BK52" s="703">
        <f t="shared" ca="1" si="56"/>
        <v>0</v>
      </c>
      <c r="BL52" s="703">
        <f t="shared" ca="1" si="56"/>
        <v>0</v>
      </c>
      <c r="BM52" s="703">
        <f t="shared" ca="1" si="56"/>
        <v>0</v>
      </c>
      <c r="BN52" s="703">
        <f t="shared" ca="1" si="56"/>
        <v>0</v>
      </c>
      <c r="BO52" s="703">
        <f t="shared" ca="1" si="56"/>
        <v>0</v>
      </c>
      <c r="BP52" s="703">
        <f t="shared" ca="1" si="56"/>
        <v>0</v>
      </c>
      <c r="BQ52" s="703">
        <f t="shared" ca="1" si="56"/>
        <v>0</v>
      </c>
      <c r="BR52" s="703">
        <f t="shared" ca="1" si="56"/>
        <v>0</v>
      </c>
      <c r="BS52" s="703">
        <f t="shared" ca="1" si="56"/>
        <v>0</v>
      </c>
      <c r="BT52" s="703">
        <f t="shared" ca="1" si="56"/>
        <v>0</v>
      </c>
      <c r="BU52" s="703">
        <f t="shared" ca="1" si="56"/>
        <v>0</v>
      </c>
      <c r="BV52" s="703">
        <f t="shared" ca="1" si="56"/>
        <v>0</v>
      </c>
      <c r="BW52" s="703">
        <f t="shared" ca="1" si="56"/>
        <v>0</v>
      </c>
      <c r="BX52" s="703">
        <f t="shared" ca="1" si="56"/>
        <v>0</v>
      </c>
      <c r="BY52" s="703">
        <f t="shared" ca="1" si="56"/>
        <v>0</v>
      </c>
      <c r="BZ52" s="703">
        <f t="shared" ca="1" si="56"/>
        <v>0</v>
      </c>
      <c r="CA52" s="703">
        <f t="shared" ref="CA52:EA52" ca="1" si="57">-CA55</f>
        <v>0</v>
      </c>
      <c r="CB52" s="703">
        <f t="shared" ca="1" si="57"/>
        <v>0</v>
      </c>
      <c r="CC52" s="703">
        <f t="shared" ca="1" si="57"/>
        <v>0</v>
      </c>
      <c r="CD52" s="703">
        <f t="shared" ca="1" si="57"/>
        <v>0</v>
      </c>
      <c r="CE52" s="703">
        <f t="shared" ca="1" si="57"/>
        <v>0</v>
      </c>
      <c r="CF52" s="703">
        <f t="shared" ca="1" si="57"/>
        <v>0</v>
      </c>
      <c r="CG52" s="703">
        <f t="shared" ca="1" si="57"/>
        <v>0</v>
      </c>
      <c r="CH52" s="703">
        <f t="shared" ca="1" si="57"/>
        <v>0</v>
      </c>
      <c r="CI52" s="703">
        <f t="shared" ca="1" si="57"/>
        <v>0</v>
      </c>
      <c r="CJ52" s="703">
        <f t="shared" ca="1" si="57"/>
        <v>0</v>
      </c>
      <c r="CK52" s="703">
        <f t="shared" ca="1" si="57"/>
        <v>0</v>
      </c>
      <c r="CL52" s="703">
        <f t="shared" ca="1" si="57"/>
        <v>0</v>
      </c>
      <c r="CM52" s="703">
        <f t="shared" ca="1" si="57"/>
        <v>0</v>
      </c>
      <c r="CN52" s="703">
        <f t="shared" ca="1" si="57"/>
        <v>0</v>
      </c>
      <c r="CO52" s="703">
        <f t="shared" ca="1" si="57"/>
        <v>0</v>
      </c>
      <c r="CP52" s="703">
        <f t="shared" ca="1" si="57"/>
        <v>0</v>
      </c>
      <c r="CQ52" s="703">
        <f t="shared" ca="1" si="57"/>
        <v>0</v>
      </c>
      <c r="CR52" s="703">
        <f t="shared" ca="1" si="57"/>
        <v>0</v>
      </c>
      <c r="CS52" s="703">
        <f t="shared" ca="1" si="57"/>
        <v>0</v>
      </c>
      <c r="CT52" s="703">
        <f t="shared" ca="1" si="57"/>
        <v>0</v>
      </c>
      <c r="CU52" s="703">
        <f t="shared" ca="1" si="57"/>
        <v>0</v>
      </c>
      <c r="CV52" s="703">
        <f t="shared" ca="1" si="57"/>
        <v>0</v>
      </c>
      <c r="CW52" s="703">
        <f t="shared" ca="1" si="57"/>
        <v>0</v>
      </c>
      <c r="CX52" s="703">
        <f t="shared" ca="1" si="57"/>
        <v>0</v>
      </c>
      <c r="CY52" s="703">
        <f t="shared" ca="1" si="57"/>
        <v>0</v>
      </c>
      <c r="CZ52" s="703">
        <f t="shared" ca="1" si="57"/>
        <v>0</v>
      </c>
      <c r="DA52" s="703">
        <f t="shared" ca="1" si="57"/>
        <v>0</v>
      </c>
      <c r="DB52" s="703">
        <f t="shared" ca="1" si="57"/>
        <v>0</v>
      </c>
      <c r="DC52" s="703">
        <f t="shared" ca="1" si="57"/>
        <v>0</v>
      </c>
      <c r="DD52" s="703">
        <f t="shared" ca="1" si="57"/>
        <v>0</v>
      </c>
      <c r="DE52" s="703">
        <f t="shared" ca="1" si="57"/>
        <v>0</v>
      </c>
      <c r="DF52" s="703">
        <f t="shared" ca="1" si="57"/>
        <v>0</v>
      </c>
      <c r="DG52" s="703">
        <f t="shared" ca="1" si="57"/>
        <v>0</v>
      </c>
      <c r="DH52" s="703">
        <f t="shared" ca="1" si="57"/>
        <v>0</v>
      </c>
      <c r="DI52" s="703">
        <f t="shared" ca="1" si="57"/>
        <v>0</v>
      </c>
      <c r="DJ52" s="703">
        <f t="shared" ca="1" si="57"/>
        <v>0</v>
      </c>
      <c r="DK52" s="703">
        <f t="shared" ca="1" si="57"/>
        <v>0</v>
      </c>
      <c r="DL52" s="703">
        <f t="shared" ca="1" si="57"/>
        <v>0</v>
      </c>
      <c r="DM52" s="703">
        <f t="shared" ca="1" si="57"/>
        <v>0</v>
      </c>
      <c r="DN52" s="703">
        <f t="shared" ca="1" si="57"/>
        <v>0</v>
      </c>
      <c r="DO52" s="703">
        <f t="shared" ca="1" si="57"/>
        <v>0</v>
      </c>
      <c r="DP52" s="703">
        <f t="shared" ca="1" si="57"/>
        <v>0</v>
      </c>
      <c r="DQ52" s="703">
        <f t="shared" ca="1" si="57"/>
        <v>0</v>
      </c>
      <c r="DR52" s="703">
        <f t="shared" ca="1" si="57"/>
        <v>0</v>
      </c>
      <c r="DS52" s="703">
        <f t="shared" ca="1" si="57"/>
        <v>0</v>
      </c>
      <c r="DT52" s="703">
        <f t="shared" ca="1" si="57"/>
        <v>0</v>
      </c>
      <c r="DU52" s="703">
        <f t="shared" ca="1" si="57"/>
        <v>0</v>
      </c>
      <c r="DV52" s="703">
        <f t="shared" ca="1" si="57"/>
        <v>0</v>
      </c>
      <c r="DW52" s="703">
        <f t="shared" ca="1" si="57"/>
        <v>0</v>
      </c>
      <c r="DX52" s="703">
        <f t="shared" ca="1" si="57"/>
        <v>0</v>
      </c>
      <c r="DY52" s="703">
        <f t="shared" ca="1" si="57"/>
        <v>0</v>
      </c>
      <c r="DZ52" s="703">
        <f t="shared" ca="1" si="57"/>
        <v>0</v>
      </c>
      <c r="EA52" s="703">
        <f t="shared" ca="1" si="57"/>
        <v>0</v>
      </c>
      <c r="EB52" s="389"/>
      <c r="EC52" s="392" t="s">
        <v>65</v>
      </c>
    </row>
    <row r="53" spans="1:133" s="390" customFormat="1" hidden="1" outlineLevel="1">
      <c r="A53" s="389"/>
      <c r="B53" s="389"/>
      <c r="C53" s="389"/>
      <c r="D53" s="410" t="s">
        <v>33</v>
      </c>
      <c r="E53" s="411"/>
      <c r="F53" s="411"/>
      <c r="G53" s="411"/>
      <c r="H53" s="411"/>
      <c r="I53" s="797">
        <f t="shared" ref="I53" ca="1" si="58">SUM(K53:EA53)</f>
        <v>0</v>
      </c>
      <c r="J53" s="701"/>
      <c r="K53" s="411"/>
      <c r="L53" s="411">
        <f ca="1">SUM(L51:L52)</f>
        <v>0</v>
      </c>
      <c r="M53" s="411">
        <f t="shared" ref="M53:BX53" ca="1" si="59">SUM(M51:M52)</f>
        <v>0</v>
      </c>
      <c r="N53" s="411">
        <f t="shared" ca="1" si="59"/>
        <v>0</v>
      </c>
      <c r="O53" s="411">
        <f t="shared" ca="1" si="59"/>
        <v>0</v>
      </c>
      <c r="P53" s="411">
        <f t="shared" ca="1" si="59"/>
        <v>0</v>
      </c>
      <c r="Q53" s="411">
        <f t="shared" ca="1" si="59"/>
        <v>0</v>
      </c>
      <c r="R53" s="411">
        <f t="shared" ca="1" si="59"/>
        <v>0</v>
      </c>
      <c r="S53" s="411">
        <f t="shared" ca="1" si="59"/>
        <v>0</v>
      </c>
      <c r="T53" s="411">
        <f t="shared" ca="1" si="59"/>
        <v>0</v>
      </c>
      <c r="U53" s="411">
        <f t="shared" ca="1" si="59"/>
        <v>0</v>
      </c>
      <c r="V53" s="411">
        <f t="shared" ca="1" si="59"/>
        <v>0</v>
      </c>
      <c r="W53" s="411">
        <f t="shared" ca="1" si="59"/>
        <v>0</v>
      </c>
      <c r="X53" s="411">
        <f t="shared" ca="1" si="59"/>
        <v>0</v>
      </c>
      <c r="Y53" s="411">
        <f t="shared" ca="1" si="59"/>
        <v>0</v>
      </c>
      <c r="Z53" s="411">
        <f t="shared" ca="1" si="59"/>
        <v>0</v>
      </c>
      <c r="AA53" s="411">
        <f t="shared" ca="1" si="59"/>
        <v>0</v>
      </c>
      <c r="AB53" s="411">
        <f t="shared" ca="1" si="59"/>
        <v>0</v>
      </c>
      <c r="AC53" s="411">
        <f t="shared" ca="1" si="59"/>
        <v>0</v>
      </c>
      <c r="AD53" s="411">
        <f t="shared" ca="1" si="59"/>
        <v>0</v>
      </c>
      <c r="AE53" s="411">
        <f t="shared" ca="1" si="59"/>
        <v>0</v>
      </c>
      <c r="AF53" s="411">
        <f t="shared" ca="1" si="59"/>
        <v>0</v>
      </c>
      <c r="AG53" s="411">
        <f t="shared" ca="1" si="59"/>
        <v>0</v>
      </c>
      <c r="AH53" s="411">
        <f t="shared" ca="1" si="59"/>
        <v>0</v>
      </c>
      <c r="AI53" s="411">
        <f t="shared" ca="1" si="59"/>
        <v>0</v>
      </c>
      <c r="AJ53" s="411">
        <f t="shared" ca="1" si="59"/>
        <v>0</v>
      </c>
      <c r="AK53" s="411">
        <f t="shared" ca="1" si="59"/>
        <v>0</v>
      </c>
      <c r="AL53" s="411">
        <f t="shared" ca="1" si="59"/>
        <v>0</v>
      </c>
      <c r="AM53" s="411">
        <f t="shared" ca="1" si="59"/>
        <v>0</v>
      </c>
      <c r="AN53" s="411">
        <f t="shared" ca="1" si="59"/>
        <v>0</v>
      </c>
      <c r="AO53" s="411">
        <f t="shared" ca="1" si="59"/>
        <v>0</v>
      </c>
      <c r="AP53" s="411">
        <f t="shared" ca="1" si="59"/>
        <v>0</v>
      </c>
      <c r="AQ53" s="411">
        <f t="shared" ca="1" si="59"/>
        <v>0</v>
      </c>
      <c r="AR53" s="411">
        <f t="shared" ca="1" si="59"/>
        <v>0</v>
      </c>
      <c r="AS53" s="411">
        <f t="shared" ca="1" si="59"/>
        <v>0</v>
      </c>
      <c r="AT53" s="411">
        <f t="shared" ca="1" si="59"/>
        <v>0</v>
      </c>
      <c r="AU53" s="411">
        <f t="shared" ca="1" si="59"/>
        <v>0</v>
      </c>
      <c r="AV53" s="411">
        <f t="shared" ca="1" si="59"/>
        <v>0</v>
      </c>
      <c r="AW53" s="411">
        <f t="shared" ca="1" si="59"/>
        <v>0</v>
      </c>
      <c r="AX53" s="411">
        <f t="shared" ca="1" si="59"/>
        <v>0</v>
      </c>
      <c r="AY53" s="411">
        <f t="shared" ca="1" si="59"/>
        <v>0</v>
      </c>
      <c r="AZ53" s="411">
        <f t="shared" ca="1" si="59"/>
        <v>0</v>
      </c>
      <c r="BA53" s="411">
        <f t="shared" ca="1" si="59"/>
        <v>0</v>
      </c>
      <c r="BB53" s="411">
        <f t="shared" ca="1" si="59"/>
        <v>0</v>
      </c>
      <c r="BC53" s="411">
        <f t="shared" ca="1" si="59"/>
        <v>0</v>
      </c>
      <c r="BD53" s="411">
        <f t="shared" ca="1" si="59"/>
        <v>0</v>
      </c>
      <c r="BE53" s="411">
        <f t="shared" ca="1" si="59"/>
        <v>0</v>
      </c>
      <c r="BF53" s="411">
        <f t="shared" ca="1" si="59"/>
        <v>0</v>
      </c>
      <c r="BG53" s="411">
        <f t="shared" ca="1" si="59"/>
        <v>0</v>
      </c>
      <c r="BH53" s="411">
        <f t="shared" ca="1" si="59"/>
        <v>0</v>
      </c>
      <c r="BI53" s="411">
        <f t="shared" ca="1" si="59"/>
        <v>0</v>
      </c>
      <c r="BJ53" s="411">
        <f t="shared" ca="1" si="59"/>
        <v>0</v>
      </c>
      <c r="BK53" s="411">
        <f t="shared" ca="1" si="59"/>
        <v>0</v>
      </c>
      <c r="BL53" s="411">
        <f t="shared" ca="1" si="59"/>
        <v>0</v>
      </c>
      <c r="BM53" s="411">
        <f t="shared" ca="1" si="59"/>
        <v>0</v>
      </c>
      <c r="BN53" s="411">
        <f t="shared" ca="1" si="59"/>
        <v>0</v>
      </c>
      <c r="BO53" s="411">
        <f t="shared" ca="1" si="59"/>
        <v>0</v>
      </c>
      <c r="BP53" s="411">
        <f t="shared" ca="1" si="59"/>
        <v>0</v>
      </c>
      <c r="BQ53" s="411">
        <f t="shared" ca="1" si="59"/>
        <v>0</v>
      </c>
      <c r="BR53" s="411">
        <f t="shared" ca="1" si="59"/>
        <v>0</v>
      </c>
      <c r="BS53" s="411">
        <f t="shared" ca="1" si="59"/>
        <v>0</v>
      </c>
      <c r="BT53" s="411">
        <f t="shared" ca="1" si="59"/>
        <v>0</v>
      </c>
      <c r="BU53" s="411">
        <f t="shared" ca="1" si="59"/>
        <v>0</v>
      </c>
      <c r="BV53" s="411">
        <f t="shared" ca="1" si="59"/>
        <v>0</v>
      </c>
      <c r="BW53" s="411">
        <f t="shared" ca="1" si="59"/>
        <v>0</v>
      </c>
      <c r="BX53" s="411">
        <f t="shared" ca="1" si="59"/>
        <v>0</v>
      </c>
      <c r="BY53" s="411">
        <f t="shared" ref="BY53:EA53" ca="1" si="60">SUM(BY51:BY52)</f>
        <v>0</v>
      </c>
      <c r="BZ53" s="411">
        <f t="shared" ca="1" si="60"/>
        <v>0</v>
      </c>
      <c r="CA53" s="411">
        <f t="shared" ca="1" si="60"/>
        <v>0</v>
      </c>
      <c r="CB53" s="411">
        <f t="shared" ca="1" si="60"/>
        <v>0</v>
      </c>
      <c r="CC53" s="411">
        <f t="shared" ca="1" si="60"/>
        <v>0</v>
      </c>
      <c r="CD53" s="411">
        <f t="shared" ca="1" si="60"/>
        <v>0</v>
      </c>
      <c r="CE53" s="411">
        <f t="shared" ca="1" si="60"/>
        <v>0</v>
      </c>
      <c r="CF53" s="411">
        <f t="shared" ca="1" si="60"/>
        <v>0</v>
      </c>
      <c r="CG53" s="411">
        <f t="shared" ca="1" si="60"/>
        <v>0</v>
      </c>
      <c r="CH53" s="411">
        <f t="shared" ca="1" si="60"/>
        <v>0</v>
      </c>
      <c r="CI53" s="411">
        <f t="shared" ca="1" si="60"/>
        <v>0</v>
      </c>
      <c r="CJ53" s="411">
        <f t="shared" ca="1" si="60"/>
        <v>0</v>
      </c>
      <c r="CK53" s="411">
        <f t="shared" ca="1" si="60"/>
        <v>0</v>
      </c>
      <c r="CL53" s="411">
        <f t="shared" ca="1" si="60"/>
        <v>0</v>
      </c>
      <c r="CM53" s="411">
        <f t="shared" ca="1" si="60"/>
        <v>0</v>
      </c>
      <c r="CN53" s="411">
        <f t="shared" ca="1" si="60"/>
        <v>0</v>
      </c>
      <c r="CO53" s="411">
        <f t="shared" ca="1" si="60"/>
        <v>0</v>
      </c>
      <c r="CP53" s="411">
        <f t="shared" ca="1" si="60"/>
        <v>0</v>
      </c>
      <c r="CQ53" s="411">
        <f t="shared" ca="1" si="60"/>
        <v>0</v>
      </c>
      <c r="CR53" s="411">
        <f t="shared" ca="1" si="60"/>
        <v>0</v>
      </c>
      <c r="CS53" s="411">
        <f t="shared" ca="1" si="60"/>
        <v>0</v>
      </c>
      <c r="CT53" s="411">
        <f t="shared" ca="1" si="60"/>
        <v>0</v>
      </c>
      <c r="CU53" s="411">
        <f t="shared" ca="1" si="60"/>
        <v>0</v>
      </c>
      <c r="CV53" s="411">
        <f t="shared" ca="1" si="60"/>
        <v>0</v>
      </c>
      <c r="CW53" s="411">
        <f t="shared" ca="1" si="60"/>
        <v>0</v>
      </c>
      <c r="CX53" s="411">
        <f t="shared" ca="1" si="60"/>
        <v>0</v>
      </c>
      <c r="CY53" s="411">
        <f t="shared" ca="1" si="60"/>
        <v>0</v>
      </c>
      <c r="CZ53" s="411">
        <f t="shared" ca="1" si="60"/>
        <v>0</v>
      </c>
      <c r="DA53" s="411">
        <f t="shared" ca="1" si="60"/>
        <v>0</v>
      </c>
      <c r="DB53" s="411">
        <f t="shared" ca="1" si="60"/>
        <v>0</v>
      </c>
      <c r="DC53" s="411">
        <f t="shared" ca="1" si="60"/>
        <v>0</v>
      </c>
      <c r="DD53" s="411">
        <f t="shared" ca="1" si="60"/>
        <v>0</v>
      </c>
      <c r="DE53" s="411">
        <f t="shared" ca="1" si="60"/>
        <v>0</v>
      </c>
      <c r="DF53" s="411">
        <f t="shared" ca="1" si="60"/>
        <v>0</v>
      </c>
      <c r="DG53" s="411">
        <f t="shared" ca="1" si="60"/>
        <v>0</v>
      </c>
      <c r="DH53" s="411">
        <f t="shared" ca="1" si="60"/>
        <v>0</v>
      </c>
      <c r="DI53" s="411">
        <f t="shared" ca="1" si="60"/>
        <v>0</v>
      </c>
      <c r="DJ53" s="411">
        <f t="shared" ca="1" si="60"/>
        <v>0</v>
      </c>
      <c r="DK53" s="411">
        <f t="shared" ca="1" si="60"/>
        <v>0</v>
      </c>
      <c r="DL53" s="411">
        <f t="shared" ca="1" si="60"/>
        <v>0</v>
      </c>
      <c r="DM53" s="411">
        <f t="shared" ca="1" si="60"/>
        <v>0</v>
      </c>
      <c r="DN53" s="411">
        <f t="shared" ca="1" si="60"/>
        <v>0</v>
      </c>
      <c r="DO53" s="411">
        <f t="shared" ca="1" si="60"/>
        <v>0</v>
      </c>
      <c r="DP53" s="411">
        <f t="shared" ca="1" si="60"/>
        <v>0</v>
      </c>
      <c r="DQ53" s="411">
        <f t="shared" ca="1" si="60"/>
        <v>0</v>
      </c>
      <c r="DR53" s="411">
        <f t="shared" ca="1" si="60"/>
        <v>0</v>
      </c>
      <c r="DS53" s="411">
        <f t="shared" ca="1" si="60"/>
        <v>0</v>
      </c>
      <c r="DT53" s="411">
        <f t="shared" ca="1" si="60"/>
        <v>0</v>
      </c>
      <c r="DU53" s="411">
        <f t="shared" ca="1" si="60"/>
        <v>0</v>
      </c>
      <c r="DV53" s="411">
        <f t="shared" ca="1" si="60"/>
        <v>0</v>
      </c>
      <c r="DW53" s="411">
        <f t="shared" ca="1" si="60"/>
        <v>0</v>
      </c>
      <c r="DX53" s="411">
        <f t="shared" ca="1" si="60"/>
        <v>0</v>
      </c>
      <c r="DY53" s="411">
        <f t="shared" ca="1" si="60"/>
        <v>0</v>
      </c>
      <c r="DZ53" s="411">
        <f t="shared" ca="1" si="60"/>
        <v>0</v>
      </c>
      <c r="EA53" s="411">
        <f t="shared" ca="1" si="60"/>
        <v>0</v>
      </c>
      <c r="EB53" s="389"/>
      <c r="EC53" s="392" t="s">
        <v>65</v>
      </c>
    </row>
    <row r="54" spans="1:133" s="390" customFormat="1" hidden="1" outlineLevel="1">
      <c r="A54" s="389"/>
      <c r="B54" s="389"/>
      <c r="C54" s="389"/>
      <c r="D54" s="409" t="s">
        <v>24</v>
      </c>
      <c r="E54" s="701"/>
      <c r="F54" s="701"/>
      <c r="G54" s="389"/>
      <c r="H54" s="701"/>
      <c r="I54" s="795">
        <f ca="1">SUM(K54:EA54)</f>
        <v>0</v>
      </c>
      <c r="J54" s="701"/>
      <c r="K54" s="703"/>
      <c r="L54" s="703">
        <f ca="1">IF(L49-K49&gt;0,((L49-K49)*(-$E$51*12))*Assumptions!$J$76,0)</f>
        <v>0</v>
      </c>
      <c r="M54" s="703">
        <f ca="1">IF(M49-L49&gt;0,((M49-L49)*(-$E$51*12))*Assumptions!$J$76,0)</f>
        <v>0</v>
      </c>
      <c r="N54" s="703">
        <f ca="1">IF(N49-M49&gt;0,((N49-M49)*(-$E$51*12))*Assumptions!$J$76,0)</f>
        <v>0</v>
      </c>
      <c r="O54" s="703">
        <f ca="1">IF(O49-N49&gt;0,((O49-N49)*(-$E$51*12))*Assumptions!$J$76,0)</f>
        <v>0</v>
      </c>
      <c r="P54" s="703">
        <f ca="1">IF(P49-O49&gt;0,((P49-O49)*(-$E$51*12))*Assumptions!$J$76,0)</f>
        <v>0</v>
      </c>
      <c r="Q54" s="703">
        <f ca="1">IF(Q49-P49&gt;0,((Q49-P49)*(-$E$51*12))*Assumptions!$J$76,0)</f>
        <v>0</v>
      </c>
      <c r="R54" s="703">
        <f ca="1">IF(R49-Q49&gt;0,((R49-Q49)*(-$E$51*12))*Assumptions!$J$76,0)</f>
        <v>0</v>
      </c>
      <c r="S54" s="703">
        <f ca="1">IF(S49-R49&gt;0,((S49-R49)*(-$E$51*12))*Assumptions!$J$76,0)</f>
        <v>0</v>
      </c>
      <c r="T54" s="703">
        <f ca="1">IF(T49-S49&gt;0,((T49-S49)*(-$E$51*12))*Assumptions!$J$76,0)</f>
        <v>0</v>
      </c>
      <c r="U54" s="703">
        <f ca="1">IF(U49-T49&gt;0,((U49-T49)*(-$E$51*12))*Assumptions!$J$76,0)</f>
        <v>0</v>
      </c>
      <c r="V54" s="703">
        <f ca="1">IF(V49-U49&gt;0,((V49-U49)*(-$E$51*12))*Assumptions!$J$76,0)</f>
        <v>0</v>
      </c>
      <c r="W54" s="703">
        <f ca="1">IF(W49-V49&gt;0,((W49-V49)*(-$E$51*12))*Assumptions!$J$76,0)</f>
        <v>0</v>
      </c>
      <c r="X54" s="703">
        <f ca="1">IF(X49-W49&gt;0,((X49-W49)*(-$E$51*12))*Assumptions!$J$76,0)</f>
        <v>0</v>
      </c>
      <c r="Y54" s="703">
        <f ca="1">IF(Y49-X49&gt;0,((Y49-X49)*(-$E$51*12))*Assumptions!$J$76,0)</f>
        <v>0</v>
      </c>
      <c r="Z54" s="703">
        <f ca="1">IF(Z49-Y49&gt;0,((Z49-Y49)*(-$E$51*12))*Assumptions!$J$76,0)</f>
        <v>0</v>
      </c>
      <c r="AA54" s="703">
        <f ca="1">IF(AA49-Z49&gt;0,((AA49-Z49)*(-$E$51*12))*Assumptions!$J$76,0)</f>
        <v>0</v>
      </c>
      <c r="AB54" s="703">
        <f ca="1">IF(AB49-AA49&gt;0,((AB49-AA49)*(-$E$51*12))*Assumptions!$J$76,0)</f>
        <v>0</v>
      </c>
      <c r="AC54" s="703">
        <f ca="1">IF(AC49-AB49&gt;0,((AC49-AB49)*(-$E$51*12))*Assumptions!$J$76,0)</f>
        <v>0</v>
      </c>
      <c r="AD54" s="703">
        <f ca="1">IF(AD49-AC49&gt;0,((AD49-AC49)*(-$E$51*12))*Assumptions!$J$76,0)</f>
        <v>0</v>
      </c>
      <c r="AE54" s="703">
        <f ca="1">IF(AE49-AD49&gt;0,((AE49-AD49)*(-$E$51*12))*Assumptions!$J$76,0)</f>
        <v>0</v>
      </c>
      <c r="AF54" s="703">
        <f ca="1">IF(AF49-AE49&gt;0,((AF49-AE49)*(-$E$51*12))*Assumptions!$J$76,0)</f>
        <v>0</v>
      </c>
      <c r="AG54" s="703">
        <f ca="1">IF(AG49-AF49&gt;0,((AG49-AF49)*(-$E$51*12))*Assumptions!$J$76,0)</f>
        <v>0</v>
      </c>
      <c r="AH54" s="703">
        <f ca="1">IF(AH49-AG49&gt;0,((AH49-AG49)*(-$E$51*12))*Assumptions!$J$76,0)</f>
        <v>0</v>
      </c>
      <c r="AI54" s="703">
        <f ca="1">IF(AI49-AH49&gt;0,((AI49-AH49)*(-$E$51*12))*Assumptions!$J$76,0)</f>
        <v>0</v>
      </c>
      <c r="AJ54" s="703">
        <f ca="1">IF(AJ49-AI49&gt;0,((AJ49-AI49)*(-$E$51*12))*Assumptions!$J$76,0)</f>
        <v>0</v>
      </c>
      <c r="AK54" s="703">
        <f ca="1">IF(AK49-AJ49&gt;0,((AK49-AJ49)*(-$E$51*12))*Assumptions!$J$76,0)</f>
        <v>0</v>
      </c>
      <c r="AL54" s="703">
        <f ca="1">IF(AL49-AK49&gt;0,((AL49-AK49)*(-$E$51*12))*Assumptions!$J$76,0)</f>
        <v>0</v>
      </c>
      <c r="AM54" s="703">
        <f ca="1">IF(AM49-AL49&gt;0,((AM49-AL49)*(-$E$51*12))*Assumptions!$J$76,0)</f>
        <v>0</v>
      </c>
      <c r="AN54" s="703">
        <f ca="1">IF(AN49-AM49&gt;0,((AN49-AM49)*(-$E$51*12))*Assumptions!$J$76,0)</f>
        <v>0</v>
      </c>
      <c r="AO54" s="703">
        <f ca="1">IF(AO49-AN49&gt;0,((AO49-AN49)*(-$E$51*12))*Assumptions!$J$76,0)</f>
        <v>0</v>
      </c>
      <c r="AP54" s="703">
        <f ca="1">IF(AP49-AO49&gt;0,((AP49-AO49)*(-$E$51*12))*Assumptions!$J$76,0)</f>
        <v>0</v>
      </c>
      <c r="AQ54" s="703">
        <f ca="1">IF(AQ49-AP49&gt;0,((AQ49-AP49)*(-$E$51*12))*Assumptions!$J$76,0)</f>
        <v>0</v>
      </c>
      <c r="AR54" s="703">
        <f ca="1">IF(AR49-AQ49&gt;0,((AR49-AQ49)*(-$E$51*12))*Assumptions!$J$76,0)</f>
        <v>0</v>
      </c>
      <c r="AS54" s="703">
        <f ca="1">IF(AS49-AR49&gt;0,((AS49-AR49)*(-$E$51*12))*Assumptions!$J$76,0)</f>
        <v>0</v>
      </c>
      <c r="AT54" s="703">
        <f ca="1">IF(AT49-AS49&gt;0,((AT49-AS49)*(-$E$51*12))*Assumptions!$J$76,0)</f>
        <v>0</v>
      </c>
      <c r="AU54" s="703">
        <f ca="1">IF(AU49-AT49&gt;0,((AU49-AT49)*(-$E$51*12))*Assumptions!$J$76,0)</f>
        <v>0</v>
      </c>
      <c r="AV54" s="703">
        <f ca="1">IF(AV49-AU49&gt;0,((AV49-AU49)*(-$E$51*12))*Assumptions!$J$76,0)</f>
        <v>0</v>
      </c>
      <c r="AW54" s="703">
        <f ca="1">IF(AW49-AV49&gt;0,((AW49-AV49)*(-$E$51*12))*Assumptions!$J$76,0)</f>
        <v>0</v>
      </c>
      <c r="AX54" s="703">
        <f ca="1">IF(AX49-AW49&gt;0,((AX49-AW49)*(-$E$51*12))*Assumptions!$J$76,0)</f>
        <v>0</v>
      </c>
      <c r="AY54" s="703">
        <f ca="1">IF(AY49-AX49&gt;0,((AY49-AX49)*(-$E$51*12))*Assumptions!$J$76,0)</f>
        <v>0</v>
      </c>
      <c r="AZ54" s="703">
        <f ca="1">IF(AZ49-AY49&gt;0,((AZ49-AY49)*(-$E$51*12))*Assumptions!$J$76,0)</f>
        <v>0</v>
      </c>
      <c r="BA54" s="703">
        <f ca="1">IF(BA49-AZ49&gt;0,((BA49-AZ49)*(-$E$51*12))*Assumptions!$J$76,0)</f>
        <v>0</v>
      </c>
      <c r="BB54" s="703">
        <f ca="1">IF(BB49-BA49&gt;0,((BB49-BA49)*(-$E$51*12))*Assumptions!$J$76,0)</f>
        <v>0</v>
      </c>
      <c r="BC54" s="703">
        <f ca="1">IF(BC49-BB49&gt;0,((BC49-BB49)*(-$E$51*12))*Assumptions!$J$76,0)</f>
        <v>0</v>
      </c>
      <c r="BD54" s="703">
        <f ca="1">IF(BD49-BC49&gt;0,((BD49-BC49)*(-$E$51*12))*Assumptions!$J$76,0)</f>
        <v>0</v>
      </c>
      <c r="BE54" s="703">
        <f ca="1">IF(BE49-BD49&gt;0,((BE49-BD49)*(-$E$51*12))*Assumptions!$J$76,0)</f>
        <v>0</v>
      </c>
      <c r="BF54" s="703">
        <f ca="1">IF(BF49-BE49&gt;0,((BF49-BE49)*(-$E$51*12))*Assumptions!$J$76,0)</f>
        <v>0</v>
      </c>
      <c r="BG54" s="703">
        <f ca="1">IF(BG49-BF49&gt;0,((BG49-BF49)*(-$E$51*12))*Assumptions!$J$76,0)</f>
        <v>0</v>
      </c>
      <c r="BH54" s="703">
        <f ca="1">IF(BH49-BG49&gt;0,((BH49-BG49)*(-$E$51*12))*Assumptions!$J$76,0)</f>
        <v>0</v>
      </c>
      <c r="BI54" s="703">
        <f ca="1">IF(BI49-BH49&gt;0,((BI49-BH49)*(-$E$51*12))*Assumptions!$J$76,0)</f>
        <v>0</v>
      </c>
      <c r="BJ54" s="703">
        <f ca="1">IF(BJ49-BI49&gt;0,((BJ49-BI49)*(-$E$51*12))*Assumptions!$J$76,0)</f>
        <v>0</v>
      </c>
      <c r="BK54" s="703">
        <f ca="1">IF(BK49-BJ49&gt;0,((BK49-BJ49)*(-$E$51*12))*Assumptions!$J$76,0)</f>
        <v>0</v>
      </c>
      <c r="BL54" s="703">
        <f ca="1">IF(BL49-BK49&gt;0,((BL49-BK49)*(-$E$51*12))*Assumptions!$J$76,0)</f>
        <v>0</v>
      </c>
      <c r="BM54" s="703">
        <f ca="1">IF(BM49-BL49&gt;0,((BM49-BL49)*(-$E$51*12))*Assumptions!$J$76,0)</f>
        <v>0</v>
      </c>
      <c r="BN54" s="703">
        <f ca="1">IF(BN49-BM49&gt;0,((BN49-BM49)*(-$E$51*12))*Assumptions!$J$76,0)</f>
        <v>0</v>
      </c>
      <c r="BO54" s="703">
        <f ca="1">IF(BO49-BN49&gt;0,((BO49-BN49)*(-$E$51*12))*Assumptions!$J$76,0)</f>
        <v>0</v>
      </c>
      <c r="BP54" s="703">
        <f ca="1">IF(BP49-BO49&gt;0,((BP49-BO49)*(-$E$51*12))*Assumptions!$J$76,0)</f>
        <v>0</v>
      </c>
      <c r="BQ54" s="703">
        <f ca="1">IF(BQ49-BP49&gt;0,((BQ49-BP49)*(-$E$51*12))*Assumptions!$J$76,0)</f>
        <v>0</v>
      </c>
      <c r="BR54" s="703">
        <f ca="1">IF(BR49-BQ49&gt;0,((BR49-BQ49)*(-$E$51*12))*Assumptions!$J$76,0)</f>
        <v>0</v>
      </c>
      <c r="BS54" s="703">
        <f ca="1">IF(BS49-BR49&gt;0,((BS49-BR49)*(-$E$51*12))*Assumptions!$J$76,0)</f>
        <v>0</v>
      </c>
      <c r="BT54" s="703">
        <f ca="1">IF(BT49-BS49&gt;0,((BT49-BS49)*(-$E$51*12))*Assumptions!$J$76,0)</f>
        <v>0</v>
      </c>
      <c r="BU54" s="703">
        <f ca="1">IF(BU49-BT49&gt;0,((BU49-BT49)*(-$E$51*12))*Assumptions!$J$76,0)</f>
        <v>0</v>
      </c>
      <c r="BV54" s="703">
        <f ca="1">IF(BV49-BU49&gt;0,((BV49-BU49)*(-$E$51*12))*Assumptions!$J$76,0)</f>
        <v>0</v>
      </c>
      <c r="BW54" s="703">
        <f ca="1">IF(BW49-BV49&gt;0,((BW49-BV49)*(-$E$51*12))*Assumptions!$J$76,0)</f>
        <v>0</v>
      </c>
      <c r="BX54" s="703">
        <f ca="1">IF(BX49-BW49&gt;0,((BX49-BW49)*(-$E$51*12))*Assumptions!$J$76,0)</f>
        <v>0</v>
      </c>
      <c r="BY54" s="703">
        <f ca="1">IF(BY49-BX49&gt;0,((BY49-BX49)*(-$E$51*12))*Assumptions!$J$76,0)</f>
        <v>0</v>
      </c>
      <c r="BZ54" s="703">
        <f ca="1">IF(BZ49-BY49&gt;0,((BZ49-BY49)*(-$E$51*12))*Assumptions!$J$76,0)</f>
        <v>0</v>
      </c>
      <c r="CA54" s="703">
        <f ca="1">IF(CA49-BZ49&gt;0,((CA49-BZ49)*(-$E$51*12))*Assumptions!$J$76,0)</f>
        <v>0</v>
      </c>
      <c r="CB54" s="703">
        <f ca="1">IF(CB49-CA49&gt;0,((CB49-CA49)*(-$E$51*12))*Assumptions!$J$76,0)</f>
        <v>0</v>
      </c>
      <c r="CC54" s="703">
        <f ca="1">IF(CC49-CB49&gt;0,((CC49-CB49)*(-$E$51*12))*Assumptions!$J$76,0)</f>
        <v>0</v>
      </c>
      <c r="CD54" s="703">
        <f ca="1">IF(CD49-CC49&gt;0,((CD49-CC49)*(-$E$51*12))*Assumptions!$J$76,0)</f>
        <v>0</v>
      </c>
      <c r="CE54" s="703">
        <f ca="1">IF(CE49-CD49&gt;0,((CE49-CD49)*(-$E$51*12))*Assumptions!$J$76,0)</f>
        <v>0</v>
      </c>
      <c r="CF54" s="703">
        <f ca="1">IF(CF49-CE49&gt;0,((CF49-CE49)*(-$E$51*12))*Assumptions!$J$76,0)</f>
        <v>0</v>
      </c>
      <c r="CG54" s="703">
        <f ca="1">IF(CG49-CF49&gt;0,((CG49-CF49)*(-$E$51*12))*Assumptions!$J$76,0)</f>
        <v>0</v>
      </c>
      <c r="CH54" s="703">
        <f ca="1">IF(CH49-CG49&gt;0,((CH49-CG49)*(-$E$51*12))*Assumptions!$J$76,0)</f>
        <v>0</v>
      </c>
      <c r="CI54" s="703">
        <f ca="1">IF(CI49-CH49&gt;0,((CI49-CH49)*(-$E$51*12))*Assumptions!$J$76,0)</f>
        <v>0</v>
      </c>
      <c r="CJ54" s="703">
        <f ca="1">IF(CJ49-CI49&gt;0,((CJ49-CI49)*(-$E$51*12))*Assumptions!$J$76,0)</f>
        <v>0</v>
      </c>
      <c r="CK54" s="703">
        <f ca="1">IF(CK49-CJ49&gt;0,((CK49-CJ49)*(-$E$51*12))*Assumptions!$J$76,0)</f>
        <v>0</v>
      </c>
      <c r="CL54" s="703">
        <f ca="1">IF(CL49-CK49&gt;0,((CL49-CK49)*(-$E$51*12))*Assumptions!$J$76,0)</f>
        <v>0</v>
      </c>
      <c r="CM54" s="703">
        <f ca="1">IF(CM49-CL49&gt;0,((CM49-CL49)*(-$E$51*12))*Assumptions!$J$76,0)</f>
        <v>0</v>
      </c>
      <c r="CN54" s="703">
        <f ca="1">IF(CN49-CM49&gt;0,((CN49-CM49)*(-$E$51*12))*Assumptions!$J$76,0)</f>
        <v>0</v>
      </c>
      <c r="CO54" s="703">
        <f ca="1">IF(CO49-CN49&gt;0,((CO49-CN49)*(-$E$51*12))*Assumptions!$J$76,0)</f>
        <v>0</v>
      </c>
      <c r="CP54" s="703">
        <f ca="1">IF(CP49-CO49&gt;0,((CP49-CO49)*(-$E$51*12))*Assumptions!$J$76,0)</f>
        <v>0</v>
      </c>
      <c r="CQ54" s="703">
        <f ca="1">IF(CQ49-CP49&gt;0,((CQ49-CP49)*(-$E$51*12))*Assumptions!$J$76,0)</f>
        <v>0</v>
      </c>
      <c r="CR54" s="703">
        <f ca="1">IF(CR49-CQ49&gt;0,((CR49-CQ49)*(-$E$51*12))*Assumptions!$J$76,0)</f>
        <v>0</v>
      </c>
      <c r="CS54" s="703">
        <f ca="1">IF(CS49-CR49&gt;0,((CS49-CR49)*(-$E$51*12))*Assumptions!$J$76,0)</f>
        <v>0</v>
      </c>
      <c r="CT54" s="703">
        <f ca="1">IF(CT49-CS49&gt;0,((CT49-CS49)*(-$E$51*12))*Assumptions!$J$76,0)</f>
        <v>0</v>
      </c>
      <c r="CU54" s="703">
        <f ca="1">IF(CU49-CT49&gt;0,((CU49-CT49)*(-$E$51*12))*Assumptions!$J$76,0)</f>
        <v>0</v>
      </c>
      <c r="CV54" s="703">
        <f ca="1">IF(CV49-CU49&gt;0,((CV49-CU49)*(-$E$51*12))*Assumptions!$J$76,0)</f>
        <v>0</v>
      </c>
      <c r="CW54" s="703">
        <f ca="1">IF(CW49-CV49&gt;0,((CW49-CV49)*(-$E$51*12))*Assumptions!$J$76,0)</f>
        <v>0</v>
      </c>
      <c r="CX54" s="703">
        <f ca="1">IF(CX49-CW49&gt;0,((CX49-CW49)*(-$E$51*12))*Assumptions!$J$76,0)</f>
        <v>0</v>
      </c>
      <c r="CY54" s="703">
        <f ca="1">IF(CY49-CX49&gt;0,((CY49-CX49)*(-$E$51*12))*Assumptions!$J$76,0)</f>
        <v>0</v>
      </c>
      <c r="CZ54" s="703">
        <f ca="1">IF(CZ49-CY49&gt;0,((CZ49-CY49)*(-$E$51*12))*Assumptions!$J$76,0)</f>
        <v>0</v>
      </c>
      <c r="DA54" s="703">
        <f ca="1">IF(DA49-CZ49&gt;0,((DA49-CZ49)*(-$E$51*12))*Assumptions!$J$76,0)</f>
        <v>0</v>
      </c>
      <c r="DB54" s="703">
        <f ca="1">IF(DB49-DA49&gt;0,((DB49-DA49)*(-$E$51*12))*Assumptions!$J$76,0)</f>
        <v>0</v>
      </c>
      <c r="DC54" s="703">
        <f ca="1">IF(DC49-DB49&gt;0,((DC49-DB49)*(-$E$51*12))*Assumptions!$J$76,0)</f>
        <v>0</v>
      </c>
      <c r="DD54" s="703">
        <f ca="1">IF(DD49-DC49&gt;0,((DD49-DC49)*(-$E$51*12))*Assumptions!$J$76,0)</f>
        <v>0</v>
      </c>
      <c r="DE54" s="703">
        <f ca="1">IF(DE49-DD49&gt;0,((DE49-DD49)*(-$E$51*12))*Assumptions!$J$76,0)</f>
        <v>0</v>
      </c>
      <c r="DF54" s="703">
        <f ca="1">IF(DF49-DE49&gt;0,((DF49-DE49)*(-$E$51*12))*Assumptions!$J$76,0)</f>
        <v>0</v>
      </c>
      <c r="DG54" s="703">
        <f ca="1">IF(DG49-DF49&gt;0,((DG49-DF49)*(-$E$51*12))*Assumptions!$J$76,0)</f>
        <v>0</v>
      </c>
      <c r="DH54" s="703">
        <f ca="1">IF(DH49-DG49&gt;0,((DH49-DG49)*(-$E$51*12))*Assumptions!$J$76,0)</f>
        <v>0</v>
      </c>
      <c r="DI54" s="703">
        <f ca="1">IF(DI49-DH49&gt;0,((DI49-DH49)*(-$E$51*12))*Assumptions!$J$76,0)</f>
        <v>0</v>
      </c>
      <c r="DJ54" s="703">
        <f ca="1">IF(DJ49-DI49&gt;0,((DJ49-DI49)*(-$E$51*12))*Assumptions!$J$76,0)</f>
        <v>0</v>
      </c>
      <c r="DK54" s="703">
        <f ca="1">IF(DK49-DJ49&gt;0,((DK49-DJ49)*(-$E$51*12))*Assumptions!$J$76,0)</f>
        <v>0</v>
      </c>
      <c r="DL54" s="703">
        <f ca="1">IF(DL49-DK49&gt;0,((DL49-DK49)*(-$E$51*12))*Assumptions!$J$76,0)</f>
        <v>0</v>
      </c>
      <c r="DM54" s="703">
        <f ca="1">IF(DM49-DL49&gt;0,((DM49-DL49)*(-$E$51*12))*Assumptions!$J$76,0)</f>
        <v>0</v>
      </c>
      <c r="DN54" s="703">
        <f ca="1">IF(DN49-DM49&gt;0,((DN49-DM49)*(-$E$51*12))*Assumptions!$J$76,0)</f>
        <v>0</v>
      </c>
      <c r="DO54" s="703">
        <f ca="1">IF(DO49-DN49&gt;0,((DO49-DN49)*(-$E$51*12))*Assumptions!$J$76,0)</f>
        <v>0</v>
      </c>
      <c r="DP54" s="703">
        <f ca="1">IF(DP49-DO49&gt;0,((DP49-DO49)*(-$E$51*12))*Assumptions!$J$76,0)</f>
        <v>0</v>
      </c>
      <c r="DQ54" s="703">
        <f ca="1">IF(DQ49-DP49&gt;0,((DQ49-DP49)*(-$E$51*12))*Assumptions!$J$76,0)</f>
        <v>0</v>
      </c>
      <c r="DR54" s="703">
        <f ca="1">IF(DR49-DQ49&gt;0,((DR49-DQ49)*(-$E$51*12))*Assumptions!$J$76,0)</f>
        <v>0</v>
      </c>
      <c r="DS54" s="703">
        <f ca="1">IF(DS49-DR49&gt;0,((DS49-DR49)*(-$E$51*12))*Assumptions!$J$76,0)</f>
        <v>0</v>
      </c>
      <c r="DT54" s="703">
        <f ca="1">IF(DT49-DS49&gt;0,((DT49-DS49)*(-$E$51*12))*Assumptions!$J$76,0)</f>
        <v>0</v>
      </c>
      <c r="DU54" s="703">
        <f ca="1">IF(DU49-DT49&gt;0,((DU49-DT49)*(-$E$51*12))*Assumptions!$J$76,0)</f>
        <v>0</v>
      </c>
      <c r="DV54" s="703">
        <f ca="1">IF(DV49-DU49&gt;0,((DV49-DU49)*(-$E$51*12))*Assumptions!$J$76,0)</f>
        <v>0</v>
      </c>
      <c r="DW54" s="703">
        <f ca="1">IF(DW49-DV49&gt;0,((DW49-DV49)*(-$E$51*12))*Assumptions!$J$76,0)</f>
        <v>0</v>
      </c>
      <c r="DX54" s="703">
        <f ca="1">IF(DX49-DW49&gt;0,((DX49-DW49)*(-$E$51*12))*Assumptions!$J$76,0)</f>
        <v>0</v>
      </c>
      <c r="DY54" s="703">
        <f ca="1">IF(DY49-DX49&gt;0,((DY49-DX49)*(-$E$51*12))*Assumptions!$J$76,0)</f>
        <v>0</v>
      </c>
      <c r="DZ54" s="703">
        <f ca="1">IF(DZ49-DY49&gt;0,((DZ49-DY49)*(-$E$51*12))*Assumptions!$J$76,0)</f>
        <v>0</v>
      </c>
      <c r="EA54" s="703">
        <f ca="1">IF(EA49-DZ49&gt;0,((EA49-DZ49)*(-$E$51*12))*Assumptions!$J$76,0)</f>
        <v>0</v>
      </c>
      <c r="EB54" s="389"/>
      <c r="EC54" s="392" t="s">
        <v>65</v>
      </c>
    </row>
    <row r="55" spans="1:133" s="390" customFormat="1" hidden="1" outlineLevel="1">
      <c r="A55" s="389"/>
      <c r="C55" s="389"/>
      <c r="D55" s="999" t="str">
        <f>CONCATENATE("Op Exp - ",Assumptions!D$54)</f>
        <v>Op Exp - Commercial</v>
      </c>
      <c r="E55" s="415">
        <f>Assumptions!J80</f>
        <v>0.6875</v>
      </c>
      <c r="F55" s="701"/>
      <c r="G55" s="749">
        <f>+Assumptions!J81</f>
        <v>0.03</v>
      </c>
      <c r="H55" s="701"/>
      <c r="I55" s="799">
        <f ca="1">SUM(K55:EA55)</f>
        <v>0</v>
      </c>
      <c r="J55" s="701"/>
      <c r="K55" s="417"/>
      <c r="L55" s="417">
        <f t="shared" ref="L55:AQ55" ca="1" si="61">-IF(L48=0,0,((1+L$30)*$E55*$E49))</f>
        <v>0</v>
      </c>
      <c r="M55" s="417">
        <f t="shared" ca="1" si="61"/>
        <v>0</v>
      </c>
      <c r="N55" s="417">
        <f t="shared" ca="1" si="61"/>
        <v>0</v>
      </c>
      <c r="O55" s="417">
        <f t="shared" ca="1" si="61"/>
        <v>0</v>
      </c>
      <c r="P55" s="417">
        <f t="shared" ca="1" si="61"/>
        <v>0</v>
      </c>
      <c r="Q55" s="417">
        <f t="shared" ca="1" si="61"/>
        <v>0</v>
      </c>
      <c r="R55" s="417">
        <f t="shared" ca="1" si="61"/>
        <v>0</v>
      </c>
      <c r="S55" s="417">
        <f t="shared" ca="1" si="61"/>
        <v>0</v>
      </c>
      <c r="T55" s="417">
        <f t="shared" ca="1" si="61"/>
        <v>0</v>
      </c>
      <c r="U55" s="417">
        <f t="shared" ca="1" si="61"/>
        <v>0</v>
      </c>
      <c r="V55" s="417">
        <f t="shared" ca="1" si="61"/>
        <v>0</v>
      </c>
      <c r="W55" s="417">
        <f t="shared" ca="1" si="61"/>
        <v>0</v>
      </c>
      <c r="X55" s="417">
        <f t="shared" ca="1" si="61"/>
        <v>0</v>
      </c>
      <c r="Y55" s="417">
        <f t="shared" ca="1" si="61"/>
        <v>0</v>
      </c>
      <c r="Z55" s="417">
        <f t="shared" ca="1" si="61"/>
        <v>0</v>
      </c>
      <c r="AA55" s="417">
        <f t="shared" ca="1" si="61"/>
        <v>0</v>
      </c>
      <c r="AB55" s="417">
        <f t="shared" ca="1" si="61"/>
        <v>0</v>
      </c>
      <c r="AC55" s="417">
        <f t="shared" ca="1" si="61"/>
        <v>0</v>
      </c>
      <c r="AD55" s="417">
        <f t="shared" ca="1" si="61"/>
        <v>0</v>
      </c>
      <c r="AE55" s="417">
        <f t="shared" ca="1" si="61"/>
        <v>0</v>
      </c>
      <c r="AF55" s="417">
        <f t="shared" ca="1" si="61"/>
        <v>0</v>
      </c>
      <c r="AG55" s="417">
        <f t="shared" ca="1" si="61"/>
        <v>0</v>
      </c>
      <c r="AH55" s="417">
        <f t="shared" ca="1" si="61"/>
        <v>0</v>
      </c>
      <c r="AI55" s="417">
        <f t="shared" ca="1" si="61"/>
        <v>0</v>
      </c>
      <c r="AJ55" s="417">
        <f t="shared" ca="1" si="61"/>
        <v>0</v>
      </c>
      <c r="AK55" s="417">
        <f t="shared" ca="1" si="61"/>
        <v>0</v>
      </c>
      <c r="AL55" s="417">
        <f t="shared" ca="1" si="61"/>
        <v>0</v>
      </c>
      <c r="AM55" s="417">
        <f t="shared" ca="1" si="61"/>
        <v>0</v>
      </c>
      <c r="AN55" s="417">
        <f t="shared" ca="1" si="61"/>
        <v>0</v>
      </c>
      <c r="AO55" s="417">
        <f t="shared" ca="1" si="61"/>
        <v>0</v>
      </c>
      <c r="AP55" s="417">
        <f t="shared" ca="1" si="61"/>
        <v>0</v>
      </c>
      <c r="AQ55" s="417">
        <f t="shared" ca="1" si="61"/>
        <v>0</v>
      </c>
      <c r="AR55" s="417">
        <f t="shared" ref="AR55:BW55" ca="1" si="62">-IF(AR48=0,0,((1+AR$30)*$E55*$E49))</f>
        <v>0</v>
      </c>
      <c r="AS55" s="417">
        <f t="shared" ca="1" si="62"/>
        <v>0</v>
      </c>
      <c r="AT55" s="417">
        <f t="shared" ca="1" si="62"/>
        <v>0</v>
      </c>
      <c r="AU55" s="417">
        <f t="shared" ca="1" si="62"/>
        <v>0</v>
      </c>
      <c r="AV55" s="417">
        <f t="shared" ca="1" si="62"/>
        <v>0</v>
      </c>
      <c r="AW55" s="417">
        <f t="shared" ca="1" si="62"/>
        <v>0</v>
      </c>
      <c r="AX55" s="417">
        <f t="shared" ca="1" si="62"/>
        <v>0</v>
      </c>
      <c r="AY55" s="417">
        <f t="shared" ca="1" si="62"/>
        <v>0</v>
      </c>
      <c r="AZ55" s="417">
        <f t="shared" ca="1" si="62"/>
        <v>0</v>
      </c>
      <c r="BA55" s="417">
        <f t="shared" ca="1" si="62"/>
        <v>0</v>
      </c>
      <c r="BB55" s="417">
        <f t="shared" ca="1" si="62"/>
        <v>0</v>
      </c>
      <c r="BC55" s="417">
        <f t="shared" ca="1" si="62"/>
        <v>0</v>
      </c>
      <c r="BD55" s="417">
        <f t="shared" ca="1" si="62"/>
        <v>0</v>
      </c>
      <c r="BE55" s="417">
        <f t="shared" ca="1" si="62"/>
        <v>0</v>
      </c>
      <c r="BF55" s="417">
        <f t="shared" ca="1" si="62"/>
        <v>0</v>
      </c>
      <c r="BG55" s="417">
        <f t="shared" ca="1" si="62"/>
        <v>0</v>
      </c>
      <c r="BH55" s="417">
        <f t="shared" ca="1" si="62"/>
        <v>0</v>
      </c>
      <c r="BI55" s="417">
        <f t="shared" ca="1" si="62"/>
        <v>0</v>
      </c>
      <c r="BJ55" s="417">
        <f t="shared" ca="1" si="62"/>
        <v>0</v>
      </c>
      <c r="BK55" s="417">
        <f t="shared" ca="1" si="62"/>
        <v>0</v>
      </c>
      <c r="BL55" s="417">
        <f t="shared" ca="1" si="62"/>
        <v>0</v>
      </c>
      <c r="BM55" s="417">
        <f t="shared" ca="1" si="62"/>
        <v>0</v>
      </c>
      <c r="BN55" s="417">
        <f t="shared" ca="1" si="62"/>
        <v>0</v>
      </c>
      <c r="BO55" s="417">
        <f t="shared" ca="1" si="62"/>
        <v>0</v>
      </c>
      <c r="BP55" s="417">
        <f t="shared" ca="1" si="62"/>
        <v>0</v>
      </c>
      <c r="BQ55" s="417">
        <f t="shared" ca="1" si="62"/>
        <v>0</v>
      </c>
      <c r="BR55" s="417">
        <f t="shared" ca="1" si="62"/>
        <v>0</v>
      </c>
      <c r="BS55" s="417">
        <f t="shared" ca="1" si="62"/>
        <v>0</v>
      </c>
      <c r="BT55" s="417">
        <f t="shared" ca="1" si="62"/>
        <v>0</v>
      </c>
      <c r="BU55" s="417">
        <f t="shared" ca="1" si="62"/>
        <v>0</v>
      </c>
      <c r="BV55" s="417">
        <f t="shared" ca="1" si="62"/>
        <v>0</v>
      </c>
      <c r="BW55" s="417">
        <f t="shared" ca="1" si="62"/>
        <v>0</v>
      </c>
      <c r="BX55" s="417">
        <f t="shared" ref="BX55:DC55" ca="1" si="63">-IF(BX48=0,0,((1+BX$30)*$E55*$E49))</f>
        <v>0</v>
      </c>
      <c r="BY55" s="417">
        <f t="shared" ca="1" si="63"/>
        <v>0</v>
      </c>
      <c r="BZ55" s="417">
        <f t="shared" ca="1" si="63"/>
        <v>0</v>
      </c>
      <c r="CA55" s="417">
        <f t="shared" ca="1" si="63"/>
        <v>0</v>
      </c>
      <c r="CB55" s="417">
        <f t="shared" ca="1" si="63"/>
        <v>0</v>
      </c>
      <c r="CC55" s="417">
        <f t="shared" ca="1" si="63"/>
        <v>0</v>
      </c>
      <c r="CD55" s="417">
        <f t="shared" ca="1" si="63"/>
        <v>0</v>
      </c>
      <c r="CE55" s="417">
        <f t="shared" ca="1" si="63"/>
        <v>0</v>
      </c>
      <c r="CF55" s="417">
        <f t="shared" ca="1" si="63"/>
        <v>0</v>
      </c>
      <c r="CG55" s="417">
        <f t="shared" ca="1" si="63"/>
        <v>0</v>
      </c>
      <c r="CH55" s="417">
        <f t="shared" ca="1" si="63"/>
        <v>0</v>
      </c>
      <c r="CI55" s="417">
        <f t="shared" ca="1" si="63"/>
        <v>0</v>
      </c>
      <c r="CJ55" s="417">
        <f t="shared" ca="1" si="63"/>
        <v>0</v>
      </c>
      <c r="CK55" s="417">
        <f t="shared" ca="1" si="63"/>
        <v>0</v>
      </c>
      <c r="CL55" s="417">
        <f t="shared" ca="1" si="63"/>
        <v>0</v>
      </c>
      <c r="CM55" s="417">
        <f t="shared" ca="1" si="63"/>
        <v>0</v>
      </c>
      <c r="CN55" s="417">
        <f t="shared" ca="1" si="63"/>
        <v>0</v>
      </c>
      <c r="CO55" s="417">
        <f t="shared" ca="1" si="63"/>
        <v>0</v>
      </c>
      <c r="CP55" s="417">
        <f t="shared" ca="1" si="63"/>
        <v>0</v>
      </c>
      <c r="CQ55" s="417">
        <f t="shared" ca="1" si="63"/>
        <v>0</v>
      </c>
      <c r="CR55" s="417">
        <f t="shared" ca="1" si="63"/>
        <v>0</v>
      </c>
      <c r="CS55" s="417">
        <f t="shared" ca="1" si="63"/>
        <v>0</v>
      </c>
      <c r="CT55" s="417">
        <f t="shared" ca="1" si="63"/>
        <v>0</v>
      </c>
      <c r="CU55" s="417">
        <f t="shared" ca="1" si="63"/>
        <v>0</v>
      </c>
      <c r="CV55" s="417">
        <f t="shared" ca="1" si="63"/>
        <v>0</v>
      </c>
      <c r="CW55" s="417">
        <f t="shared" ca="1" si="63"/>
        <v>0</v>
      </c>
      <c r="CX55" s="417">
        <f t="shared" ca="1" si="63"/>
        <v>0</v>
      </c>
      <c r="CY55" s="417">
        <f t="shared" ca="1" si="63"/>
        <v>0</v>
      </c>
      <c r="CZ55" s="417">
        <f t="shared" ca="1" si="63"/>
        <v>0</v>
      </c>
      <c r="DA55" s="417">
        <f t="shared" ca="1" si="63"/>
        <v>0</v>
      </c>
      <c r="DB55" s="417">
        <f t="shared" ca="1" si="63"/>
        <v>0</v>
      </c>
      <c r="DC55" s="417">
        <f t="shared" ca="1" si="63"/>
        <v>0</v>
      </c>
      <c r="DD55" s="417">
        <f t="shared" ref="DD55:EA55" ca="1" si="64">-IF(DD48=0,0,((1+DD$30)*$E55*$E49))</f>
        <v>0</v>
      </c>
      <c r="DE55" s="417">
        <f t="shared" ca="1" si="64"/>
        <v>0</v>
      </c>
      <c r="DF55" s="417">
        <f t="shared" ca="1" si="64"/>
        <v>0</v>
      </c>
      <c r="DG55" s="417">
        <f t="shared" ca="1" si="64"/>
        <v>0</v>
      </c>
      <c r="DH55" s="417">
        <f t="shared" ca="1" si="64"/>
        <v>0</v>
      </c>
      <c r="DI55" s="417">
        <f t="shared" ca="1" si="64"/>
        <v>0</v>
      </c>
      <c r="DJ55" s="417">
        <f t="shared" ca="1" si="64"/>
        <v>0</v>
      </c>
      <c r="DK55" s="417">
        <f t="shared" ca="1" si="64"/>
        <v>0</v>
      </c>
      <c r="DL55" s="417">
        <f t="shared" ca="1" si="64"/>
        <v>0</v>
      </c>
      <c r="DM55" s="417">
        <f t="shared" ca="1" si="64"/>
        <v>0</v>
      </c>
      <c r="DN55" s="417">
        <f t="shared" ca="1" si="64"/>
        <v>0</v>
      </c>
      <c r="DO55" s="417">
        <f t="shared" ca="1" si="64"/>
        <v>0</v>
      </c>
      <c r="DP55" s="417">
        <f t="shared" ca="1" si="64"/>
        <v>0</v>
      </c>
      <c r="DQ55" s="417">
        <f t="shared" ca="1" si="64"/>
        <v>0</v>
      </c>
      <c r="DR55" s="417">
        <f t="shared" ca="1" si="64"/>
        <v>0</v>
      </c>
      <c r="DS55" s="417">
        <f t="shared" ca="1" si="64"/>
        <v>0</v>
      </c>
      <c r="DT55" s="417">
        <f t="shared" ca="1" si="64"/>
        <v>0</v>
      </c>
      <c r="DU55" s="417">
        <f t="shared" ca="1" si="64"/>
        <v>0</v>
      </c>
      <c r="DV55" s="417">
        <f t="shared" ca="1" si="64"/>
        <v>0</v>
      </c>
      <c r="DW55" s="417">
        <f t="shared" ca="1" si="64"/>
        <v>0</v>
      </c>
      <c r="DX55" s="417">
        <f t="shared" ca="1" si="64"/>
        <v>0</v>
      </c>
      <c r="DY55" s="417">
        <f t="shared" ca="1" si="64"/>
        <v>0</v>
      </c>
      <c r="DZ55" s="417">
        <f t="shared" ca="1" si="64"/>
        <v>0</v>
      </c>
      <c r="EA55" s="417">
        <f t="shared" ca="1" si="64"/>
        <v>0</v>
      </c>
      <c r="EB55" s="389"/>
      <c r="EC55" s="392" t="s">
        <v>65</v>
      </c>
    </row>
    <row r="56" spans="1:133" s="390" customFormat="1" ht="15" hidden="1" customHeight="1" outlineLevel="1">
      <c r="A56" s="389"/>
      <c r="B56" s="389"/>
      <c r="C56" s="389"/>
      <c r="D56" s="410" t="s">
        <v>29</v>
      </c>
      <c r="E56" s="411"/>
      <c r="F56" s="411"/>
      <c r="G56" s="411"/>
      <c r="H56" s="411"/>
      <c r="I56" s="797">
        <f t="shared" ref="I56" ca="1" si="65">SUM(K56:EA56)</f>
        <v>0</v>
      </c>
      <c r="J56" s="701"/>
      <c r="K56" s="411"/>
      <c r="L56" s="411">
        <f ca="1">L53+L54+L55</f>
        <v>0</v>
      </c>
      <c r="M56" s="411">
        <f t="shared" ref="M56:BX56" ca="1" si="66">M53+M54+M55</f>
        <v>0</v>
      </c>
      <c r="N56" s="411">
        <f t="shared" ca="1" si="66"/>
        <v>0</v>
      </c>
      <c r="O56" s="411">
        <f t="shared" ca="1" si="66"/>
        <v>0</v>
      </c>
      <c r="P56" s="411">
        <f t="shared" ca="1" si="66"/>
        <v>0</v>
      </c>
      <c r="Q56" s="411">
        <f t="shared" ca="1" si="66"/>
        <v>0</v>
      </c>
      <c r="R56" s="411">
        <f t="shared" ca="1" si="66"/>
        <v>0</v>
      </c>
      <c r="S56" s="411">
        <f t="shared" ca="1" si="66"/>
        <v>0</v>
      </c>
      <c r="T56" s="411">
        <f t="shared" ca="1" si="66"/>
        <v>0</v>
      </c>
      <c r="U56" s="411">
        <f t="shared" ca="1" si="66"/>
        <v>0</v>
      </c>
      <c r="V56" s="411">
        <f t="shared" ca="1" si="66"/>
        <v>0</v>
      </c>
      <c r="W56" s="411">
        <f t="shared" ca="1" si="66"/>
        <v>0</v>
      </c>
      <c r="X56" s="411">
        <f t="shared" ca="1" si="66"/>
        <v>0</v>
      </c>
      <c r="Y56" s="411">
        <f t="shared" ca="1" si="66"/>
        <v>0</v>
      </c>
      <c r="Z56" s="411">
        <f t="shared" ca="1" si="66"/>
        <v>0</v>
      </c>
      <c r="AA56" s="411">
        <f t="shared" ca="1" si="66"/>
        <v>0</v>
      </c>
      <c r="AB56" s="411">
        <f t="shared" ca="1" si="66"/>
        <v>0</v>
      </c>
      <c r="AC56" s="411">
        <f t="shared" ca="1" si="66"/>
        <v>0</v>
      </c>
      <c r="AD56" s="411">
        <f t="shared" ca="1" si="66"/>
        <v>0</v>
      </c>
      <c r="AE56" s="411">
        <f t="shared" ca="1" si="66"/>
        <v>0</v>
      </c>
      <c r="AF56" s="411">
        <f t="shared" ca="1" si="66"/>
        <v>0</v>
      </c>
      <c r="AG56" s="411">
        <f t="shared" ca="1" si="66"/>
        <v>0</v>
      </c>
      <c r="AH56" s="411">
        <f t="shared" ca="1" si="66"/>
        <v>0</v>
      </c>
      <c r="AI56" s="411">
        <f t="shared" ca="1" si="66"/>
        <v>0</v>
      </c>
      <c r="AJ56" s="411">
        <f t="shared" ca="1" si="66"/>
        <v>0</v>
      </c>
      <c r="AK56" s="411">
        <f t="shared" ca="1" si="66"/>
        <v>0</v>
      </c>
      <c r="AL56" s="411">
        <f t="shared" ca="1" si="66"/>
        <v>0</v>
      </c>
      <c r="AM56" s="411">
        <f t="shared" ca="1" si="66"/>
        <v>0</v>
      </c>
      <c r="AN56" s="411">
        <f t="shared" ca="1" si="66"/>
        <v>0</v>
      </c>
      <c r="AO56" s="411">
        <f t="shared" ca="1" si="66"/>
        <v>0</v>
      </c>
      <c r="AP56" s="411">
        <f t="shared" ca="1" si="66"/>
        <v>0</v>
      </c>
      <c r="AQ56" s="411">
        <f t="shared" ca="1" si="66"/>
        <v>0</v>
      </c>
      <c r="AR56" s="411">
        <f t="shared" ca="1" si="66"/>
        <v>0</v>
      </c>
      <c r="AS56" s="411">
        <f t="shared" ca="1" si="66"/>
        <v>0</v>
      </c>
      <c r="AT56" s="411">
        <f t="shared" ca="1" si="66"/>
        <v>0</v>
      </c>
      <c r="AU56" s="411">
        <f t="shared" ca="1" si="66"/>
        <v>0</v>
      </c>
      <c r="AV56" s="411">
        <f t="shared" ca="1" si="66"/>
        <v>0</v>
      </c>
      <c r="AW56" s="411">
        <f t="shared" ca="1" si="66"/>
        <v>0</v>
      </c>
      <c r="AX56" s="411">
        <f t="shared" ca="1" si="66"/>
        <v>0</v>
      </c>
      <c r="AY56" s="411">
        <f t="shared" ca="1" si="66"/>
        <v>0</v>
      </c>
      <c r="AZ56" s="411">
        <f t="shared" ca="1" si="66"/>
        <v>0</v>
      </c>
      <c r="BA56" s="411">
        <f t="shared" ca="1" si="66"/>
        <v>0</v>
      </c>
      <c r="BB56" s="411">
        <f t="shared" ca="1" si="66"/>
        <v>0</v>
      </c>
      <c r="BC56" s="411">
        <f t="shared" ca="1" si="66"/>
        <v>0</v>
      </c>
      <c r="BD56" s="411">
        <f t="shared" ca="1" si="66"/>
        <v>0</v>
      </c>
      <c r="BE56" s="411">
        <f t="shared" ca="1" si="66"/>
        <v>0</v>
      </c>
      <c r="BF56" s="411">
        <f t="shared" ca="1" si="66"/>
        <v>0</v>
      </c>
      <c r="BG56" s="411">
        <f t="shared" ca="1" si="66"/>
        <v>0</v>
      </c>
      <c r="BH56" s="411">
        <f t="shared" ca="1" si="66"/>
        <v>0</v>
      </c>
      <c r="BI56" s="411">
        <f t="shared" ca="1" si="66"/>
        <v>0</v>
      </c>
      <c r="BJ56" s="411">
        <f t="shared" ca="1" si="66"/>
        <v>0</v>
      </c>
      <c r="BK56" s="411">
        <f t="shared" ca="1" si="66"/>
        <v>0</v>
      </c>
      <c r="BL56" s="411">
        <f t="shared" ca="1" si="66"/>
        <v>0</v>
      </c>
      <c r="BM56" s="411">
        <f t="shared" ca="1" si="66"/>
        <v>0</v>
      </c>
      <c r="BN56" s="411">
        <f t="shared" ca="1" si="66"/>
        <v>0</v>
      </c>
      <c r="BO56" s="411">
        <f t="shared" ca="1" si="66"/>
        <v>0</v>
      </c>
      <c r="BP56" s="411">
        <f t="shared" ca="1" si="66"/>
        <v>0</v>
      </c>
      <c r="BQ56" s="411">
        <f t="shared" ca="1" si="66"/>
        <v>0</v>
      </c>
      <c r="BR56" s="411">
        <f t="shared" ca="1" si="66"/>
        <v>0</v>
      </c>
      <c r="BS56" s="411">
        <f t="shared" ca="1" si="66"/>
        <v>0</v>
      </c>
      <c r="BT56" s="411">
        <f t="shared" ca="1" si="66"/>
        <v>0</v>
      </c>
      <c r="BU56" s="411">
        <f t="shared" ca="1" si="66"/>
        <v>0</v>
      </c>
      <c r="BV56" s="411">
        <f t="shared" ca="1" si="66"/>
        <v>0</v>
      </c>
      <c r="BW56" s="411">
        <f t="shared" ca="1" si="66"/>
        <v>0</v>
      </c>
      <c r="BX56" s="411">
        <f t="shared" ca="1" si="66"/>
        <v>0</v>
      </c>
      <c r="BY56" s="411">
        <f t="shared" ref="BY56:EA56" ca="1" si="67">BY53+BY54+BY55</f>
        <v>0</v>
      </c>
      <c r="BZ56" s="411">
        <f t="shared" ca="1" si="67"/>
        <v>0</v>
      </c>
      <c r="CA56" s="411">
        <f t="shared" ca="1" si="67"/>
        <v>0</v>
      </c>
      <c r="CB56" s="411">
        <f t="shared" ca="1" si="67"/>
        <v>0</v>
      </c>
      <c r="CC56" s="411">
        <f t="shared" ca="1" si="67"/>
        <v>0</v>
      </c>
      <c r="CD56" s="411">
        <f t="shared" ca="1" si="67"/>
        <v>0</v>
      </c>
      <c r="CE56" s="411">
        <f t="shared" ca="1" si="67"/>
        <v>0</v>
      </c>
      <c r="CF56" s="411">
        <f t="shared" ca="1" si="67"/>
        <v>0</v>
      </c>
      <c r="CG56" s="411">
        <f t="shared" ca="1" si="67"/>
        <v>0</v>
      </c>
      <c r="CH56" s="411">
        <f t="shared" ca="1" si="67"/>
        <v>0</v>
      </c>
      <c r="CI56" s="411">
        <f t="shared" ca="1" si="67"/>
        <v>0</v>
      </c>
      <c r="CJ56" s="411">
        <f t="shared" ca="1" si="67"/>
        <v>0</v>
      </c>
      <c r="CK56" s="411">
        <f t="shared" ca="1" si="67"/>
        <v>0</v>
      </c>
      <c r="CL56" s="411">
        <f t="shared" ca="1" si="67"/>
        <v>0</v>
      </c>
      <c r="CM56" s="411">
        <f t="shared" ca="1" si="67"/>
        <v>0</v>
      </c>
      <c r="CN56" s="411">
        <f t="shared" ca="1" si="67"/>
        <v>0</v>
      </c>
      <c r="CO56" s="411">
        <f t="shared" ca="1" si="67"/>
        <v>0</v>
      </c>
      <c r="CP56" s="411">
        <f t="shared" ca="1" si="67"/>
        <v>0</v>
      </c>
      <c r="CQ56" s="411">
        <f t="shared" ca="1" si="67"/>
        <v>0</v>
      </c>
      <c r="CR56" s="411">
        <f t="shared" ca="1" si="67"/>
        <v>0</v>
      </c>
      <c r="CS56" s="411">
        <f t="shared" ca="1" si="67"/>
        <v>0</v>
      </c>
      <c r="CT56" s="411">
        <f t="shared" ca="1" si="67"/>
        <v>0</v>
      </c>
      <c r="CU56" s="411">
        <f t="shared" ca="1" si="67"/>
        <v>0</v>
      </c>
      <c r="CV56" s="411">
        <f t="shared" ca="1" si="67"/>
        <v>0</v>
      </c>
      <c r="CW56" s="411">
        <f t="shared" ca="1" si="67"/>
        <v>0</v>
      </c>
      <c r="CX56" s="411">
        <f t="shared" ca="1" si="67"/>
        <v>0</v>
      </c>
      <c r="CY56" s="411">
        <f t="shared" ca="1" si="67"/>
        <v>0</v>
      </c>
      <c r="CZ56" s="411">
        <f t="shared" ca="1" si="67"/>
        <v>0</v>
      </c>
      <c r="DA56" s="411">
        <f t="shared" ca="1" si="67"/>
        <v>0</v>
      </c>
      <c r="DB56" s="411">
        <f t="shared" ca="1" si="67"/>
        <v>0</v>
      </c>
      <c r="DC56" s="411">
        <f t="shared" ca="1" si="67"/>
        <v>0</v>
      </c>
      <c r="DD56" s="411">
        <f t="shared" ca="1" si="67"/>
        <v>0</v>
      </c>
      <c r="DE56" s="411">
        <f t="shared" ca="1" si="67"/>
        <v>0</v>
      </c>
      <c r="DF56" s="411">
        <f t="shared" ca="1" si="67"/>
        <v>0</v>
      </c>
      <c r="DG56" s="411">
        <f t="shared" ca="1" si="67"/>
        <v>0</v>
      </c>
      <c r="DH56" s="411">
        <f t="shared" ca="1" si="67"/>
        <v>0</v>
      </c>
      <c r="DI56" s="411">
        <f t="shared" ca="1" si="67"/>
        <v>0</v>
      </c>
      <c r="DJ56" s="411">
        <f t="shared" ca="1" si="67"/>
        <v>0</v>
      </c>
      <c r="DK56" s="411">
        <f t="shared" ca="1" si="67"/>
        <v>0</v>
      </c>
      <c r="DL56" s="411">
        <f t="shared" ca="1" si="67"/>
        <v>0</v>
      </c>
      <c r="DM56" s="411">
        <f t="shared" ca="1" si="67"/>
        <v>0</v>
      </c>
      <c r="DN56" s="411">
        <f t="shared" ca="1" si="67"/>
        <v>0</v>
      </c>
      <c r="DO56" s="411">
        <f t="shared" ca="1" si="67"/>
        <v>0</v>
      </c>
      <c r="DP56" s="411">
        <f t="shared" ca="1" si="67"/>
        <v>0</v>
      </c>
      <c r="DQ56" s="411">
        <f t="shared" ca="1" si="67"/>
        <v>0</v>
      </c>
      <c r="DR56" s="411">
        <f t="shared" ca="1" si="67"/>
        <v>0</v>
      </c>
      <c r="DS56" s="411">
        <f t="shared" ca="1" si="67"/>
        <v>0</v>
      </c>
      <c r="DT56" s="411">
        <f t="shared" ca="1" si="67"/>
        <v>0</v>
      </c>
      <c r="DU56" s="411">
        <f t="shared" ca="1" si="67"/>
        <v>0</v>
      </c>
      <c r="DV56" s="411">
        <f t="shared" ca="1" si="67"/>
        <v>0</v>
      </c>
      <c r="DW56" s="411">
        <f t="shared" ca="1" si="67"/>
        <v>0</v>
      </c>
      <c r="DX56" s="411">
        <f t="shared" ca="1" si="67"/>
        <v>0</v>
      </c>
      <c r="DY56" s="411">
        <f t="shared" ca="1" si="67"/>
        <v>0</v>
      </c>
      <c r="DZ56" s="411">
        <f t="shared" ca="1" si="67"/>
        <v>0</v>
      </c>
      <c r="EA56" s="411">
        <f t="shared" ca="1" si="67"/>
        <v>0</v>
      </c>
      <c r="EB56" s="389"/>
      <c r="EC56" s="392" t="s">
        <v>65</v>
      </c>
    </row>
    <row r="57" spans="1:133" s="390" customFormat="1" hidden="1" outlineLevel="1">
      <c r="A57" s="389"/>
      <c r="C57" s="389"/>
      <c r="D57" s="1000" t="s">
        <v>30</v>
      </c>
      <c r="E57" s="415"/>
      <c r="F57" s="701"/>
      <c r="G57" s="749"/>
      <c r="H57" s="701"/>
      <c r="I57" s="799">
        <f ca="1">SUM(K57:EA57)</f>
        <v>0</v>
      </c>
      <c r="J57" s="701"/>
      <c r="K57" s="417"/>
      <c r="L57" s="417">
        <f ca="1">-IFERROR(IF(L48&gt;0,Assumptions!$D$55*Assumptions!$J$78,0)/12,0)</f>
        <v>0</v>
      </c>
      <c r="M57" s="417">
        <f ca="1">-IFERROR(IF(M48&gt;0,Assumptions!$D$55*Assumptions!$J$78,0)/12,0)</f>
        <v>0</v>
      </c>
      <c r="N57" s="417">
        <f ca="1">-IFERROR(IF(N48&gt;0,Assumptions!$D$55*Assumptions!$J$78,0)/12,0)</f>
        <v>0</v>
      </c>
      <c r="O57" s="417">
        <f ca="1">-IFERROR(IF(O48&gt;0,Assumptions!$D$55*Assumptions!$J$78,0)/12,0)</f>
        <v>0</v>
      </c>
      <c r="P57" s="417">
        <f ca="1">-IFERROR(IF(P48&gt;0,Assumptions!$D$55*Assumptions!$J$78,0)/12,0)</f>
        <v>0</v>
      </c>
      <c r="Q57" s="417">
        <f ca="1">-IFERROR(IF(Q48&gt;0,Assumptions!$D$55*Assumptions!$J$78,0)/12,0)</f>
        <v>0</v>
      </c>
      <c r="R57" s="417">
        <f ca="1">-IFERROR(IF(R48&gt;0,Assumptions!$D$55*Assumptions!$J$78,0)/12,0)</f>
        <v>0</v>
      </c>
      <c r="S57" s="417">
        <f ca="1">-IFERROR(IF(S48&gt;0,Assumptions!$D$55*Assumptions!$J$78,0)/12,0)</f>
        <v>0</v>
      </c>
      <c r="T57" s="417">
        <f ca="1">-IFERROR(IF(T48&gt;0,Assumptions!$D$55*Assumptions!$J$78,0)/12,0)</f>
        <v>0</v>
      </c>
      <c r="U57" s="417">
        <f ca="1">-IFERROR(IF(U48&gt;0,Assumptions!$D$55*Assumptions!$J$78,0)/12,0)</f>
        <v>0</v>
      </c>
      <c r="V57" s="417">
        <f ca="1">-IFERROR(IF(V48&gt;0,Assumptions!$D$55*Assumptions!$J$78,0)/12,0)</f>
        <v>0</v>
      </c>
      <c r="W57" s="417">
        <f ca="1">-IFERROR(IF(W48&gt;0,Assumptions!$D$55*Assumptions!$J$78,0)/12,0)</f>
        <v>0</v>
      </c>
      <c r="X57" s="417">
        <f ca="1">-IFERROR(IF(X48&gt;0,Assumptions!$D$55*Assumptions!$J$78,0)/12,0)</f>
        <v>0</v>
      </c>
      <c r="Y57" s="417">
        <f ca="1">-IFERROR(IF(Y48&gt;0,Assumptions!$D$55*Assumptions!$J$78,0)/12,0)</f>
        <v>0</v>
      </c>
      <c r="Z57" s="417">
        <f ca="1">-IFERROR(IF(Z48&gt;0,Assumptions!$D$55*Assumptions!$J$78,0)/12,0)</f>
        <v>0</v>
      </c>
      <c r="AA57" s="417">
        <f ca="1">-IFERROR(IF(AA48&gt;0,Assumptions!$D$55*Assumptions!$J$78,0)/12,0)</f>
        <v>0</v>
      </c>
      <c r="AB57" s="417">
        <f ca="1">-IFERROR(IF(AB48&gt;0,Assumptions!$D$55*Assumptions!$J$78,0)/12,0)</f>
        <v>0</v>
      </c>
      <c r="AC57" s="417">
        <f ca="1">-IFERROR(IF(AC48&gt;0,Assumptions!$D$55*Assumptions!$J$78,0)/12,0)</f>
        <v>0</v>
      </c>
      <c r="AD57" s="417">
        <f ca="1">-IFERROR(IF(AD48&gt;0,Assumptions!$D$55*Assumptions!$J$78,0)/12,0)</f>
        <v>0</v>
      </c>
      <c r="AE57" s="417">
        <f ca="1">-IFERROR(IF(AE48&gt;0,Assumptions!$D$55*Assumptions!$J$78,0)/12,0)</f>
        <v>0</v>
      </c>
      <c r="AF57" s="417">
        <f ca="1">-IFERROR(IF(AF48&gt;0,Assumptions!$D$55*Assumptions!$J$78,0)/12,0)</f>
        <v>0</v>
      </c>
      <c r="AG57" s="417">
        <f ca="1">-IFERROR(IF(AG48&gt;0,Assumptions!$D$55*Assumptions!$J$78,0)/12,0)</f>
        <v>0</v>
      </c>
      <c r="AH57" s="417">
        <f ca="1">-IFERROR(IF(AH48&gt;0,Assumptions!$D$55*Assumptions!$J$78,0)/12,0)</f>
        <v>0</v>
      </c>
      <c r="AI57" s="417">
        <f ca="1">-IFERROR(IF(AI48&gt;0,Assumptions!$D$55*Assumptions!$J$78,0)/12,0)</f>
        <v>0</v>
      </c>
      <c r="AJ57" s="417">
        <f ca="1">-IFERROR(IF(AJ48&gt;0,Assumptions!$D$55*Assumptions!$J$78,0)/12,0)</f>
        <v>0</v>
      </c>
      <c r="AK57" s="417">
        <f ca="1">-IFERROR(IF(AK48&gt;0,Assumptions!$D$55*Assumptions!$J$78,0)/12,0)</f>
        <v>0</v>
      </c>
      <c r="AL57" s="417">
        <f ca="1">-IFERROR(IF(AL48&gt;0,Assumptions!$D$55*Assumptions!$J$78,0)/12,0)</f>
        <v>0</v>
      </c>
      <c r="AM57" s="417">
        <f ca="1">-IFERROR(IF(AM48&gt;0,Assumptions!$D$55*Assumptions!$J$78,0)/12,0)</f>
        <v>0</v>
      </c>
      <c r="AN57" s="417">
        <f ca="1">-IFERROR(IF(AN48&gt;0,Assumptions!$D$55*Assumptions!$J$78,0)/12,0)</f>
        <v>0</v>
      </c>
      <c r="AO57" s="417">
        <f ca="1">-IFERROR(IF(AO48&gt;0,Assumptions!$D$55*Assumptions!$J$78,0)/12,0)</f>
        <v>0</v>
      </c>
      <c r="AP57" s="417">
        <f ca="1">-IFERROR(IF(AP48&gt;0,Assumptions!$D$55*Assumptions!$J$78,0)/12,0)</f>
        <v>0</v>
      </c>
      <c r="AQ57" s="417">
        <f ca="1">-IFERROR(IF(AQ48&gt;0,Assumptions!$D$55*Assumptions!$J$78,0)/12,0)</f>
        <v>0</v>
      </c>
      <c r="AR57" s="417">
        <f ca="1">-IFERROR(IF(AR48&gt;0,Assumptions!$D$55*Assumptions!$J$78,0)/12,0)</f>
        <v>0</v>
      </c>
      <c r="AS57" s="417">
        <f ca="1">-IFERROR(IF(AS48&gt;0,Assumptions!$D$55*Assumptions!$J$78,0)/12,0)</f>
        <v>0</v>
      </c>
      <c r="AT57" s="417">
        <f ca="1">-IFERROR(IF(AT48&gt;0,Assumptions!$D$55*Assumptions!$J$78,0)/12,0)</f>
        <v>0</v>
      </c>
      <c r="AU57" s="417">
        <f ca="1">-IFERROR(IF(AU48&gt;0,Assumptions!$D$55*Assumptions!$J$78,0)/12,0)</f>
        <v>0</v>
      </c>
      <c r="AV57" s="417">
        <f ca="1">-IFERROR(IF(AV48&gt;0,Assumptions!$D$55*Assumptions!$J$78,0)/12,0)</f>
        <v>0</v>
      </c>
      <c r="AW57" s="417">
        <f ca="1">-IFERROR(IF(AW48&gt;0,Assumptions!$D$55*Assumptions!$J$78,0)/12,0)</f>
        <v>0</v>
      </c>
      <c r="AX57" s="417">
        <f ca="1">-IFERROR(IF(AX48&gt;0,Assumptions!$D$55*Assumptions!$J$78,0)/12,0)</f>
        <v>0</v>
      </c>
      <c r="AY57" s="417">
        <f ca="1">-IFERROR(IF(AY48&gt;0,Assumptions!$D$55*Assumptions!$J$78,0)/12,0)</f>
        <v>0</v>
      </c>
      <c r="AZ57" s="417">
        <f ca="1">-IFERROR(IF(AZ48&gt;0,Assumptions!$D$55*Assumptions!$J$78,0)/12,0)</f>
        <v>0</v>
      </c>
      <c r="BA57" s="417">
        <f ca="1">-IFERROR(IF(BA48&gt;0,Assumptions!$D$55*Assumptions!$J$78,0)/12,0)</f>
        <v>0</v>
      </c>
      <c r="BB57" s="417">
        <f ca="1">-IFERROR(IF(BB48&gt;0,Assumptions!$D$55*Assumptions!$J$78,0)/12,0)</f>
        <v>0</v>
      </c>
      <c r="BC57" s="417">
        <f ca="1">-IFERROR(IF(BC48&gt;0,Assumptions!$D$55*Assumptions!$J$78,0)/12,0)</f>
        <v>0</v>
      </c>
      <c r="BD57" s="417">
        <f ca="1">-IFERROR(IF(BD48&gt;0,Assumptions!$D$55*Assumptions!$J$78,0)/12,0)</f>
        <v>0</v>
      </c>
      <c r="BE57" s="417">
        <f ca="1">-IFERROR(IF(BE48&gt;0,Assumptions!$D$55*Assumptions!$J$78,0)/12,0)</f>
        <v>0</v>
      </c>
      <c r="BF57" s="417">
        <f ca="1">-IFERROR(IF(BF48&gt;0,Assumptions!$D$55*Assumptions!$J$78,0)/12,0)</f>
        <v>0</v>
      </c>
      <c r="BG57" s="417">
        <f ca="1">-IFERROR(IF(BG48&gt;0,Assumptions!$D$55*Assumptions!$J$78,0)/12,0)</f>
        <v>0</v>
      </c>
      <c r="BH57" s="417">
        <f ca="1">-IFERROR(IF(BH48&gt;0,Assumptions!$D$55*Assumptions!$J$78,0)/12,0)</f>
        <v>0</v>
      </c>
      <c r="BI57" s="417">
        <f ca="1">-IFERROR(IF(BI48&gt;0,Assumptions!$D$55*Assumptions!$J$78,0)/12,0)</f>
        <v>0</v>
      </c>
      <c r="BJ57" s="417">
        <f ca="1">-IFERROR(IF(BJ48&gt;0,Assumptions!$D$55*Assumptions!$J$78,0)/12,0)</f>
        <v>0</v>
      </c>
      <c r="BK57" s="417">
        <f ca="1">-IFERROR(IF(BK48&gt;0,Assumptions!$D$55*Assumptions!$J$78,0)/12,0)</f>
        <v>0</v>
      </c>
      <c r="BL57" s="417">
        <f ca="1">-IFERROR(IF(BL48&gt;0,Assumptions!$D$55*Assumptions!$J$78,0)/12,0)</f>
        <v>0</v>
      </c>
      <c r="BM57" s="417">
        <f ca="1">-IFERROR(IF(BM48&gt;0,Assumptions!$D$55*Assumptions!$J$78,0)/12,0)</f>
        <v>0</v>
      </c>
      <c r="BN57" s="417">
        <f ca="1">-IFERROR(IF(BN48&gt;0,Assumptions!$D$55*Assumptions!$J$78,0)/12,0)</f>
        <v>0</v>
      </c>
      <c r="BO57" s="417">
        <f ca="1">-IFERROR(IF(BO48&gt;0,Assumptions!$D$55*Assumptions!$J$78,0)/12,0)</f>
        <v>0</v>
      </c>
      <c r="BP57" s="417">
        <f ca="1">-IFERROR(IF(BP48&gt;0,Assumptions!$D$55*Assumptions!$J$78,0)/12,0)</f>
        <v>0</v>
      </c>
      <c r="BQ57" s="417">
        <f ca="1">-IFERROR(IF(BQ48&gt;0,Assumptions!$D$55*Assumptions!$J$78,0)/12,0)</f>
        <v>0</v>
      </c>
      <c r="BR57" s="417">
        <f ca="1">-IFERROR(IF(BR48&gt;0,Assumptions!$D$55*Assumptions!$J$78,0)/12,0)</f>
        <v>0</v>
      </c>
      <c r="BS57" s="417">
        <f ca="1">-IFERROR(IF(BS48&gt;0,Assumptions!$D$55*Assumptions!$J$78,0)/12,0)</f>
        <v>0</v>
      </c>
      <c r="BT57" s="417">
        <f ca="1">-IFERROR(IF(BT48&gt;0,Assumptions!$D$55*Assumptions!$J$78,0)/12,0)</f>
        <v>0</v>
      </c>
      <c r="BU57" s="417">
        <f ca="1">-IFERROR(IF(BU48&gt;0,Assumptions!$D$55*Assumptions!$J$78,0)/12,0)</f>
        <v>0</v>
      </c>
      <c r="BV57" s="417">
        <f ca="1">-IFERROR(IF(BV48&gt;0,Assumptions!$D$55*Assumptions!$J$78,0)/12,0)</f>
        <v>0</v>
      </c>
      <c r="BW57" s="417">
        <f ca="1">-IFERROR(IF(BW48&gt;0,Assumptions!$D$55*Assumptions!$J$78,0)/12,0)</f>
        <v>0</v>
      </c>
      <c r="BX57" s="417">
        <f ca="1">-IFERROR(IF(BX48&gt;0,Assumptions!$D$55*Assumptions!$J$78,0)/12,0)</f>
        <v>0</v>
      </c>
      <c r="BY57" s="417">
        <f ca="1">-IFERROR(IF(BY48&gt;0,Assumptions!$D$55*Assumptions!$J$78,0)/12,0)</f>
        <v>0</v>
      </c>
      <c r="BZ57" s="417">
        <f ca="1">-IFERROR(IF(BZ48&gt;0,Assumptions!$D$55*Assumptions!$J$78,0)/12,0)</f>
        <v>0</v>
      </c>
      <c r="CA57" s="417">
        <f ca="1">-IFERROR(IF(CA48&gt;0,Assumptions!$D$55*Assumptions!$J$78,0)/12,0)</f>
        <v>0</v>
      </c>
      <c r="CB57" s="417">
        <f ca="1">-IFERROR(IF(CB48&gt;0,Assumptions!$D$55*Assumptions!$J$78,0)/12,0)</f>
        <v>0</v>
      </c>
      <c r="CC57" s="417">
        <f ca="1">-IFERROR(IF(CC48&gt;0,Assumptions!$D$55*Assumptions!$J$78,0)/12,0)</f>
        <v>0</v>
      </c>
      <c r="CD57" s="417">
        <f ca="1">-IFERROR(IF(CD48&gt;0,Assumptions!$D$55*Assumptions!$J$78,0)/12,0)</f>
        <v>0</v>
      </c>
      <c r="CE57" s="417">
        <f ca="1">-IFERROR(IF(CE48&gt;0,Assumptions!$D$55*Assumptions!$J$78,0)/12,0)</f>
        <v>0</v>
      </c>
      <c r="CF57" s="417">
        <f ca="1">-IFERROR(IF(CF48&gt;0,Assumptions!$D$55*Assumptions!$J$78,0)/12,0)</f>
        <v>0</v>
      </c>
      <c r="CG57" s="417">
        <f ca="1">-IFERROR(IF(CG48&gt;0,Assumptions!$D$55*Assumptions!$J$78,0)/12,0)</f>
        <v>0</v>
      </c>
      <c r="CH57" s="417">
        <f ca="1">-IFERROR(IF(CH48&gt;0,Assumptions!$D$55*Assumptions!$J$78,0)/12,0)</f>
        <v>0</v>
      </c>
      <c r="CI57" s="417">
        <f ca="1">-IFERROR(IF(CI48&gt;0,Assumptions!$D$55*Assumptions!$J$78,0)/12,0)</f>
        <v>0</v>
      </c>
      <c r="CJ57" s="417">
        <f ca="1">-IFERROR(IF(CJ48&gt;0,Assumptions!$D$55*Assumptions!$J$78,0)/12,0)</f>
        <v>0</v>
      </c>
      <c r="CK57" s="417">
        <f ca="1">-IFERROR(IF(CK48&gt;0,Assumptions!$D$55*Assumptions!$J$78,0)/12,0)</f>
        <v>0</v>
      </c>
      <c r="CL57" s="417">
        <f ca="1">-IFERROR(IF(CL48&gt;0,Assumptions!$D$55*Assumptions!$J$78,0)/12,0)</f>
        <v>0</v>
      </c>
      <c r="CM57" s="417">
        <f ca="1">-IFERROR(IF(CM48&gt;0,Assumptions!$D$55*Assumptions!$J$78,0)/12,0)</f>
        <v>0</v>
      </c>
      <c r="CN57" s="417">
        <f ca="1">-IFERROR(IF(CN48&gt;0,Assumptions!$D$55*Assumptions!$J$78,0)/12,0)</f>
        <v>0</v>
      </c>
      <c r="CO57" s="417">
        <f ca="1">-IFERROR(IF(CO48&gt;0,Assumptions!$D$55*Assumptions!$J$78,0)/12,0)</f>
        <v>0</v>
      </c>
      <c r="CP57" s="417">
        <f ca="1">-IFERROR(IF(CP48&gt;0,Assumptions!$D$55*Assumptions!$J$78,0)/12,0)</f>
        <v>0</v>
      </c>
      <c r="CQ57" s="417">
        <f ca="1">-IFERROR(IF(CQ48&gt;0,Assumptions!$D$55*Assumptions!$J$78,0)/12,0)</f>
        <v>0</v>
      </c>
      <c r="CR57" s="417">
        <f ca="1">-IFERROR(IF(CR48&gt;0,Assumptions!$D$55*Assumptions!$J$78,0)/12,0)</f>
        <v>0</v>
      </c>
      <c r="CS57" s="417">
        <f ca="1">-IFERROR(IF(CS48&gt;0,Assumptions!$D$55*Assumptions!$J$78,0)/12,0)</f>
        <v>0</v>
      </c>
      <c r="CT57" s="417">
        <f ca="1">-IFERROR(IF(CT48&gt;0,Assumptions!$D$55*Assumptions!$J$78,0)/12,0)</f>
        <v>0</v>
      </c>
      <c r="CU57" s="417">
        <f ca="1">-IFERROR(IF(CU48&gt;0,Assumptions!$D$55*Assumptions!$J$78,0)/12,0)</f>
        <v>0</v>
      </c>
      <c r="CV57" s="417">
        <f ca="1">-IFERROR(IF(CV48&gt;0,Assumptions!$D$55*Assumptions!$J$78,0)/12,0)</f>
        <v>0</v>
      </c>
      <c r="CW57" s="417">
        <f ca="1">-IFERROR(IF(CW48&gt;0,Assumptions!$D$55*Assumptions!$J$78,0)/12,0)</f>
        <v>0</v>
      </c>
      <c r="CX57" s="417">
        <f ca="1">-IFERROR(IF(CX48&gt;0,Assumptions!$D$55*Assumptions!$J$78,0)/12,0)</f>
        <v>0</v>
      </c>
      <c r="CY57" s="417">
        <f ca="1">-IFERROR(IF(CY48&gt;0,Assumptions!$D$55*Assumptions!$J$78,0)/12,0)</f>
        <v>0</v>
      </c>
      <c r="CZ57" s="417">
        <f ca="1">-IFERROR(IF(CZ48&gt;0,Assumptions!$D$55*Assumptions!$J$78,0)/12,0)</f>
        <v>0</v>
      </c>
      <c r="DA57" s="417">
        <f ca="1">-IFERROR(IF(DA48&gt;0,Assumptions!$D$55*Assumptions!$J$78,0)/12,0)</f>
        <v>0</v>
      </c>
      <c r="DB57" s="417">
        <f ca="1">-IFERROR(IF(DB48&gt;0,Assumptions!$D$55*Assumptions!$J$78,0)/12,0)</f>
        <v>0</v>
      </c>
      <c r="DC57" s="417">
        <f ca="1">-IFERROR(IF(DC48&gt;0,Assumptions!$D$55*Assumptions!$J$78,0)/12,0)</f>
        <v>0</v>
      </c>
      <c r="DD57" s="417">
        <f ca="1">-IFERROR(IF(DD48&gt;0,Assumptions!$D$55*Assumptions!$J$78,0)/12,0)</f>
        <v>0</v>
      </c>
      <c r="DE57" s="417">
        <f ca="1">-IFERROR(IF(DE48&gt;0,Assumptions!$D$55*Assumptions!$J$78,0)/12,0)</f>
        <v>0</v>
      </c>
      <c r="DF57" s="417">
        <f ca="1">-IFERROR(IF(DF48&gt;0,Assumptions!$D$55*Assumptions!$J$78,0)/12,0)</f>
        <v>0</v>
      </c>
      <c r="DG57" s="417">
        <f ca="1">-IFERROR(IF(DG48&gt;0,Assumptions!$D$55*Assumptions!$J$78,0)/12,0)</f>
        <v>0</v>
      </c>
      <c r="DH57" s="417">
        <f ca="1">-IFERROR(IF(DH48&gt;0,Assumptions!$D$55*Assumptions!$J$78,0)/12,0)</f>
        <v>0</v>
      </c>
      <c r="DI57" s="417">
        <f ca="1">-IFERROR(IF(DI48&gt;0,Assumptions!$D$55*Assumptions!$J$78,0)/12,0)</f>
        <v>0</v>
      </c>
      <c r="DJ57" s="417">
        <f ca="1">-IFERROR(IF(DJ48&gt;0,Assumptions!$D$55*Assumptions!$J$78,0)/12,0)</f>
        <v>0</v>
      </c>
      <c r="DK57" s="417">
        <f ca="1">-IFERROR(IF(DK48&gt;0,Assumptions!$D$55*Assumptions!$J$78,0)/12,0)</f>
        <v>0</v>
      </c>
      <c r="DL57" s="417">
        <f ca="1">-IFERROR(IF(DL48&gt;0,Assumptions!$D$55*Assumptions!$J$78,0)/12,0)</f>
        <v>0</v>
      </c>
      <c r="DM57" s="417">
        <f ca="1">-IFERROR(IF(DM48&gt;0,Assumptions!$D$55*Assumptions!$J$78,0)/12,0)</f>
        <v>0</v>
      </c>
      <c r="DN57" s="417">
        <f ca="1">-IFERROR(IF(DN48&gt;0,Assumptions!$D$55*Assumptions!$J$78,0)/12,0)</f>
        <v>0</v>
      </c>
      <c r="DO57" s="417">
        <f ca="1">-IFERROR(IF(DO48&gt;0,Assumptions!$D$55*Assumptions!$J$78,0)/12,0)</f>
        <v>0</v>
      </c>
      <c r="DP57" s="417">
        <f ca="1">-IFERROR(IF(DP48&gt;0,Assumptions!$D$55*Assumptions!$J$78,0)/12,0)</f>
        <v>0</v>
      </c>
      <c r="DQ57" s="417">
        <f ca="1">-IFERROR(IF(DQ48&gt;0,Assumptions!$D$55*Assumptions!$J$78,0)/12,0)</f>
        <v>0</v>
      </c>
      <c r="DR57" s="417">
        <f ca="1">-IFERROR(IF(DR48&gt;0,Assumptions!$D$55*Assumptions!$J$78,0)/12,0)</f>
        <v>0</v>
      </c>
      <c r="DS57" s="417">
        <f ca="1">-IFERROR(IF(DS48&gt;0,Assumptions!$D$55*Assumptions!$J$78,0)/12,0)</f>
        <v>0</v>
      </c>
      <c r="DT57" s="417">
        <f ca="1">-IFERROR(IF(DT48&gt;0,Assumptions!$D$55*Assumptions!$J$78,0)/12,0)</f>
        <v>0</v>
      </c>
      <c r="DU57" s="417">
        <f ca="1">-IFERROR(IF(DU48&gt;0,Assumptions!$D$55*Assumptions!$J$78,0)/12,0)</f>
        <v>0</v>
      </c>
      <c r="DV57" s="417">
        <f ca="1">-IFERROR(IF(DV48&gt;0,Assumptions!$D$55*Assumptions!$J$78,0)/12,0)</f>
        <v>0</v>
      </c>
      <c r="DW57" s="417">
        <f ca="1">-IFERROR(IF(DW48&gt;0,Assumptions!$D$55*Assumptions!$J$78,0)/12,0)</f>
        <v>0</v>
      </c>
      <c r="DX57" s="417">
        <f ca="1">-IFERROR(IF(DX48&gt;0,Assumptions!$D$55*Assumptions!$J$78,0)/12,0)</f>
        <v>0</v>
      </c>
      <c r="DY57" s="417">
        <f ca="1">-IFERROR(IF(DY48&gt;0,Assumptions!$D$55*Assumptions!$J$78,0)/12,0)</f>
        <v>0</v>
      </c>
      <c r="DZ57" s="417">
        <f ca="1">-IFERROR(IF(DZ48&gt;0,Assumptions!$D$55*Assumptions!$J$78,0)/12,0)</f>
        <v>0</v>
      </c>
      <c r="EA57" s="417">
        <f ca="1">-IFERROR(IF(EA48&gt;0,Assumptions!$D$55*Assumptions!$J$78,0)/12,0)</f>
        <v>0</v>
      </c>
      <c r="EB57" s="389"/>
      <c r="EC57" s="392" t="s">
        <v>65</v>
      </c>
    </row>
    <row r="58" spans="1:133" s="390" customFormat="1" ht="15" hidden="1" customHeight="1" outlineLevel="1">
      <c r="A58" s="389"/>
      <c r="B58" s="389"/>
      <c r="C58" s="389"/>
      <c r="D58" s="410" t="s">
        <v>568</v>
      </c>
      <c r="E58" s="411"/>
      <c r="F58" s="411"/>
      <c r="G58" s="411"/>
      <c r="H58" s="411"/>
      <c r="I58" s="797">
        <f ca="1">SUM(K58:EA58)</f>
        <v>0</v>
      </c>
      <c r="J58" s="701"/>
      <c r="K58" s="411"/>
      <c r="L58" s="411">
        <f t="shared" ref="L58:AQ58" ca="1" si="68">L56+L57</f>
        <v>0</v>
      </c>
      <c r="M58" s="411">
        <f t="shared" ca="1" si="68"/>
        <v>0</v>
      </c>
      <c r="N58" s="411">
        <f t="shared" ca="1" si="68"/>
        <v>0</v>
      </c>
      <c r="O58" s="411">
        <f t="shared" ca="1" si="68"/>
        <v>0</v>
      </c>
      <c r="P58" s="411">
        <f t="shared" ca="1" si="68"/>
        <v>0</v>
      </c>
      <c r="Q58" s="411">
        <f t="shared" ca="1" si="68"/>
        <v>0</v>
      </c>
      <c r="R58" s="411">
        <f t="shared" ca="1" si="68"/>
        <v>0</v>
      </c>
      <c r="S58" s="411">
        <f t="shared" ca="1" si="68"/>
        <v>0</v>
      </c>
      <c r="T58" s="411">
        <f t="shared" ca="1" si="68"/>
        <v>0</v>
      </c>
      <c r="U58" s="411">
        <f t="shared" ca="1" si="68"/>
        <v>0</v>
      </c>
      <c r="V58" s="411">
        <f t="shared" ca="1" si="68"/>
        <v>0</v>
      </c>
      <c r="W58" s="411">
        <f t="shared" ca="1" si="68"/>
        <v>0</v>
      </c>
      <c r="X58" s="411">
        <f t="shared" ca="1" si="68"/>
        <v>0</v>
      </c>
      <c r="Y58" s="411">
        <f t="shared" ca="1" si="68"/>
        <v>0</v>
      </c>
      <c r="Z58" s="411">
        <f t="shared" ca="1" si="68"/>
        <v>0</v>
      </c>
      <c r="AA58" s="411">
        <f t="shared" ca="1" si="68"/>
        <v>0</v>
      </c>
      <c r="AB58" s="411">
        <f t="shared" ca="1" si="68"/>
        <v>0</v>
      </c>
      <c r="AC58" s="411">
        <f t="shared" ca="1" si="68"/>
        <v>0</v>
      </c>
      <c r="AD58" s="411">
        <f t="shared" ca="1" si="68"/>
        <v>0</v>
      </c>
      <c r="AE58" s="411">
        <f t="shared" ca="1" si="68"/>
        <v>0</v>
      </c>
      <c r="AF58" s="411">
        <f t="shared" ca="1" si="68"/>
        <v>0</v>
      </c>
      <c r="AG58" s="411">
        <f t="shared" ca="1" si="68"/>
        <v>0</v>
      </c>
      <c r="AH58" s="411">
        <f t="shared" ca="1" si="68"/>
        <v>0</v>
      </c>
      <c r="AI58" s="411">
        <f t="shared" ca="1" si="68"/>
        <v>0</v>
      </c>
      <c r="AJ58" s="411">
        <f t="shared" ca="1" si="68"/>
        <v>0</v>
      </c>
      <c r="AK58" s="411">
        <f t="shared" ca="1" si="68"/>
        <v>0</v>
      </c>
      <c r="AL58" s="411">
        <f t="shared" ca="1" si="68"/>
        <v>0</v>
      </c>
      <c r="AM58" s="411">
        <f t="shared" ca="1" si="68"/>
        <v>0</v>
      </c>
      <c r="AN58" s="411">
        <f t="shared" ca="1" si="68"/>
        <v>0</v>
      </c>
      <c r="AO58" s="411">
        <f t="shared" ca="1" si="68"/>
        <v>0</v>
      </c>
      <c r="AP58" s="411">
        <f t="shared" ca="1" si="68"/>
        <v>0</v>
      </c>
      <c r="AQ58" s="411">
        <f t="shared" ca="1" si="68"/>
        <v>0</v>
      </c>
      <c r="AR58" s="411">
        <f t="shared" ref="AR58:BW58" ca="1" si="69">AR56+AR57</f>
        <v>0</v>
      </c>
      <c r="AS58" s="411">
        <f t="shared" ca="1" si="69"/>
        <v>0</v>
      </c>
      <c r="AT58" s="411">
        <f t="shared" ca="1" si="69"/>
        <v>0</v>
      </c>
      <c r="AU58" s="411">
        <f t="shared" ca="1" si="69"/>
        <v>0</v>
      </c>
      <c r="AV58" s="411">
        <f t="shared" ca="1" si="69"/>
        <v>0</v>
      </c>
      <c r="AW58" s="411">
        <f t="shared" ca="1" si="69"/>
        <v>0</v>
      </c>
      <c r="AX58" s="411">
        <f t="shared" ca="1" si="69"/>
        <v>0</v>
      </c>
      <c r="AY58" s="411">
        <f t="shared" ca="1" si="69"/>
        <v>0</v>
      </c>
      <c r="AZ58" s="411">
        <f t="shared" ca="1" si="69"/>
        <v>0</v>
      </c>
      <c r="BA58" s="411">
        <f t="shared" ca="1" si="69"/>
        <v>0</v>
      </c>
      <c r="BB58" s="411">
        <f t="shared" ca="1" si="69"/>
        <v>0</v>
      </c>
      <c r="BC58" s="411">
        <f t="shared" ca="1" si="69"/>
        <v>0</v>
      </c>
      <c r="BD58" s="411">
        <f t="shared" ca="1" si="69"/>
        <v>0</v>
      </c>
      <c r="BE58" s="411">
        <f t="shared" ca="1" si="69"/>
        <v>0</v>
      </c>
      <c r="BF58" s="411">
        <f t="shared" ca="1" si="69"/>
        <v>0</v>
      </c>
      <c r="BG58" s="411">
        <f t="shared" ca="1" si="69"/>
        <v>0</v>
      </c>
      <c r="BH58" s="411">
        <f t="shared" ca="1" si="69"/>
        <v>0</v>
      </c>
      <c r="BI58" s="411">
        <f t="shared" ca="1" si="69"/>
        <v>0</v>
      </c>
      <c r="BJ58" s="411">
        <f t="shared" ca="1" si="69"/>
        <v>0</v>
      </c>
      <c r="BK58" s="411">
        <f t="shared" ca="1" si="69"/>
        <v>0</v>
      </c>
      <c r="BL58" s="411">
        <f t="shared" ca="1" si="69"/>
        <v>0</v>
      </c>
      <c r="BM58" s="411">
        <f t="shared" ca="1" si="69"/>
        <v>0</v>
      </c>
      <c r="BN58" s="411">
        <f t="shared" ca="1" si="69"/>
        <v>0</v>
      </c>
      <c r="BO58" s="411">
        <f t="shared" ca="1" si="69"/>
        <v>0</v>
      </c>
      <c r="BP58" s="411">
        <f t="shared" ca="1" si="69"/>
        <v>0</v>
      </c>
      <c r="BQ58" s="411">
        <f t="shared" ca="1" si="69"/>
        <v>0</v>
      </c>
      <c r="BR58" s="411">
        <f t="shared" ca="1" si="69"/>
        <v>0</v>
      </c>
      <c r="BS58" s="411">
        <f t="shared" ca="1" si="69"/>
        <v>0</v>
      </c>
      <c r="BT58" s="411">
        <f t="shared" ca="1" si="69"/>
        <v>0</v>
      </c>
      <c r="BU58" s="411">
        <f t="shared" ca="1" si="69"/>
        <v>0</v>
      </c>
      <c r="BV58" s="411">
        <f t="shared" ca="1" si="69"/>
        <v>0</v>
      </c>
      <c r="BW58" s="411">
        <f t="shared" ca="1" si="69"/>
        <v>0</v>
      </c>
      <c r="BX58" s="411">
        <f t="shared" ref="BX58:DC58" ca="1" si="70">BX56+BX57</f>
        <v>0</v>
      </c>
      <c r="BY58" s="411">
        <f t="shared" ca="1" si="70"/>
        <v>0</v>
      </c>
      <c r="BZ58" s="411">
        <f t="shared" ca="1" si="70"/>
        <v>0</v>
      </c>
      <c r="CA58" s="411">
        <f t="shared" ca="1" si="70"/>
        <v>0</v>
      </c>
      <c r="CB58" s="411">
        <f t="shared" ca="1" si="70"/>
        <v>0</v>
      </c>
      <c r="CC58" s="411">
        <f t="shared" ca="1" si="70"/>
        <v>0</v>
      </c>
      <c r="CD58" s="411">
        <f t="shared" ca="1" si="70"/>
        <v>0</v>
      </c>
      <c r="CE58" s="411">
        <f t="shared" ca="1" si="70"/>
        <v>0</v>
      </c>
      <c r="CF58" s="411">
        <f t="shared" ca="1" si="70"/>
        <v>0</v>
      </c>
      <c r="CG58" s="411">
        <f t="shared" ca="1" si="70"/>
        <v>0</v>
      </c>
      <c r="CH58" s="411">
        <f t="shared" ca="1" si="70"/>
        <v>0</v>
      </c>
      <c r="CI58" s="411">
        <f t="shared" ca="1" si="70"/>
        <v>0</v>
      </c>
      <c r="CJ58" s="411">
        <f t="shared" ca="1" si="70"/>
        <v>0</v>
      </c>
      <c r="CK58" s="411">
        <f t="shared" ca="1" si="70"/>
        <v>0</v>
      </c>
      <c r="CL58" s="411">
        <f t="shared" ca="1" si="70"/>
        <v>0</v>
      </c>
      <c r="CM58" s="411">
        <f t="shared" ca="1" si="70"/>
        <v>0</v>
      </c>
      <c r="CN58" s="411">
        <f t="shared" ca="1" si="70"/>
        <v>0</v>
      </c>
      <c r="CO58" s="411">
        <f t="shared" ca="1" si="70"/>
        <v>0</v>
      </c>
      <c r="CP58" s="411">
        <f t="shared" ca="1" si="70"/>
        <v>0</v>
      </c>
      <c r="CQ58" s="411">
        <f t="shared" ca="1" si="70"/>
        <v>0</v>
      </c>
      <c r="CR58" s="411">
        <f t="shared" ca="1" si="70"/>
        <v>0</v>
      </c>
      <c r="CS58" s="411">
        <f t="shared" ca="1" si="70"/>
        <v>0</v>
      </c>
      <c r="CT58" s="411">
        <f t="shared" ca="1" si="70"/>
        <v>0</v>
      </c>
      <c r="CU58" s="411">
        <f t="shared" ca="1" si="70"/>
        <v>0</v>
      </c>
      <c r="CV58" s="411">
        <f t="shared" ca="1" si="70"/>
        <v>0</v>
      </c>
      <c r="CW58" s="411">
        <f t="shared" ca="1" si="70"/>
        <v>0</v>
      </c>
      <c r="CX58" s="411">
        <f t="shared" ca="1" si="70"/>
        <v>0</v>
      </c>
      <c r="CY58" s="411">
        <f t="shared" ca="1" si="70"/>
        <v>0</v>
      </c>
      <c r="CZ58" s="411">
        <f t="shared" ca="1" si="70"/>
        <v>0</v>
      </c>
      <c r="DA58" s="411">
        <f t="shared" ca="1" si="70"/>
        <v>0</v>
      </c>
      <c r="DB58" s="411">
        <f t="shared" ca="1" si="70"/>
        <v>0</v>
      </c>
      <c r="DC58" s="411">
        <f t="shared" ca="1" si="70"/>
        <v>0</v>
      </c>
      <c r="DD58" s="411">
        <f t="shared" ref="DD58:EA58" ca="1" si="71">DD56+DD57</f>
        <v>0</v>
      </c>
      <c r="DE58" s="411">
        <f t="shared" ca="1" si="71"/>
        <v>0</v>
      </c>
      <c r="DF58" s="411">
        <f t="shared" ca="1" si="71"/>
        <v>0</v>
      </c>
      <c r="DG58" s="411">
        <f t="shared" ca="1" si="71"/>
        <v>0</v>
      </c>
      <c r="DH58" s="411">
        <f t="shared" ca="1" si="71"/>
        <v>0</v>
      </c>
      <c r="DI58" s="411">
        <f t="shared" ca="1" si="71"/>
        <v>0</v>
      </c>
      <c r="DJ58" s="411">
        <f t="shared" ca="1" si="71"/>
        <v>0</v>
      </c>
      <c r="DK58" s="411">
        <f t="shared" ca="1" si="71"/>
        <v>0</v>
      </c>
      <c r="DL58" s="411">
        <f t="shared" ca="1" si="71"/>
        <v>0</v>
      </c>
      <c r="DM58" s="411">
        <f t="shared" ca="1" si="71"/>
        <v>0</v>
      </c>
      <c r="DN58" s="411">
        <f t="shared" ca="1" si="71"/>
        <v>0</v>
      </c>
      <c r="DO58" s="411">
        <f t="shared" ca="1" si="71"/>
        <v>0</v>
      </c>
      <c r="DP58" s="411">
        <f t="shared" ca="1" si="71"/>
        <v>0</v>
      </c>
      <c r="DQ58" s="411">
        <f t="shared" ca="1" si="71"/>
        <v>0</v>
      </c>
      <c r="DR58" s="411">
        <f t="shared" ca="1" si="71"/>
        <v>0</v>
      </c>
      <c r="DS58" s="411">
        <f t="shared" ca="1" si="71"/>
        <v>0</v>
      </c>
      <c r="DT58" s="411">
        <f t="shared" ca="1" si="71"/>
        <v>0</v>
      </c>
      <c r="DU58" s="411">
        <f t="shared" ca="1" si="71"/>
        <v>0</v>
      </c>
      <c r="DV58" s="411">
        <f t="shared" ca="1" si="71"/>
        <v>0</v>
      </c>
      <c r="DW58" s="411">
        <f t="shared" ca="1" si="71"/>
        <v>0</v>
      </c>
      <c r="DX58" s="411">
        <f t="shared" ca="1" si="71"/>
        <v>0</v>
      </c>
      <c r="DY58" s="411">
        <f t="shared" ca="1" si="71"/>
        <v>0</v>
      </c>
      <c r="DZ58" s="411">
        <f t="shared" ca="1" si="71"/>
        <v>0</v>
      </c>
      <c r="EA58" s="411">
        <f t="shared" ca="1" si="71"/>
        <v>0</v>
      </c>
      <c r="EB58" s="389"/>
      <c r="EC58" s="392" t="s">
        <v>65</v>
      </c>
    </row>
    <row r="59" spans="1:133" s="390" customFormat="1" ht="15" hidden="1" customHeight="1" outlineLevel="1">
      <c r="A59" s="389"/>
      <c r="B59" s="389"/>
      <c r="C59" s="389"/>
      <c r="D59" s="416"/>
      <c r="E59" s="701"/>
      <c r="F59" s="701"/>
      <c r="G59" s="701"/>
      <c r="H59" s="701"/>
      <c r="I59" s="795"/>
      <c r="J59" s="701"/>
      <c r="K59" s="420"/>
      <c r="L59" s="420"/>
      <c r="M59" s="420"/>
      <c r="N59" s="420"/>
      <c r="O59" s="420"/>
      <c r="P59" s="420"/>
      <c r="Q59" s="420"/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  <c r="AK59" s="420"/>
      <c r="AL59" s="420"/>
      <c r="AM59" s="420"/>
      <c r="AN59" s="420"/>
      <c r="AO59" s="420"/>
      <c r="AP59" s="420"/>
      <c r="AQ59" s="420"/>
      <c r="AR59" s="420"/>
      <c r="AS59" s="420"/>
      <c r="AT59" s="420"/>
      <c r="AU59" s="420"/>
      <c r="AV59" s="420"/>
      <c r="AW59" s="420"/>
      <c r="AX59" s="420"/>
      <c r="AY59" s="420"/>
      <c r="AZ59" s="420"/>
      <c r="BA59" s="420"/>
      <c r="BB59" s="420"/>
      <c r="BC59" s="420"/>
      <c r="BD59" s="420"/>
      <c r="BE59" s="420"/>
      <c r="BF59" s="420"/>
      <c r="BG59" s="420"/>
      <c r="BH59" s="420"/>
      <c r="BI59" s="420"/>
      <c r="BJ59" s="420"/>
      <c r="BK59" s="420"/>
      <c r="BL59" s="420"/>
      <c r="BM59" s="420"/>
      <c r="BN59" s="420"/>
      <c r="BO59" s="420"/>
      <c r="BP59" s="420"/>
      <c r="BQ59" s="420"/>
      <c r="BR59" s="420"/>
      <c r="BS59" s="420"/>
      <c r="BT59" s="420"/>
      <c r="BU59" s="420"/>
      <c r="BV59" s="420"/>
      <c r="BW59" s="420"/>
      <c r="BX59" s="420"/>
      <c r="BY59" s="420"/>
      <c r="BZ59" s="420"/>
      <c r="CA59" s="420"/>
      <c r="CB59" s="420"/>
      <c r="CC59" s="420"/>
      <c r="CD59" s="420"/>
      <c r="CE59" s="420"/>
      <c r="CF59" s="420"/>
      <c r="CG59" s="420"/>
      <c r="CH59" s="420"/>
      <c r="CI59" s="420"/>
      <c r="CJ59" s="420"/>
      <c r="CK59" s="420"/>
      <c r="CL59" s="420"/>
      <c r="CM59" s="420"/>
      <c r="CN59" s="420"/>
      <c r="CO59" s="420"/>
      <c r="CP59" s="420"/>
      <c r="CQ59" s="420"/>
      <c r="CR59" s="420"/>
      <c r="CS59" s="420"/>
      <c r="CT59" s="420"/>
      <c r="CU59" s="420"/>
      <c r="CV59" s="420"/>
      <c r="CW59" s="420"/>
      <c r="CX59" s="420"/>
      <c r="CY59" s="420"/>
      <c r="CZ59" s="420"/>
      <c r="DA59" s="420"/>
      <c r="DB59" s="420"/>
      <c r="DC59" s="420"/>
      <c r="DD59" s="420"/>
      <c r="DE59" s="420"/>
      <c r="DF59" s="420"/>
      <c r="DG59" s="420"/>
      <c r="DH59" s="420"/>
      <c r="DI59" s="420"/>
      <c r="DJ59" s="420"/>
      <c r="DK59" s="420"/>
      <c r="DL59" s="420"/>
      <c r="DM59" s="420"/>
      <c r="DN59" s="420"/>
      <c r="DO59" s="420"/>
      <c r="DP59" s="420"/>
      <c r="DQ59" s="420"/>
      <c r="DR59" s="420"/>
      <c r="DS59" s="420"/>
      <c r="DT59" s="420"/>
      <c r="DU59" s="420"/>
      <c r="DV59" s="420"/>
      <c r="DW59" s="420"/>
      <c r="DX59" s="420"/>
      <c r="DY59" s="420"/>
      <c r="DZ59" s="420"/>
      <c r="EA59" s="420"/>
      <c r="EB59" s="389"/>
      <c r="EC59" s="392" t="s">
        <v>65</v>
      </c>
    </row>
    <row r="60" spans="1:133" s="390" customFormat="1" ht="15" customHeight="1" collapsed="1">
      <c r="A60" s="389"/>
      <c r="B60" s="389"/>
      <c r="C60" s="389"/>
      <c r="D60" s="1001" t="s">
        <v>570</v>
      </c>
      <c r="E60" s="701"/>
      <c r="F60" s="701"/>
      <c r="G60" s="701"/>
      <c r="H60" s="701"/>
      <c r="I60" s="798"/>
      <c r="J60" s="701"/>
      <c r="K60" s="420"/>
      <c r="L60" s="420"/>
      <c r="M60" s="420"/>
      <c r="N60" s="420"/>
      <c r="O60" s="420"/>
      <c r="P60" s="420"/>
      <c r="Q60" s="420"/>
      <c r="R60" s="420"/>
      <c r="S60" s="420"/>
      <c r="T60" s="420"/>
      <c r="U60" s="420"/>
      <c r="V60" s="420"/>
      <c r="W60" s="420"/>
      <c r="X60" s="420"/>
      <c r="Y60" s="420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  <c r="AK60" s="420"/>
      <c r="AL60" s="420"/>
      <c r="AM60" s="420"/>
      <c r="AN60" s="420"/>
      <c r="AO60" s="420"/>
      <c r="AP60" s="420"/>
      <c r="AQ60" s="420"/>
      <c r="AR60" s="420"/>
      <c r="AS60" s="420"/>
      <c r="AT60" s="420"/>
      <c r="AU60" s="420"/>
      <c r="AV60" s="420"/>
      <c r="AW60" s="420"/>
      <c r="AX60" s="420"/>
      <c r="AY60" s="420"/>
      <c r="AZ60" s="420"/>
      <c r="BA60" s="420"/>
      <c r="BB60" s="420"/>
      <c r="BC60" s="420"/>
      <c r="BD60" s="420"/>
      <c r="BE60" s="420"/>
      <c r="BF60" s="420"/>
      <c r="BG60" s="420"/>
      <c r="BH60" s="420"/>
      <c r="BI60" s="420"/>
      <c r="BJ60" s="420"/>
      <c r="BK60" s="420"/>
      <c r="BL60" s="420"/>
      <c r="BM60" s="420"/>
      <c r="BN60" s="420"/>
      <c r="BO60" s="420"/>
      <c r="BP60" s="420"/>
      <c r="BQ60" s="420"/>
      <c r="BR60" s="420"/>
      <c r="BS60" s="420"/>
      <c r="BT60" s="420"/>
      <c r="BU60" s="420"/>
      <c r="BV60" s="420"/>
      <c r="BW60" s="420"/>
      <c r="BX60" s="420"/>
      <c r="BY60" s="420"/>
      <c r="BZ60" s="420"/>
      <c r="CA60" s="420"/>
      <c r="CB60" s="420"/>
      <c r="CC60" s="420"/>
      <c r="CD60" s="420"/>
      <c r="CE60" s="420"/>
      <c r="CF60" s="420"/>
      <c r="CG60" s="420"/>
      <c r="CH60" s="420"/>
      <c r="CI60" s="420"/>
      <c r="CJ60" s="420"/>
      <c r="CK60" s="420"/>
      <c r="CL60" s="420"/>
      <c r="CM60" s="420"/>
      <c r="CN60" s="420"/>
      <c r="CO60" s="420"/>
      <c r="CP60" s="420"/>
      <c r="CQ60" s="420"/>
      <c r="CR60" s="420"/>
      <c r="CS60" s="420"/>
      <c r="CT60" s="420"/>
      <c r="CU60" s="420"/>
      <c r="CV60" s="420"/>
      <c r="CW60" s="420"/>
      <c r="CX60" s="420"/>
      <c r="CY60" s="420"/>
      <c r="CZ60" s="420"/>
      <c r="DA60" s="420"/>
      <c r="DB60" s="420"/>
      <c r="DC60" s="420"/>
      <c r="DD60" s="420"/>
      <c r="DE60" s="420"/>
      <c r="DF60" s="420"/>
      <c r="DG60" s="420"/>
      <c r="DH60" s="420"/>
      <c r="DI60" s="420"/>
      <c r="DJ60" s="420"/>
      <c r="DK60" s="420"/>
      <c r="DL60" s="420"/>
      <c r="DM60" s="420"/>
      <c r="DN60" s="420"/>
      <c r="DO60" s="420"/>
      <c r="DP60" s="420"/>
      <c r="DQ60" s="420"/>
      <c r="DR60" s="420"/>
      <c r="DS60" s="420"/>
      <c r="DT60" s="420"/>
      <c r="DU60" s="420"/>
      <c r="DV60" s="420"/>
      <c r="DW60" s="420"/>
      <c r="DX60" s="420"/>
      <c r="DY60" s="420"/>
      <c r="DZ60" s="420"/>
      <c r="EA60" s="420"/>
      <c r="EB60" s="389"/>
      <c r="EC60" s="392" t="s">
        <v>65</v>
      </c>
    </row>
    <row r="61" spans="1:133" s="390" customFormat="1">
      <c r="A61" s="389"/>
      <c r="B61" s="389"/>
      <c r="C61" s="389"/>
      <c r="D61" s="389" t="s">
        <v>73</v>
      </c>
      <c r="E61" s="389"/>
      <c r="F61" s="389"/>
      <c r="G61" s="389"/>
      <c r="H61" s="389"/>
      <c r="I61" s="795"/>
      <c r="J61" s="389"/>
      <c r="K61" s="703"/>
      <c r="L61" s="703">
        <f ca="1">INDEX('Annual-CF'!$L$60:$U$60,MATCH('Monthly-CF'!L9,'Annual-CF'!$L$9:$U$9,0))</f>
        <v>0</v>
      </c>
      <c r="M61" s="703">
        <f ca="1">INDEX('Annual-CF'!$L$60:$U$60,MATCH('Monthly-CF'!M9,'Annual-CF'!$L$9:$U$9,0))</f>
        <v>0</v>
      </c>
      <c r="N61" s="703">
        <f ca="1">INDEX('Annual-CF'!$L$60:$U$60,MATCH('Monthly-CF'!N9,'Annual-CF'!$L$9:$U$9,0))</f>
        <v>0</v>
      </c>
      <c r="O61" s="703">
        <f ca="1">INDEX('Annual-CF'!$L$60:$U$60,MATCH('Monthly-CF'!O9,'Annual-CF'!$L$9:$U$9,0))</f>
        <v>0</v>
      </c>
      <c r="P61" s="703">
        <f ca="1">INDEX('Annual-CF'!$L$60:$U$60,MATCH('Monthly-CF'!P9,'Annual-CF'!$L$9:$U$9,0))</f>
        <v>0</v>
      </c>
      <c r="Q61" s="703">
        <f ca="1">INDEX('Annual-CF'!$L$60:$U$60,MATCH('Monthly-CF'!Q9,'Annual-CF'!$L$9:$U$9,0))</f>
        <v>0</v>
      </c>
      <c r="R61" s="703">
        <f ca="1">INDEX('Annual-CF'!$L$60:$U$60,MATCH('Monthly-CF'!R9,'Annual-CF'!$L$9:$U$9,0))</f>
        <v>0</v>
      </c>
      <c r="S61" s="703">
        <f ca="1">INDEX('Annual-CF'!$L$60:$U$60,MATCH('Monthly-CF'!S9,'Annual-CF'!$L$9:$U$9,0))</f>
        <v>0</v>
      </c>
      <c r="T61" s="703">
        <f ca="1">INDEX('Annual-CF'!$L$60:$U$60,MATCH('Monthly-CF'!T9,'Annual-CF'!$L$9:$U$9,0))</f>
        <v>0</v>
      </c>
      <c r="U61" s="703">
        <f ca="1">INDEX('Annual-CF'!$L$60:$U$60,MATCH('Monthly-CF'!U9,'Annual-CF'!$L$9:$U$9,0))</f>
        <v>0</v>
      </c>
      <c r="V61" s="703">
        <f ca="1">INDEX('Annual-CF'!$L$60:$U$60,MATCH('Monthly-CF'!V9,'Annual-CF'!$L$9:$U$9,0))</f>
        <v>0</v>
      </c>
      <c r="W61" s="703">
        <f ca="1">INDEX('Annual-CF'!$L$60:$U$60,MATCH('Monthly-CF'!W9,'Annual-CF'!$L$9:$U$9,0))</f>
        <v>0</v>
      </c>
      <c r="X61" s="703">
        <f ca="1">INDEX('Annual-CF'!$L$60:$U$60,MATCH('Monthly-CF'!X9,'Annual-CF'!$L$9:$U$9,0))</f>
        <v>13831629.129863467</v>
      </c>
      <c r="Y61" s="703">
        <f ca="1">INDEX('Annual-CF'!$L$60:$U$60,MATCH('Monthly-CF'!Y9,'Annual-CF'!$L$9:$U$9,0))</f>
        <v>13831629.129863467</v>
      </c>
      <c r="Z61" s="703">
        <f ca="1">INDEX('Annual-CF'!$L$60:$U$60,MATCH('Monthly-CF'!Z9,'Annual-CF'!$L$9:$U$9,0))</f>
        <v>13831629.129863467</v>
      </c>
      <c r="AA61" s="703">
        <f ca="1">INDEX('Annual-CF'!$L$60:$U$60,MATCH('Monthly-CF'!AA9,'Annual-CF'!$L$9:$U$9,0))</f>
        <v>13831629.129863467</v>
      </c>
      <c r="AB61" s="703">
        <f ca="1">INDEX('Annual-CF'!$L$60:$U$60,MATCH('Monthly-CF'!AB9,'Annual-CF'!$L$9:$U$9,0))</f>
        <v>13831629.129863467</v>
      </c>
      <c r="AC61" s="703">
        <f ca="1">INDEX('Annual-CF'!$L$60:$U$60,MATCH('Monthly-CF'!AC9,'Annual-CF'!$L$9:$U$9,0))</f>
        <v>13831629.129863467</v>
      </c>
      <c r="AD61" s="703">
        <f ca="1">INDEX('Annual-CF'!$L$60:$U$60,MATCH('Monthly-CF'!AD9,'Annual-CF'!$L$9:$U$9,0))</f>
        <v>13831629.129863467</v>
      </c>
      <c r="AE61" s="703">
        <f ca="1">INDEX('Annual-CF'!$L$60:$U$60,MATCH('Monthly-CF'!AE9,'Annual-CF'!$L$9:$U$9,0))</f>
        <v>13831629.129863467</v>
      </c>
      <c r="AF61" s="703">
        <f ca="1">INDEX('Annual-CF'!$L$60:$U$60,MATCH('Monthly-CF'!AF9,'Annual-CF'!$L$9:$U$9,0))</f>
        <v>13831629.129863467</v>
      </c>
      <c r="AG61" s="703">
        <f ca="1">INDEX('Annual-CF'!$L$60:$U$60,MATCH('Monthly-CF'!AG9,'Annual-CF'!$L$9:$U$9,0))</f>
        <v>13831629.129863467</v>
      </c>
      <c r="AH61" s="703">
        <f ca="1">INDEX('Annual-CF'!$L$60:$U$60,MATCH('Monthly-CF'!AH9,'Annual-CF'!$L$9:$U$9,0))</f>
        <v>13831629.129863467</v>
      </c>
      <c r="AI61" s="703">
        <f ca="1">INDEX('Annual-CF'!$L$60:$U$60,MATCH('Monthly-CF'!AI9,'Annual-CF'!$L$9:$U$9,0))</f>
        <v>13831629.129863467</v>
      </c>
      <c r="AJ61" s="703">
        <f ca="1">INDEX('Annual-CF'!$L$60:$U$60,MATCH('Monthly-CF'!AJ9,'Annual-CF'!$L$9:$U$9,0))</f>
        <v>63586393.864561923</v>
      </c>
      <c r="AK61" s="703">
        <f ca="1">INDEX('Annual-CF'!$L$60:$U$60,MATCH('Monthly-CF'!AK9,'Annual-CF'!$L$9:$U$9,0))</f>
        <v>63586393.864561923</v>
      </c>
      <c r="AL61" s="703">
        <f ca="1">INDEX('Annual-CF'!$L$60:$U$60,MATCH('Monthly-CF'!AL9,'Annual-CF'!$L$9:$U$9,0))</f>
        <v>63586393.864561923</v>
      </c>
      <c r="AM61" s="703">
        <f ca="1">INDEX('Annual-CF'!$L$60:$U$60,MATCH('Monthly-CF'!AM9,'Annual-CF'!$L$9:$U$9,0))</f>
        <v>63586393.864561923</v>
      </c>
      <c r="AN61" s="703">
        <f ca="1">INDEX('Annual-CF'!$L$60:$U$60,MATCH('Monthly-CF'!AN9,'Annual-CF'!$L$9:$U$9,0))</f>
        <v>63586393.864561923</v>
      </c>
      <c r="AO61" s="703">
        <f ca="1">INDEX('Annual-CF'!$L$60:$U$60,MATCH('Monthly-CF'!AO9,'Annual-CF'!$L$9:$U$9,0))</f>
        <v>63586393.864561923</v>
      </c>
      <c r="AP61" s="703">
        <f ca="1">INDEX('Annual-CF'!$L$60:$U$60,MATCH('Monthly-CF'!AP9,'Annual-CF'!$L$9:$U$9,0))</f>
        <v>63586393.864561923</v>
      </c>
      <c r="AQ61" s="703">
        <f ca="1">INDEX('Annual-CF'!$L$60:$U$60,MATCH('Monthly-CF'!AQ9,'Annual-CF'!$L$9:$U$9,0))</f>
        <v>63586393.864561923</v>
      </c>
      <c r="AR61" s="703">
        <f ca="1">INDEX('Annual-CF'!$L$60:$U$60,MATCH('Monthly-CF'!AR9,'Annual-CF'!$L$9:$U$9,0))</f>
        <v>63586393.864561923</v>
      </c>
      <c r="AS61" s="703">
        <f ca="1">INDEX('Annual-CF'!$L$60:$U$60,MATCH('Monthly-CF'!AS9,'Annual-CF'!$L$9:$U$9,0))</f>
        <v>63586393.864561923</v>
      </c>
      <c r="AT61" s="703">
        <f ca="1">INDEX('Annual-CF'!$L$60:$U$60,MATCH('Monthly-CF'!AT9,'Annual-CF'!$L$9:$U$9,0))</f>
        <v>63586393.864561923</v>
      </c>
      <c r="AU61" s="703">
        <f ca="1">INDEX('Annual-CF'!$L$60:$U$60,MATCH('Monthly-CF'!AU9,'Annual-CF'!$L$9:$U$9,0))</f>
        <v>63586393.864561923</v>
      </c>
      <c r="AV61" s="703">
        <f ca="1">INDEX('Annual-CF'!$L$60:$U$60,MATCH('Monthly-CF'!AV9,'Annual-CF'!$L$9:$U$9,0))</f>
        <v>82437806.509356081</v>
      </c>
      <c r="AW61" s="703">
        <f ca="1">INDEX('Annual-CF'!$L$60:$U$60,MATCH('Monthly-CF'!AW9,'Annual-CF'!$L$9:$U$9,0))</f>
        <v>82437806.509356081</v>
      </c>
      <c r="AX61" s="703">
        <f ca="1">INDEX('Annual-CF'!$L$60:$U$60,MATCH('Monthly-CF'!AX9,'Annual-CF'!$L$9:$U$9,0))</f>
        <v>82437806.509356081</v>
      </c>
      <c r="AY61" s="703">
        <f ca="1">INDEX('Annual-CF'!$L$60:$U$60,MATCH('Monthly-CF'!AY9,'Annual-CF'!$L$9:$U$9,0))</f>
        <v>82437806.509356081</v>
      </c>
      <c r="AZ61" s="703">
        <f ca="1">INDEX('Annual-CF'!$L$60:$U$60,MATCH('Monthly-CF'!AZ9,'Annual-CF'!$L$9:$U$9,0))</f>
        <v>82437806.509356081</v>
      </c>
      <c r="BA61" s="703">
        <f ca="1">INDEX('Annual-CF'!$L$60:$U$60,MATCH('Monthly-CF'!BA9,'Annual-CF'!$L$9:$U$9,0))</f>
        <v>82437806.509356081</v>
      </c>
      <c r="BB61" s="703">
        <f ca="1">INDEX('Annual-CF'!$L$60:$U$60,MATCH('Monthly-CF'!BB9,'Annual-CF'!$L$9:$U$9,0))</f>
        <v>82437806.509356081</v>
      </c>
      <c r="BC61" s="703">
        <f ca="1">INDEX('Annual-CF'!$L$60:$U$60,MATCH('Monthly-CF'!BC9,'Annual-CF'!$L$9:$U$9,0))</f>
        <v>82437806.509356081</v>
      </c>
      <c r="BD61" s="703">
        <f ca="1">INDEX('Annual-CF'!$L$60:$U$60,MATCH('Monthly-CF'!BD9,'Annual-CF'!$L$9:$U$9,0))</f>
        <v>82437806.509356081</v>
      </c>
      <c r="BE61" s="703">
        <f ca="1">INDEX('Annual-CF'!$L$60:$U$60,MATCH('Monthly-CF'!BE9,'Annual-CF'!$L$9:$U$9,0))</f>
        <v>82437806.509356081</v>
      </c>
      <c r="BF61" s="703">
        <f ca="1">INDEX('Annual-CF'!$L$60:$U$60,MATCH('Monthly-CF'!BF9,'Annual-CF'!$L$9:$U$9,0))</f>
        <v>82437806.509356081</v>
      </c>
      <c r="BG61" s="703">
        <f ca="1">INDEX('Annual-CF'!$L$60:$U$60,MATCH('Monthly-CF'!BG9,'Annual-CF'!$L$9:$U$9,0))</f>
        <v>82437806.509356081</v>
      </c>
      <c r="BH61" s="703">
        <f ca="1">INDEX('Annual-CF'!$L$60:$U$60,MATCH('Monthly-CF'!BH9,'Annual-CF'!$L$9:$U$9,0))</f>
        <v>83082249.182175398</v>
      </c>
      <c r="BI61" s="703">
        <f ca="1">INDEX('Annual-CF'!$L$60:$U$60,MATCH('Monthly-CF'!BI9,'Annual-CF'!$L$9:$U$9,0))</f>
        <v>83082249.182175398</v>
      </c>
      <c r="BJ61" s="703">
        <f ca="1">INDEX('Annual-CF'!$L$60:$U$60,MATCH('Monthly-CF'!BJ9,'Annual-CF'!$L$9:$U$9,0))</f>
        <v>83082249.182175398</v>
      </c>
      <c r="BK61" s="703">
        <f ca="1">INDEX('Annual-CF'!$L$60:$U$60,MATCH('Monthly-CF'!BK9,'Annual-CF'!$L$9:$U$9,0))</f>
        <v>83082249.182175398</v>
      </c>
      <c r="BL61" s="703">
        <f ca="1">INDEX('Annual-CF'!$L$60:$U$60,MATCH('Monthly-CF'!BL9,'Annual-CF'!$L$9:$U$9,0))</f>
        <v>83082249.182175398</v>
      </c>
      <c r="BM61" s="703">
        <f ca="1">INDEX('Annual-CF'!$L$60:$U$60,MATCH('Monthly-CF'!BM9,'Annual-CF'!$L$9:$U$9,0))</f>
        <v>83082249.182175398</v>
      </c>
      <c r="BN61" s="703">
        <f ca="1">INDEX('Annual-CF'!$L$60:$U$60,MATCH('Monthly-CF'!BN9,'Annual-CF'!$L$9:$U$9,0))</f>
        <v>83082249.182175398</v>
      </c>
      <c r="BO61" s="703">
        <f ca="1">INDEX('Annual-CF'!$L$60:$U$60,MATCH('Monthly-CF'!BO9,'Annual-CF'!$L$9:$U$9,0))</f>
        <v>83082249.182175398</v>
      </c>
      <c r="BP61" s="703">
        <f ca="1">INDEX('Annual-CF'!$L$60:$U$60,MATCH('Monthly-CF'!BP9,'Annual-CF'!$L$9:$U$9,0))</f>
        <v>83082249.182175398</v>
      </c>
      <c r="BQ61" s="703">
        <f ca="1">INDEX('Annual-CF'!$L$60:$U$60,MATCH('Monthly-CF'!BQ9,'Annual-CF'!$L$9:$U$9,0))</f>
        <v>83082249.182175398</v>
      </c>
      <c r="BR61" s="703">
        <f ca="1">INDEX('Annual-CF'!$L$60:$U$60,MATCH('Monthly-CF'!BR9,'Annual-CF'!$L$9:$U$9,0))</f>
        <v>83082249.182175398</v>
      </c>
      <c r="BS61" s="703">
        <f ca="1">INDEX('Annual-CF'!$L$60:$U$60,MATCH('Monthly-CF'!BS9,'Annual-CF'!$L$9:$U$9,0))</f>
        <v>83082249.182175398</v>
      </c>
      <c r="BT61" s="703">
        <f ca="1">INDEX('Annual-CF'!$L$60:$U$60,MATCH('Monthly-CF'!BT9,'Annual-CF'!$L$9:$U$9,0))</f>
        <v>83473147.177066803</v>
      </c>
      <c r="BU61" s="703">
        <f ca="1">INDEX('Annual-CF'!$L$60:$U$60,MATCH('Monthly-CF'!BU9,'Annual-CF'!$L$9:$U$9,0))</f>
        <v>83473147.177066803</v>
      </c>
      <c r="BV61" s="703">
        <f ca="1">INDEX('Annual-CF'!$L$60:$U$60,MATCH('Monthly-CF'!BV9,'Annual-CF'!$L$9:$U$9,0))</f>
        <v>83473147.177066803</v>
      </c>
      <c r="BW61" s="703">
        <f ca="1">INDEX('Annual-CF'!$L$60:$U$60,MATCH('Monthly-CF'!BW9,'Annual-CF'!$L$9:$U$9,0))</f>
        <v>83473147.177066803</v>
      </c>
      <c r="BX61" s="703">
        <f ca="1">INDEX('Annual-CF'!$L$60:$U$60,MATCH('Monthly-CF'!BX9,'Annual-CF'!$L$9:$U$9,0))</f>
        <v>83473147.177066803</v>
      </c>
      <c r="BY61" s="703">
        <f ca="1">INDEX('Annual-CF'!$L$60:$U$60,MATCH('Monthly-CF'!BY9,'Annual-CF'!$L$9:$U$9,0))</f>
        <v>83473147.177066803</v>
      </c>
      <c r="BZ61" s="703">
        <f ca="1">INDEX('Annual-CF'!$L$60:$U$60,MATCH('Monthly-CF'!BZ9,'Annual-CF'!$L$9:$U$9,0))</f>
        <v>83473147.177066803</v>
      </c>
      <c r="CA61" s="703">
        <f ca="1">INDEX('Annual-CF'!$L$60:$U$60,MATCH('Monthly-CF'!CA9,'Annual-CF'!$L$9:$U$9,0))</f>
        <v>83473147.177066803</v>
      </c>
      <c r="CB61" s="703">
        <f ca="1">INDEX('Annual-CF'!$L$60:$U$60,MATCH('Monthly-CF'!CB9,'Annual-CF'!$L$9:$U$9,0))</f>
        <v>83473147.177066803</v>
      </c>
      <c r="CC61" s="703">
        <f ca="1">INDEX('Annual-CF'!$L$60:$U$60,MATCH('Monthly-CF'!CC9,'Annual-CF'!$L$9:$U$9,0))</f>
        <v>83473147.177066803</v>
      </c>
      <c r="CD61" s="703">
        <f ca="1">INDEX('Annual-CF'!$L$60:$U$60,MATCH('Monthly-CF'!CD9,'Annual-CF'!$L$9:$U$9,0))</f>
        <v>83473147.177066803</v>
      </c>
      <c r="CE61" s="703">
        <f ca="1">INDEX('Annual-CF'!$L$60:$U$60,MATCH('Monthly-CF'!CE9,'Annual-CF'!$L$9:$U$9,0))</f>
        <v>83473147.177066803</v>
      </c>
      <c r="CF61" s="703">
        <f ca="1">INDEX('Annual-CF'!$L$60:$U$60,MATCH('Monthly-CF'!CF9,'Annual-CF'!$L$9:$U$9,0))</f>
        <v>84151324.593341932</v>
      </c>
      <c r="CG61" s="703">
        <f ca="1">INDEX('Annual-CF'!$L$60:$U$60,MATCH('Monthly-CF'!CG9,'Annual-CF'!$L$9:$U$9,0))</f>
        <v>84151324.593341932</v>
      </c>
      <c r="CH61" s="703">
        <f ca="1">INDEX('Annual-CF'!$L$60:$U$60,MATCH('Monthly-CF'!CH9,'Annual-CF'!$L$9:$U$9,0))</f>
        <v>84151324.593341932</v>
      </c>
      <c r="CI61" s="703">
        <f ca="1">INDEX('Annual-CF'!$L$60:$U$60,MATCH('Monthly-CF'!CI9,'Annual-CF'!$L$9:$U$9,0))</f>
        <v>84151324.593341932</v>
      </c>
      <c r="CJ61" s="703">
        <f ca="1">INDEX('Annual-CF'!$L$60:$U$60,MATCH('Monthly-CF'!CJ9,'Annual-CF'!$L$9:$U$9,0))</f>
        <v>84151324.593341932</v>
      </c>
      <c r="CK61" s="703">
        <f ca="1">INDEX('Annual-CF'!$L$60:$U$60,MATCH('Monthly-CF'!CK9,'Annual-CF'!$L$9:$U$9,0))</f>
        <v>84151324.593341932</v>
      </c>
      <c r="CL61" s="703">
        <f ca="1">INDEX('Annual-CF'!$L$60:$U$60,MATCH('Monthly-CF'!CL9,'Annual-CF'!$L$9:$U$9,0))</f>
        <v>84151324.593341932</v>
      </c>
      <c r="CM61" s="703">
        <f ca="1">INDEX('Annual-CF'!$L$60:$U$60,MATCH('Monthly-CF'!CM9,'Annual-CF'!$L$9:$U$9,0))</f>
        <v>84151324.593341932</v>
      </c>
      <c r="CN61" s="703">
        <f ca="1">INDEX('Annual-CF'!$L$60:$U$60,MATCH('Monthly-CF'!CN9,'Annual-CF'!$L$9:$U$9,0))</f>
        <v>84151324.593341932</v>
      </c>
      <c r="CO61" s="703">
        <f ca="1">INDEX('Annual-CF'!$L$60:$U$60,MATCH('Monthly-CF'!CO9,'Annual-CF'!$L$9:$U$9,0))</f>
        <v>84151324.593341932</v>
      </c>
      <c r="CP61" s="703">
        <f ca="1">INDEX('Annual-CF'!$L$60:$U$60,MATCH('Monthly-CF'!CP9,'Annual-CF'!$L$9:$U$9,0))</f>
        <v>84151324.593341932</v>
      </c>
      <c r="CQ61" s="703">
        <f ca="1">INDEX('Annual-CF'!$L$60:$U$60,MATCH('Monthly-CF'!CQ9,'Annual-CF'!$L$9:$U$9,0))</f>
        <v>84151324.593341932</v>
      </c>
      <c r="CR61" s="703">
        <f ca="1">INDEX('Annual-CF'!$L$60:$U$60,MATCH('Monthly-CF'!CR9,'Annual-CF'!$L$9:$U$9,0))</f>
        <v>86334283.080571294</v>
      </c>
      <c r="CS61" s="703">
        <f ca="1">INDEX('Annual-CF'!$L$60:$U$60,MATCH('Monthly-CF'!CS9,'Annual-CF'!$L$9:$U$9,0))</f>
        <v>86334283.080571294</v>
      </c>
      <c r="CT61" s="703">
        <f ca="1">INDEX('Annual-CF'!$L$60:$U$60,MATCH('Monthly-CF'!CT9,'Annual-CF'!$L$9:$U$9,0))</f>
        <v>86334283.080571294</v>
      </c>
      <c r="CU61" s="703">
        <f ca="1">INDEX('Annual-CF'!$L$60:$U$60,MATCH('Monthly-CF'!CU9,'Annual-CF'!$L$9:$U$9,0))</f>
        <v>86334283.080571294</v>
      </c>
      <c r="CV61" s="703">
        <f ca="1">INDEX('Annual-CF'!$L$60:$U$60,MATCH('Monthly-CF'!CV9,'Annual-CF'!$L$9:$U$9,0))</f>
        <v>86334283.080571294</v>
      </c>
      <c r="CW61" s="703">
        <f ca="1">INDEX('Annual-CF'!$L$60:$U$60,MATCH('Monthly-CF'!CW9,'Annual-CF'!$L$9:$U$9,0))</f>
        <v>86334283.080571294</v>
      </c>
      <c r="CX61" s="703">
        <f ca="1">INDEX('Annual-CF'!$L$60:$U$60,MATCH('Monthly-CF'!CX9,'Annual-CF'!$L$9:$U$9,0))</f>
        <v>86334283.080571294</v>
      </c>
      <c r="CY61" s="703">
        <f ca="1">INDEX('Annual-CF'!$L$60:$U$60,MATCH('Monthly-CF'!CY9,'Annual-CF'!$L$9:$U$9,0))</f>
        <v>86334283.080571294</v>
      </c>
      <c r="CZ61" s="703">
        <f ca="1">INDEX('Annual-CF'!$L$60:$U$60,MATCH('Monthly-CF'!CZ9,'Annual-CF'!$L$9:$U$9,0))</f>
        <v>86334283.080571294</v>
      </c>
      <c r="DA61" s="703">
        <f ca="1">INDEX('Annual-CF'!$L$60:$U$60,MATCH('Monthly-CF'!DA9,'Annual-CF'!$L$9:$U$9,0))</f>
        <v>86334283.080571294</v>
      </c>
      <c r="DB61" s="703">
        <f ca="1">INDEX('Annual-CF'!$L$60:$U$60,MATCH('Monthly-CF'!DB9,'Annual-CF'!$L$9:$U$9,0))</f>
        <v>86334283.080571294</v>
      </c>
      <c r="DC61" s="703">
        <f ca="1">INDEX('Annual-CF'!$L$60:$U$60,MATCH('Monthly-CF'!DC9,'Annual-CF'!$L$9:$U$9,0))</f>
        <v>86334283.080571294</v>
      </c>
      <c r="DD61" s="703">
        <f ca="1">INDEX('Annual-CF'!$L$60:$U$60,MATCH('Monthly-CF'!DD9,'Annual-CF'!$L$9:$U$9,0))</f>
        <v>84348785.583610177</v>
      </c>
      <c r="DE61" s="703">
        <f ca="1">INDEX('Annual-CF'!$L$60:$U$60,MATCH('Monthly-CF'!DE9,'Annual-CF'!$L$9:$U$9,0))</f>
        <v>84348785.583610177</v>
      </c>
      <c r="DF61" s="703">
        <f ca="1">INDEX('Annual-CF'!$L$60:$U$60,MATCH('Monthly-CF'!DF9,'Annual-CF'!$L$9:$U$9,0))</f>
        <v>84348785.583610177</v>
      </c>
      <c r="DG61" s="703">
        <f ca="1">INDEX('Annual-CF'!$L$60:$U$60,MATCH('Monthly-CF'!DG9,'Annual-CF'!$L$9:$U$9,0))</f>
        <v>84348785.583610177</v>
      </c>
      <c r="DH61" s="703">
        <f ca="1">INDEX('Annual-CF'!$L$60:$U$60,MATCH('Monthly-CF'!DH9,'Annual-CF'!$L$9:$U$9,0))</f>
        <v>84348785.583610177</v>
      </c>
      <c r="DI61" s="703">
        <f ca="1">INDEX('Annual-CF'!$L$60:$U$60,MATCH('Monthly-CF'!DI9,'Annual-CF'!$L$9:$U$9,0))</f>
        <v>84348785.583610177</v>
      </c>
      <c r="DJ61" s="703">
        <f ca="1">INDEX('Annual-CF'!$L$60:$U$60,MATCH('Monthly-CF'!DJ9,'Annual-CF'!$L$9:$U$9,0))</f>
        <v>84348785.583610177</v>
      </c>
      <c r="DK61" s="703">
        <f ca="1">INDEX('Annual-CF'!$L$60:$U$60,MATCH('Monthly-CF'!DK9,'Annual-CF'!$L$9:$U$9,0))</f>
        <v>84348785.583610177</v>
      </c>
      <c r="DL61" s="703">
        <f ca="1">INDEX('Annual-CF'!$L$60:$U$60,MATCH('Monthly-CF'!DL9,'Annual-CF'!$L$9:$U$9,0))</f>
        <v>84348785.583610177</v>
      </c>
      <c r="DM61" s="703">
        <f ca="1">INDEX('Annual-CF'!$L$60:$U$60,MATCH('Monthly-CF'!DM9,'Annual-CF'!$L$9:$U$9,0))</f>
        <v>84348785.583610177</v>
      </c>
      <c r="DN61" s="703">
        <f ca="1">INDEX('Annual-CF'!$L$60:$U$60,MATCH('Monthly-CF'!DN9,'Annual-CF'!$L$9:$U$9,0))</f>
        <v>84348785.583610177</v>
      </c>
      <c r="DO61" s="703">
        <f ca="1">INDEX('Annual-CF'!$L$60:$U$60,MATCH('Monthly-CF'!DO9,'Annual-CF'!$L$9:$U$9,0))</f>
        <v>84348785.583610177</v>
      </c>
      <c r="DP61" s="703">
        <f ca="1">INDEX('Annual-CF'!$L$60:$U$60,MATCH('Monthly-CF'!DP9,'Annual-CF'!$L$9:$U$9,0))</f>
        <v>86504553.967553675</v>
      </c>
      <c r="DQ61" s="703">
        <f ca="1">INDEX('Annual-CF'!$L$60:$U$60,MATCH('Monthly-CF'!DQ9,'Annual-CF'!$L$9:$U$9,0))</f>
        <v>86504553.967553675</v>
      </c>
      <c r="DR61" s="703">
        <f ca="1">INDEX('Annual-CF'!$L$60:$U$60,MATCH('Monthly-CF'!DR9,'Annual-CF'!$L$9:$U$9,0))</f>
        <v>86504553.967553675</v>
      </c>
      <c r="DS61" s="703">
        <f ca="1">INDEX('Annual-CF'!$L$60:$U$60,MATCH('Monthly-CF'!DS9,'Annual-CF'!$L$9:$U$9,0))</f>
        <v>86504553.967553675</v>
      </c>
      <c r="DT61" s="703">
        <f ca="1">INDEX('Annual-CF'!$L$60:$U$60,MATCH('Monthly-CF'!DT9,'Annual-CF'!$L$9:$U$9,0))</f>
        <v>86504553.967553675</v>
      </c>
      <c r="DU61" s="703">
        <f ca="1">INDEX('Annual-CF'!$L$60:$U$60,MATCH('Monthly-CF'!DU9,'Annual-CF'!$L$9:$U$9,0))</f>
        <v>86504553.967553675</v>
      </c>
      <c r="DV61" s="703">
        <f ca="1">INDEX('Annual-CF'!$L$60:$U$60,MATCH('Monthly-CF'!DV9,'Annual-CF'!$L$9:$U$9,0))</f>
        <v>86504553.967553675</v>
      </c>
      <c r="DW61" s="703">
        <f ca="1">INDEX('Annual-CF'!$L$60:$U$60,MATCH('Monthly-CF'!DW9,'Annual-CF'!$L$9:$U$9,0))</f>
        <v>86504553.967553675</v>
      </c>
      <c r="DX61" s="703">
        <f ca="1">INDEX('Annual-CF'!$L$60:$U$60,MATCH('Monthly-CF'!DX9,'Annual-CF'!$L$9:$U$9,0))</f>
        <v>86504553.967553675</v>
      </c>
      <c r="DY61" s="703">
        <f ca="1">INDEX('Annual-CF'!$L$60:$U$60,MATCH('Monthly-CF'!DY9,'Annual-CF'!$L$9:$U$9,0))</f>
        <v>86504553.967553675</v>
      </c>
      <c r="DZ61" s="703">
        <f ca="1">INDEX('Annual-CF'!$L$60:$U$60,MATCH('Monthly-CF'!DZ9,'Annual-CF'!$L$9:$U$9,0))</f>
        <v>86504553.967553675</v>
      </c>
      <c r="EA61" s="703">
        <f ca="1">INDEX('Annual-CF'!$L$60:$U$60,MATCH('Monthly-CF'!EA9,'Annual-CF'!$L$9:$U$9,0))</f>
        <v>86504553.967553675</v>
      </c>
      <c r="EB61" s="389"/>
      <c r="EC61" s="392" t="s">
        <v>65</v>
      </c>
    </row>
    <row r="62" spans="1:133" s="390" customFormat="1">
      <c r="A62" s="389"/>
      <c r="B62" s="389"/>
      <c r="C62" s="389"/>
      <c r="D62" s="389" t="s">
        <v>136</v>
      </c>
      <c r="E62" s="389"/>
      <c r="F62" s="389"/>
      <c r="G62" s="389"/>
      <c r="H62" s="389"/>
      <c r="I62" s="795">
        <f t="shared" ref="I62" ca="1" si="72">SUM(K62:EA62)</f>
        <v>85423247.042959258</v>
      </c>
      <c r="J62" s="389"/>
      <c r="K62" s="703"/>
      <c r="L62" s="703">
        <f>IF(Assumptions!$M$58='Monthly-CF'!L$8,L61*(1-Assumptions!$M$56),0)</f>
        <v>0</v>
      </c>
      <c r="M62" s="703">
        <f>IF(Assumptions!$M$58='Monthly-CF'!M$8,M61*(1-Assumptions!$M$56),0)</f>
        <v>0</v>
      </c>
      <c r="N62" s="703">
        <f>IF(Assumptions!$M$58='Monthly-CF'!N$8,N61*(1-Assumptions!$M$56),0)</f>
        <v>0</v>
      </c>
      <c r="O62" s="703">
        <f>IF(Assumptions!$M$58='Monthly-CF'!O$8,O61*(1-Assumptions!$M$56),0)</f>
        <v>0</v>
      </c>
      <c r="P62" s="703">
        <f>IF(Assumptions!$M$58='Monthly-CF'!P$8,P61*(1-Assumptions!$M$56),0)</f>
        <v>0</v>
      </c>
      <c r="Q62" s="703">
        <f>IF(Assumptions!$M$58='Monthly-CF'!Q$8,Q61*(1-Assumptions!$M$56),0)</f>
        <v>0</v>
      </c>
      <c r="R62" s="703">
        <f>IF(Assumptions!$M$58='Monthly-CF'!R$8,R61*(1-Assumptions!$M$56),0)</f>
        <v>0</v>
      </c>
      <c r="S62" s="703">
        <f>IF(Assumptions!$M$58='Monthly-CF'!S$8,S61*(1-Assumptions!$M$56),0)</f>
        <v>0</v>
      </c>
      <c r="T62" s="703">
        <f>IF(Assumptions!$M$58='Monthly-CF'!T$8,T61*(1-Assumptions!$M$56),0)</f>
        <v>0</v>
      </c>
      <c r="U62" s="703">
        <f>IF(Assumptions!$M$58='Monthly-CF'!U$8,U61*(1-Assumptions!$M$56),0)</f>
        <v>0</v>
      </c>
      <c r="V62" s="703">
        <f>IF(Assumptions!$M$58='Monthly-CF'!V$8,V61*(1-Assumptions!$M$56),0)</f>
        <v>0</v>
      </c>
      <c r="W62" s="703">
        <f>IF(Assumptions!$M$58='Monthly-CF'!W$8,W61*(1-Assumptions!$M$56),0)</f>
        <v>0</v>
      </c>
      <c r="X62" s="703">
        <f>IF(Assumptions!$M$58='Monthly-CF'!X$8,X61*(1-Assumptions!$M$56),0)</f>
        <v>0</v>
      </c>
      <c r="Y62" s="703">
        <f>IF(Assumptions!$M$58='Monthly-CF'!Y$8,Y61*(1-Assumptions!$M$56),0)</f>
        <v>0</v>
      </c>
      <c r="Z62" s="703">
        <f>IF(Assumptions!$M$58='Monthly-CF'!Z$8,Z61*(1-Assumptions!$M$56),0)</f>
        <v>0</v>
      </c>
      <c r="AA62" s="703">
        <f>IF(Assumptions!$M$58='Monthly-CF'!AA$8,AA61*(1-Assumptions!$M$56),0)</f>
        <v>0</v>
      </c>
      <c r="AB62" s="703">
        <f>IF(Assumptions!$M$58='Monthly-CF'!AB$8,AB61*(1-Assumptions!$M$56),0)</f>
        <v>0</v>
      </c>
      <c r="AC62" s="703">
        <f>IF(Assumptions!$M$58='Monthly-CF'!AC$8,AC61*(1-Assumptions!$M$56),0)</f>
        <v>0</v>
      </c>
      <c r="AD62" s="703">
        <f>IF(Assumptions!$M$58='Monthly-CF'!AD$8,AD61*(1-Assumptions!$M$56),0)</f>
        <v>0</v>
      </c>
      <c r="AE62" s="703">
        <f>IF(Assumptions!$M$58='Monthly-CF'!AE$8,AE61*(1-Assumptions!$M$56),0)</f>
        <v>0</v>
      </c>
      <c r="AF62" s="703">
        <f>IF(Assumptions!$M$58='Monthly-CF'!AF$8,AF61*(1-Assumptions!$M$56),0)</f>
        <v>0</v>
      </c>
      <c r="AG62" s="703">
        <f>IF(Assumptions!$M$58='Monthly-CF'!AG$8,AG61*(1-Assumptions!$M$56),0)</f>
        <v>0</v>
      </c>
      <c r="AH62" s="703">
        <f>IF(Assumptions!$M$58='Monthly-CF'!AH$8,AH61*(1-Assumptions!$M$56),0)</f>
        <v>0</v>
      </c>
      <c r="AI62" s="703">
        <f>IF(Assumptions!$M$58='Monthly-CF'!AI$8,AI61*(1-Assumptions!$M$56),0)</f>
        <v>0</v>
      </c>
      <c r="AJ62" s="703">
        <f>IF(Assumptions!$M$58='Monthly-CF'!AJ$8,AJ61*(1-Assumptions!$M$56),0)</f>
        <v>0</v>
      </c>
      <c r="AK62" s="703">
        <f>IF(Assumptions!$M$58='Monthly-CF'!AK$8,AK61*(1-Assumptions!$M$56),0)</f>
        <v>0</v>
      </c>
      <c r="AL62" s="703">
        <f>IF(Assumptions!$M$58='Monthly-CF'!AL$8,AL61*(1-Assumptions!$M$56),0)</f>
        <v>0</v>
      </c>
      <c r="AM62" s="703">
        <f>IF(Assumptions!$M$58='Monthly-CF'!AM$8,AM61*(1-Assumptions!$M$56),0)</f>
        <v>0</v>
      </c>
      <c r="AN62" s="703">
        <f>IF(Assumptions!$M$58='Monthly-CF'!AN$8,AN61*(1-Assumptions!$M$56),0)</f>
        <v>0</v>
      </c>
      <c r="AO62" s="703">
        <f>IF(Assumptions!$M$58='Monthly-CF'!AO$8,AO61*(1-Assumptions!$M$56),0)</f>
        <v>0</v>
      </c>
      <c r="AP62" s="703">
        <f>IF(Assumptions!$M$58='Monthly-CF'!AP$8,AP61*(1-Assumptions!$M$56),0)</f>
        <v>0</v>
      </c>
      <c r="AQ62" s="703">
        <f>IF(Assumptions!$M$58='Monthly-CF'!AQ$8,AQ61*(1-Assumptions!$M$56),0)</f>
        <v>0</v>
      </c>
      <c r="AR62" s="703">
        <f>IF(Assumptions!$M$58='Monthly-CF'!AR$8,AR61*(1-Assumptions!$M$56),0)</f>
        <v>0</v>
      </c>
      <c r="AS62" s="703">
        <f>IF(Assumptions!$M$58='Monthly-CF'!AS$8,AS61*(1-Assumptions!$M$56),0)</f>
        <v>0</v>
      </c>
      <c r="AT62" s="703">
        <f>IF(Assumptions!$M$58='Monthly-CF'!AT$8,AT61*(1-Assumptions!$M$56),0)</f>
        <v>0</v>
      </c>
      <c r="AU62" s="703">
        <f>IF(Assumptions!$M$58='Monthly-CF'!AU$8,AU61*(1-Assumptions!$M$56),0)</f>
        <v>0</v>
      </c>
      <c r="AV62" s="703">
        <f>IF(Assumptions!$M$58='Monthly-CF'!AV$8,AV61*(1-Assumptions!$M$56),0)</f>
        <v>0</v>
      </c>
      <c r="AW62" s="703">
        <f>IF(Assumptions!$M$58='Monthly-CF'!AW$8,AW61*(1-Assumptions!$M$56),0)</f>
        <v>0</v>
      </c>
      <c r="AX62" s="703">
        <f>IF(Assumptions!$M$58='Monthly-CF'!AX$8,AX61*(1-Assumptions!$M$56),0)</f>
        <v>0</v>
      </c>
      <c r="AY62" s="703">
        <f>IF(Assumptions!$M$58='Monthly-CF'!AY$8,AY61*(1-Assumptions!$M$56),0)</f>
        <v>0</v>
      </c>
      <c r="AZ62" s="703">
        <f>IF(Assumptions!$M$58='Monthly-CF'!AZ$8,AZ61*(1-Assumptions!$M$56),0)</f>
        <v>0</v>
      </c>
      <c r="BA62" s="703">
        <f>IF(Assumptions!$M$58='Monthly-CF'!BA$8,BA61*(1-Assumptions!$M$56),0)</f>
        <v>0</v>
      </c>
      <c r="BB62" s="703">
        <f>IF(Assumptions!$M$58='Monthly-CF'!BB$8,BB61*(1-Assumptions!$M$56),0)</f>
        <v>0</v>
      </c>
      <c r="BC62" s="703">
        <f>IF(Assumptions!$M$58='Monthly-CF'!BC$8,BC61*(1-Assumptions!$M$56),0)</f>
        <v>0</v>
      </c>
      <c r="BD62" s="703">
        <f>IF(Assumptions!$M$58='Monthly-CF'!BD$8,BD61*(1-Assumptions!$M$56),0)</f>
        <v>0</v>
      </c>
      <c r="BE62" s="703">
        <f>IF(Assumptions!$M$58='Monthly-CF'!BE$8,BE61*(1-Assumptions!$M$56),0)</f>
        <v>0</v>
      </c>
      <c r="BF62" s="703">
        <f>IF(Assumptions!$M$58='Monthly-CF'!BF$8,BF61*(1-Assumptions!$M$56),0)</f>
        <v>0</v>
      </c>
      <c r="BG62" s="703">
        <f>IF(Assumptions!$M$58='Monthly-CF'!BG$8,BG61*(1-Assumptions!$M$56),0)</f>
        <v>0</v>
      </c>
      <c r="BH62" s="703">
        <f>IF(Assumptions!$M$58='Monthly-CF'!BH$8,BH61*(1-Assumptions!$M$56),0)</f>
        <v>0</v>
      </c>
      <c r="BI62" s="703">
        <f>IF(Assumptions!$M$58='Monthly-CF'!BI$8,BI61*(1-Assumptions!$M$56),0)</f>
        <v>0</v>
      </c>
      <c r="BJ62" s="703">
        <f>IF(Assumptions!$M$58='Monthly-CF'!BJ$8,BJ61*(1-Assumptions!$M$56),0)</f>
        <v>0</v>
      </c>
      <c r="BK62" s="703">
        <f>IF(Assumptions!$M$58='Monthly-CF'!BK$8,BK61*(1-Assumptions!$M$56),0)</f>
        <v>0</v>
      </c>
      <c r="BL62" s="703">
        <f>IF(Assumptions!$M$58='Monthly-CF'!BL$8,BL61*(1-Assumptions!$M$56),0)</f>
        <v>0</v>
      </c>
      <c r="BM62" s="703">
        <f>IF(Assumptions!$M$58='Monthly-CF'!BM$8,BM61*(1-Assumptions!$M$56),0)</f>
        <v>0</v>
      </c>
      <c r="BN62" s="703">
        <f>IF(Assumptions!$M$58='Monthly-CF'!BN$8,BN61*(1-Assumptions!$M$56),0)</f>
        <v>0</v>
      </c>
      <c r="BO62" s="703">
        <f>IF(Assumptions!$M$58='Monthly-CF'!BO$8,BO61*(1-Assumptions!$M$56),0)</f>
        <v>0</v>
      </c>
      <c r="BP62" s="703">
        <f>IF(Assumptions!$M$58='Monthly-CF'!BP$8,BP61*(1-Assumptions!$M$56),0)</f>
        <v>0</v>
      </c>
      <c r="BQ62" s="703">
        <f>IF(Assumptions!$M$58='Monthly-CF'!BQ$8,BQ61*(1-Assumptions!$M$56),0)</f>
        <v>0</v>
      </c>
      <c r="BR62" s="703">
        <f>IF(Assumptions!$M$58='Monthly-CF'!BR$8,BR61*(1-Assumptions!$M$56),0)</f>
        <v>0</v>
      </c>
      <c r="BS62" s="703">
        <f>IF(Assumptions!$M$58='Monthly-CF'!BS$8,BS61*(1-Assumptions!$M$56),0)</f>
        <v>0</v>
      </c>
      <c r="BT62" s="703">
        <f>IF(Assumptions!$M$58='Monthly-CF'!BT$8,BT61*(1-Assumptions!$M$56),0)</f>
        <v>0</v>
      </c>
      <c r="BU62" s="703">
        <f>IF(Assumptions!$M$58='Monthly-CF'!BU$8,BU61*(1-Assumptions!$M$56),0)</f>
        <v>0</v>
      </c>
      <c r="BV62" s="703">
        <f>IF(Assumptions!$M$58='Monthly-CF'!BV$8,BV61*(1-Assumptions!$M$56),0)</f>
        <v>0</v>
      </c>
      <c r="BW62" s="703">
        <f>IF(Assumptions!$M$58='Monthly-CF'!BW$8,BW61*(1-Assumptions!$M$56),0)</f>
        <v>0</v>
      </c>
      <c r="BX62" s="703">
        <f>IF(Assumptions!$M$58='Monthly-CF'!BX$8,BX61*(1-Assumptions!$M$56),0)</f>
        <v>0</v>
      </c>
      <c r="BY62" s="703">
        <f>IF(Assumptions!$M$58='Monthly-CF'!BY$8,BY61*(1-Assumptions!$M$56),0)</f>
        <v>0</v>
      </c>
      <c r="BZ62" s="703">
        <f>IF(Assumptions!$M$58='Monthly-CF'!BZ$8,BZ61*(1-Assumptions!$M$56),0)</f>
        <v>0</v>
      </c>
      <c r="CA62" s="703">
        <f>IF(Assumptions!$M$58='Monthly-CF'!CA$8,CA61*(1-Assumptions!$M$56),0)</f>
        <v>0</v>
      </c>
      <c r="CB62" s="703">
        <f>IF(Assumptions!$M$58='Monthly-CF'!CB$8,CB61*(1-Assumptions!$M$56),0)</f>
        <v>0</v>
      </c>
      <c r="CC62" s="703">
        <f>IF(Assumptions!$M$58='Monthly-CF'!CC$8,CC61*(1-Assumptions!$M$56),0)</f>
        <v>0</v>
      </c>
      <c r="CD62" s="703">
        <f>IF(Assumptions!$M$58='Monthly-CF'!CD$8,CD61*(1-Assumptions!$M$56),0)</f>
        <v>0</v>
      </c>
      <c r="CE62" s="703">
        <f>IF(Assumptions!$M$58='Monthly-CF'!CE$8,CE61*(1-Assumptions!$M$56),0)</f>
        <v>0</v>
      </c>
      <c r="CF62" s="703">
        <f>IF(Assumptions!$M$58='Monthly-CF'!CF$8,CF61*(1-Assumptions!$M$56),0)</f>
        <v>0</v>
      </c>
      <c r="CG62" s="703">
        <f>IF(Assumptions!$M$58='Monthly-CF'!CG$8,CG61*(1-Assumptions!$M$56),0)</f>
        <v>0</v>
      </c>
      <c r="CH62" s="703">
        <f>IF(Assumptions!$M$58='Monthly-CF'!CH$8,CH61*(1-Assumptions!$M$56),0)</f>
        <v>0</v>
      </c>
      <c r="CI62" s="703">
        <f>IF(Assumptions!$M$58='Monthly-CF'!CI$8,CI61*(1-Assumptions!$M$56),0)</f>
        <v>0</v>
      </c>
      <c r="CJ62" s="703">
        <f>IF(Assumptions!$M$58='Monthly-CF'!CJ$8,CJ61*(1-Assumptions!$M$56),0)</f>
        <v>0</v>
      </c>
      <c r="CK62" s="703">
        <f>IF(Assumptions!$M$58='Monthly-CF'!CK$8,CK61*(1-Assumptions!$M$56),0)</f>
        <v>0</v>
      </c>
      <c r="CL62" s="703">
        <f>IF(Assumptions!$M$58='Monthly-CF'!CL$8,CL61*(1-Assumptions!$M$56),0)</f>
        <v>0</v>
      </c>
      <c r="CM62" s="703">
        <f>IF(Assumptions!$M$58='Monthly-CF'!CM$8,CM61*(1-Assumptions!$M$56),0)</f>
        <v>0</v>
      </c>
      <c r="CN62" s="703">
        <f>IF(Assumptions!$M$58='Monthly-CF'!CN$8,CN61*(1-Assumptions!$M$56),0)</f>
        <v>0</v>
      </c>
      <c r="CO62" s="703">
        <f>IF(Assumptions!$M$58='Monthly-CF'!CO$8,CO61*(1-Assumptions!$M$56),0)</f>
        <v>0</v>
      </c>
      <c r="CP62" s="703">
        <f>IF(Assumptions!$M$58='Monthly-CF'!CP$8,CP61*(1-Assumptions!$M$56),0)</f>
        <v>0</v>
      </c>
      <c r="CQ62" s="703">
        <f>IF(Assumptions!$M$58='Monthly-CF'!CQ$8,CQ61*(1-Assumptions!$M$56),0)</f>
        <v>0</v>
      </c>
      <c r="CR62" s="703">
        <f>IF(Assumptions!$M$58='Monthly-CF'!CR$8,CR61*(1-Assumptions!$M$56),0)</f>
        <v>0</v>
      </c>
      <c r="CS62" s="703">
        <f>IF(Assumptions!$M$58='Monthly-CF'!CS$8,CS61*(1-Assumptions!$M$56),0)</f>
        <v>0</v>
      </c>
      <c r="CT62" s="703">
        <f>IF(Assumptions!$M$58='Monthly-CF'!CT$8,CT61*(1-Assumptions!$M$56),0)</f>
        <v>0</v>
      </c>
      <c r="CU62" s="703">
        <f>IF(Assumptions!$M$58='Monthly-CF'!CU$8,CU61*(1-Assumptions!$M$56),0)</f>
        <v>0</v>
      </c>
      <c r="CV62" s="703">
        <f>IF(Assumptions!$M$58='Monthly-CF'!CV$8,CV61*(1-Assumptions!$M$56),0)</f>
        <v>0</v>
      </c>
      <c r="CW62" s="703">
        <f>IF(Assumptions!$M$58='Monthly-CF'!CW$8,CW61*(1-Assumptions!$M$56),0)</f>
        <v>0</v>
      </c>
      <c r="CX62" s="703">
        <f>IF(Assumptions!$M$58='Monthly-CF'!CX$8,CX61*(1-Assumptions!$M$56),0)</f>
        <v>0</v>
      </c>
      <c r="CY62" s="703">
        <f>IF(Assumptions!$M$58='Monthly-CF'!CY$8,CY61*(1-Assumptions!$M$56),0)</f>
        <v>0</v>
      </c>
      <c r="CZ62" s="703">
        <f>IF(Assumptions!$M$58='Monthly-CF'!CZ$8,CZ61*(1-Assumptions!$M$56),0)</f>
        <v>0</v>
      </c>
      <c r="DA62" s="703">
        <f>IF(Assumptions!$M$58='Monthly-CF'!DA$8,DA61*(1-Assumptions!$M$56),0)</f>
        <v>0</v>
      </c>
      <c r="DB62" s="703">
        <f>IF(Assumptions!$M$58='Monthly-CF'!DB$8,DB61*(1-Assumptions!$M$56),0)</f>
        <v>0</v>
      </c>
      <c r="DC62" s="703">
        <f>IF(Assumptions!$M$58='Monthly-CF'!DC$8,DC61*(1-Assumptions!$M$56),0)</f>
        <v>0</v>
      </c>
      <c r="DD62" s="703">
        <f>IF(Assumptions!$M$58='Monthly-CF'!DD$8,DD61*(1-Assumptions!$M$56),0)</f>
        <v>0</v>
      </c>
      <c r="DE62" s="703">
        <f>IF(Assumptions!$M$58='Monthly-CF'!DE$8,DE61*(1-Assumptions!$M$56),0)</f>
        <v>0</v>
      </c>
      <c r="DF62" s="703">
        <f>IF(Assumptions!$M$58='Monthly-CF'!DF$8,DF61*(1-Assumptions!$M$56),0)</f>
        <v>0</v>
      </c>
      <c r="DG62" s="703">
        <f>IF(Assumptions!$M$58='Monthly-CF'!DG$8,DG61*(1-Assumptions!$M$56),0)</f>
        <v>0</v>
      </c>
      <c r="DH62" s="703">
        <f>IF(Assumptions!$M$58='Monthly-CF'!DH$8,DH61*(1-Assumptions!$M$56),0)</f>
        <v>0</v>
      </c>
      <c r="DI62" s="703">
        <f>IF(Assumptions!$M$58='Monthly-CF'!DI$8,DI61*(1-Assumptions!$M$56),0)</f>
        <v>0</v>
      </c>
      <c r="DJ62" s="703">
        <f>IF(Assumptions!$M$58='Monthly-CF'!DJ$8,DJ61*(1-Assumptions!$M$56),0)</f>
        <v>0</v>
      </c>
      <c r="DK62" s="703">
        <f>IF(Assumptions!$M$58='Monthly-CF'!DK$8,DK61*(1-Assumptions!$M$56),0)</f>
        <v>0</v>
      </c>
      <c r="DL62" s="703">
        <f>IF(Assumptions!$M$58='Monthly-CF'!DL$8,DL61*(1-Assumptions!$M$56),0)</f>
        <v>0</v>
      </c>
      <c r="DM62" s="703">
        <f>IF(Assumptions!$M$58='Monthly-CF'!DM$8,DM61*(1-Assumptions!$M$56),0)</f>
        <v>0</v>
      </c>
      <c r="DN62" s="703">
        <f>IF(Assumptions!$M$58='Monthly-CF'!DN$8,DN61*(1-Assumptions!$M$56),0)</f>
        <v>0</v>
      </c>
      <c r="DO62" s="703">
        <f>IF(Assumptions!$M$58='Monthly-CF'!DO$8,DO61*(1-Assumptions!$M$56),0)</f>
        <v>0</v>
      </c>
      <c r="DP62" s="703">
        <f>IF(Assumptions!$M$58='Monthly-CF'!DP$8,DP61*(1-Assumptions!$M$56),0)</f>
        <v>0</v>
      </c>
      <c r="DQ62" s="703">
        <f>IF(Assumptions!$M$58='Monthly-CF'!DQ$8,DQ61*(1-Assumptions!$M$56),0)</f>
        <v>0</v>
      </c>
      <c r="DR62" s="703">
        <f>IF(Assumptions!$M$58='Monthly-CF'!DR$8,DR61*(1-Assumptions!$M$56),0)</f>
        <v>0</v>
      </c>
      <c r="DS62" s="703">
        <f>IF(Assumptions!$M$58='Monthly-CF'!DS$8,DS61*(1-Assumptions!$M$56),0)</f>
        <v>0</v>
      </c>
      <c r="DT62" s="703">
        <f>IF(Assumptions!$M$58='Monthly-CF'!DT$8,DT61*(1-Assumptions!$M$56),0)</f>
        <v>0</v>
      </c>
      <c r="DU62" s="703">
        <f>IF(Assumptions!$M$58='Monthly-CF'!DU$8,DU61*(1-Assumptions!$M$56),0)</f>
        <v>0</v>
      </c>
      <c r="DV62" s="703">
        <f>IF(Assumptions!$M$58='Monthly-CF'!DV$8,DV61*(1-Assumptions!$M$56),0)</f>
        <v>0</v>
      </c>
      <c r="DW62" s="703">
        <f>IF(Assumptions!$M$58='Monthly-CF'!DW$8,DW61*(1-Assumptions!$M$56),0)</f>
        <v>0</v>
      </c>
      <c r="DX62" s="703">
        <f>IF(Assumptions!$M$58='Monthly-CF'!DX$8,DX61*(1-Assumptions!$M$56),0)</f>
        <v>0</v>
      </c>
      <c r="DY62" s="703">
        <f>IF(Assumptions!$M$58='Monthly-CF'!DY$8,DY61*(1-Assumptions!$M$56),0)</f>
        <v>0</v>
      </c>
      <c r="DZ62" s="703">
        <f>IF(Assumptions!$M$58='Monthly-CF'!DZ$8,DZ61*(1-Assumptions!$M$56),0)</f>
        <v>0</v>
      </c>
      <c r="EA62" s="703">
        <f ca="1">IF(Assumptions!$M$58='Monthly-CF'!EA$8,EA61*(1-Assumptions!$M$56),0)</f>
        <v>85423247.042959258</v>
      </c>
      <c r="EB62" s="389"/>
      <c r="EC62" s="392" t="s">
        <v>65</v>
      </c>
    </row>
    <row r="63" spans="1:133" s="390" customFormat="1">
      <c r="A63" s="389"/>
      <c r="B63" s="389"/>
      <c r="C63" s="389"/>
      <c r="D63" s="389"/>
      <c r="E63" s="389"/>
      <c r="F63" s="389"/>
      <c r="G63" s="389"/>
      <c r="H63" s="389"/>
      <c r="I63" s="795"/>
      <c r="J63" s="389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703"/>
      <c r="W63" s="703"/>
      <c r="X63" s="703"/>
      <c r="Y63" s="703"/>
      <c r="Z63" s="703"/>
      <c r="AA63" s="703"/>
      <c r="AB63" s="703"/>
      <c r="AC63" s="703"/>
      <c r="AD63" s="703"/>
      <c r="AE63" s="703"/>
      <c r="AF63" s="703"/>
      <c r="AG63" s="703"/>
      <c r="AH63" s="703"/>
      <c r="AI63" s="703"/>
      <c r="AJ63" s="703"/>
      <c r="AK63" s="703"/>
      <c r="AL63" s="703"/>
      <c r="AM63" s="703"/>
      <c r="AN63" s="703"/>
      <c r="AO63" s="703"/>
      <c r="AP63" s="703"/>
      <c r="AQ63" s="703"/>
      <c r="AR63" s="703"/>
      <c r="AS63" s="703"/>
      <c r="AT63" s="703"/>
      <c r="AU63" s="703"/>
      <c r="AV63" s="703"/>
      <c r="AW63" s="703"/>
      <c r="AX63" s="703"/>
      <c r="AY63" s="703"/>
      <c r="AZ63" s="703"/>
      <c r="BA63" s="703"/>
      <c r="BB63" s="703"/>
      <c r="BC63" s="703"/>
      <c r="BD63" s="703"/>
      <c r="BE63" s="703"/>
      <c r="BF63" s="703"/>
      <c r="BG63" s="703"/>
      <c r="BH63" s="703"/>
      <c r="BI63" s="703"/>
      <c r="BJ63" s="703"/>
      <c r="BK63" s="703"/>
      <c r="BL63" s="703"/>
      <c r="BM63" s="703"/>
      <c r="BN63" s="703"/>
      <c r="BO63" s="703"/>
      <c r="BP63" s="703"/>
      <c r="BQ63" s="703"/>
      <c r="BR63" s="703"/>
      <c r="BS63" s="703"/>
      <c r="BT63" s="703"/>
      <c r="BU63" s="703"/>
      <c r="BV63" s="703"/>
      <c r="BW63" s="703"/>
      <c r="BX63" s="703"/>
      <c r="BY63" s="703"/>
      <c r="BZ63" s="703"/>
      <c r="CA63" s="703"/>
      <c r="CB63" s="703"/>
      <c r="CC63" s="703"/>
      <c r="CD63" s="703"/>
      <c r="CE63" s="703"/>
      <c r="CF63" s="703"/>
      <c r="CG63" s="703"/>
      <c r="CH63" s="703"/>
      <c r="CI63" s="703"/>
      <c r="CJ63" s="703"/>
      <c r="CK63" s="703"/>
      <c r="CL63" s="703"/>
      <c r="CM63" s="703"/>
      <c r="CN63" s="703"/>
      <c r="CO63" s="703"/>
      <c r="CP63" s="703"/>
      <c r="CQ63" s="703"/>
      <c r="CR63" s="703"/>
      <c r="CS63" s="703"/>
      <c r="CT63" s="703"/>
      <c r="CU63" s="703"/>
      <c r="CV63" s="703"/>
      <c r="CW63" s="703"/>
      <c r="CX63" s="703"/>
      <c r="CY63" s="703"/>
      <c r="CZ63" s="703"/>
      <c r="DA63" s="703"/>
      <c r="DB63" s="703"/>
      <c r="DC63" s="703"/>
      <c r="DD63" s="703"/>
      <c r="DE63" s="703"/>
      <c r="DF63" s="703"/>
      <c r="DG63" s="703"/>
      <c r="DH63" s="703"/>
      <c r="DI63" s="703"/>
      <c r="DJ63" s="703"/>
      <c r="DK63" s="703"/>
      <c r="DL63" s="703"/>
      <c r="DM63" s="703"/>
      <c r="DN63" s="703"/>
      <c r="DO63" s="703"/>
      <c r="DP63" s="703"/>
      <c r="DQ63" s="703"/>
      <c r="DR63" s="703"/>
      <c r="DS63" s="703"/>
      <c r="DT63" s="703"/>
      <c r="DU63" s="703"/>
      <c r="DV63" s="703"/>
      <c r="DW63" s="703"/>
      <c r="DX63" s="703"/>
      <c r="DY63" s="703"/>
      <c r="DZ63" s="703"/>
      <c r="EA63" s="703"/>
      <c r="EB63" s="389"/>
      <c r="EC63" s="392" t="s">
        <v>65</v>
      </c>
    </row>
    <row r="64" spans="1:133" s="390" customFormat="1">
      <c r="A64" s="389"/>
      <c r="B64" s="389"/>
      <c r="C64" s="389"/>
      <c r="D64" s="1001" t="s">
        <v>262</v>
      </c>
      <c r="E64" s="389"/>
      <c r="F64" s="389"/>
      <c r="G64" s="389"/>
      <c r="H64" s="389"/>
      <c r="I64" s="795"/>
      <c r="J64" s="389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703"/>
      <c r="AB64" s="703"/>
      <c r="AC64" s="703"/>
      <c r="AD64" s="703"/>
      <c r="AE64" s="703"/>
      <c r="AF64" s="703"/>
      <c r="AG64" s="703"/>
      <c r="AH64" s="703"/>
      <c r="AI64" s="703"/>
      <c r="AJ64" s="703"/>
      <c r="AK64" s="703"/>
      <c r="AL64" s="703"/>
      <c r="AM64" s="703"/>
      <c r="AN64" s="703"/>
      <c r="AO64" s="703"/>
      <c r="AP64" s="703"/>
      <c r="AQ64" s="703"/>
      <c r="AR64" s="703"/>
      <c r="AS64" s="703"/>
      <c r="AT64" s="703"/>
      <c r="AU64" s="703"/>
      <c r="AV64" s="703"/>
      <c r="AW64" s="703"/>
      <c r="AX64" s="703"/>
      <c r="AY64" s="703"/>
      <c r="AZ64" s="703"/>
      <c r="BA64" s="703"/>
      <c r="BB64" s="703"/>
      <c r="BC64" s="703"/>
      <c r="BD64" s="703"/>
      <c r="BE64" s="703"/>
      <c r="BF64" s="703"/>
      <c r="BG64" s="703"/>
      <c r="BH64" s="703"/>
      <c r="BI64" s="703"/>
      <c r="BJ64" s="703"/>
      <c r="BK64" s="703"/>
      <c r="BL64" s="703"/>
      <c r="BM64" s="703"/>
      <c r="BN64" s="703"/>
      <c r="BO64" s="703"/>
      <c r="BP64" s="703"/>
      <c r="BQ64" s="703"/>
      <c r="BR64" s="703"/>
      <c r="BS64" s="703"/>
      <c r="BT64" s="703"/>
      <c r="BU64" s="703"/>
      <c r="BV64" s="703"/>
      <c r="BW64" s="703"/>
      <c r="BX64" s="703"/>
      <c r="BY64" s="703"/>
      <c r="BZ64" s="703"/>
      <c r="CA64" s="703"/>
      <c r="CB64" s="703"/>
      <c r="CC64" s="703"/>
      <c r="CD64" s="703"/>
      <c r="CE64" s="703"/>
      <c r="CF64" s="703"/>
      <c r="CG64" s="703"/>
      <c r="CH64" s="703"/>
      <c r="CI64" s="703"/>
      <c r="CJ64" s="703"/>
      <c r="CK64" s="703"/>
      <c r="CL64" s="703"/>
      <c r="CM64" s="703"/>
      <c r="CN64" s="703"/>
      <c r="CO64" s="703"/>
      <c r="CP64" s="703"/>
      <c r="CQ64" s="703"/>
      <c r="CR64" s="703"/>
      <c r="CS64" s="703"/>
      <c r="CT64" s="703"/>
      <c r="CU64" s="703"/>
      <c r="CV64" s="703"/>
      <c r="CW64" s="703"/>
      <c r="CX64" s="703"/>
      <c r="CY64" s="703"/>
      <c r="CZ64" s="703"/>
      <c r="DA64" s="703"/>
      <c r="DB64" s="703"/>
      <c r="DC64" s="703"/>
      <c r="DD64" s="703"/>
      <c r="DE64" s="703"/>
      <c r="DF64" s="703"/>
      <c r="DG64" s="703"/>
      <c r="DH64" s="703"/>
      <c r="DI64" s="703"/>
      <c r="DJ64" s="703"/>
      <c r="DK64" s="703"/>
      <c r="DL64" s="703"/>
      <c r="DM64" s="703"/>
      <c r="DN64" s="703"/>
      <c r="DO64" s="703"/>
      <c r="DP64" s="703"/>
      <c r="DQ64" s="703"/>
      <c r="DR64" s="703"/>
      <c r="DS64" s="703"/>
      <c r="DT64" s="703"/>
      <c r="DU64" s="703"/>
      <c r="DV64" s="703"/>
      <c r="DW64" s="703"/>
      <c r="DX64" s="703"/>
      <c r="DY64" s="703"/>
      <c r="DZ64" s="703"/>
      <c r="EA64" s="703"/>
      <c r="EB64" s="389"/>
      <c r="EC64" s="392" t="s">
        <v>65</v>
      </c>
    </row>
    <row r="65" spans="1:133" s="390" customFormat="1">
      <c r="A65" s="389"/>
      <c r="B65" s="389"/>
      <c r="C65" s="389"/>
      <c r="D65" s="389" t="s">
        <v>73</v>
      </c>
      <c r="E65" s="389"/>
      <c r="F65" s="389"/>
      <c r="G65" s="389"/>
      <c r="H65" s="389"/>
      <c r="I65" s="795"/>
      <c r="J65" s="389"/>
      <c r="K65" s="703"/>
      <c r="L65" s="703">
        <f ca="1">IFERROR(IF(L9&lt;=Assumptions!$M$62,('Monthly-CF'!L56*12)/Assumptions!$M$60,0),0)</f>
        <v>0</v>
      </c>
      <c r="M65" s="703">
        <f ca="1">IFERROR(IF(M9&lt;=Assumptions!$M$62,('Monthly-CF'!M56*12)/Assumptions!$M$60,0),0)</f>
        <v>0</v>
      </c>
      <c r="N65" s="703">
        <f ca="1">IFERROR(IF(N9&lt;=Assumptions!$M$62,('Monthly-CF'!N56*12)/Assumptions!$M$60,0),0)</f>
        <v>0</v>
      </c>
      <c r="O65" s="703">
        <f ca="1">IFERROR(IF(O9&lt;=Assumptions!$M$62,('Monthly-CF'!O56*12)/Assumptions!$M$60,0),0)</f>
        <v>0</v>
      </c>
      <c r="P65" s="703">
        <f ca="1">IFERROR(IF(P9&lt;=Assumptions!$M$62,('Monthly-CF'!P56*12)/Assumptions!$M$60,0),0)</f>
        <v>0</v>
      </c>
      <c r="Q65" s="703">
        <f ca="1">IFERROR(IF(Q9&lt;=Assumptions!$M$62,('Monthly-CF'!Q56*12)/Assumptions!$M$60,0),0)</f>
        <v>0</v>
      </c>
      <c r="R65" s="703">
        <f ca="1">IFERROR(IF(R9&lt;=Assumptions!$M$62,('Monthly-CF'!R56*12)/Assumptions!$M$60,0),0)</f>
        <v>0</v>
      </c>
      <c r="S65" s="703">
        <f ca="1">IFERROR(IF(S9&lt;=Assumptions!$M$62,('Monthly-CF'!S56*12)/Assumptions!$M$60,0),0)</f>
        <v>0</v>
      </c>
      <c r="T65" s="703">
        <f ca="1">IFERROR(IF(T9&lt;=Assumptions!$M$62,('Monthly-CF'!T56*12)/Assumptions!$M$60,0),0)</f>
        <v>0</v>
      </c>
      <c r="U65" s="703">
        <f ca="1">IFERROR(IF(U9&lt;=Assumptions!$M$62,('Monthly-CF'!U56*12)/Assumptions!$M$60,0),0)</f>
        <v>0</v>
      </c>
      <c r="V65" s="703">
        <f ca="1">IFERROR(IF(V9&lt;=Assumptions!$M$62,('Monthly-CF'!V56*12)/Assumptions!$M$60,0),0)</f>
        <v>0</v>
      </c>
      <c r="W65" s="703">
        <f ca="1">IFERROR(IF(W9&lt;=Assumptions!$M$62,('Monthly-CF'!W56*12)/Assumptions!$M$60,0),0)</f>
        <v>0</v>
      </c>
      <c r="X65" s="703">
        <f ca="1">IFERROR(IF(X9&lt;=Assumptions!$M$62,('Monthly-CF'!X56*12)/Assumptions!$M$60,0),0)</f>
        <v>0</v>
      </c>
      <c r="Y65" s="703">
        <f ca="1">IFERROR(IF(Y9&lt;=Assumptions!$M$62,('Monthly-CF'!Y56*12)/Assumptions!$M$60,0),0)</f>
        <v>0</v>
      </c>
      <c r="Z65" s="703">
        <f ca="1">IFERROR(IF(Z9&lt;=Assumptions!$M$62,('Monthly-CF'!Z56*12)/Assumptions!$M$60,0),0)</f>
        <v>0</v>
      </c>
      <c r="AA65" s="703">
        <f ca="1">IFERROR(IF(AA9&lt;=Assumptions!$M$62,('Monthly-CF'!AA56*12)/Assumptions!$M$60,0),0)</f>
        <v>0</v>
      </c>
      <c r="AB65" s="703">
        <f ca="1">IFERROR(IF(AB9&lt;=Assumptions!$M$62,('Monthly-CF'!AB56*12)/Assumptions!$M$60,0),0)</f>
        <v>0</v>
      </c>
      <c r="AC65" s="703">
        <f ca="1">IFERROR(IF(AC9&lt;=Assumptions!$M$62,('Monthly-CF'!AC56*12)/Assumptions!$M$60,0),0)</f>
        <v>0</v>
      </c>
      <c r="AD65" s="703">
        <f ca="1">IFERROR(IF(AD9&lt;=Assumptions!$M$62,('Monthly-CF'!AD56*12)/Assumptions!$M$60,0),0)</f>
        <v>0</v>
      </c>
      <c r="AE65" s="703">
        <f ca="1">IFERROR(IF(AE9&lt;=Assumptions!$M$62,('Monthly-CF'!AE56*12)/Assumptions!$M$60,0),0)</f>
        <v>0</v>
      </c>
      <c r="AF65" s="703">
        <f ca="1">IFERROR(IF(AF9&lt;=Assumptions!$M$62,('Monthly-CF'!AF56*12)/Assumptions!$M$60,0),0)</f>
        <v>0</v>
      </c>
      <c r="AG65" s="703">
        <f ca="1">IFERROR(IF(AG9&lt;=Assumptions!$M$62,('Monthly-CF'!AG56*12)/Assumptions!$M$60,0),0)</f>
        <v>0</v>
      </c>
      <c r="AH65" s="703">
        <f ca="1">IFERROR(IF(AH9&lt;=Assumptions!$M$62,('Monthly-CF'!AH56*12)/Assumptions!$M$60,0),0)</f>
        <v>0</v>
      </c>
      <c r="AI65" s="703">
        <f ca="1">IFERROR(IF(AI9&lt;=Assumptions!$M$62,('Monthly-CF'!AI56*12)/Assumptions!$M$60,0),0)</f>
        <v>0</v>
      </c>
      <c r="AJ65" s="703">
        <f ca="1">IFERROR(IF(AJ9&lt;=Assumptions!$M$62,('Monthly-CF'!AJ56*12)/Assumptions!$M$60,0),0)</f>
        <v>0</v>
      </c>
      <c r="AK65" s="703">
        <f ca="1">IFERROR(IF(AK9&lt;=Assumptions!$M$62,('Monthly-CF'!AK56*12)/Assumptions!$M$60,0),0)</f>
        <v>0</v>
      </c>
      <c r="AL65" s="703">
        <f ca="1">IFERROR(IF(AL9&lt;=Assumptions!$M$62,('Monthly-CF'!AL56*12)/Assumptions!$M$60,0),0)</f>
        <v>0</v>
      </c>
      <c r="AM65" s="703">
        <f ca="1">IFERROR(IF(AM9&lt;=Assumptions!$M$62,('Monthly-CF'!AM56*12)/Assumptions!$M$60,0),0)</f>
        <v>0</v>
      </c>
      <c r="AN65" s="703">
        <f ca="1">IFERROR(IF(AN9&lt;=Assumptions!$M$62,('Monthly-CF'!AN56*12)/Assumptions!$M$60,0),0)</f>
        <v>0</v>
      </c>
      <c r="AO65" s="703">
        <f ca="1">IFERROR(IF(AO9&lt;=Assumptions!$M$62,('Monthly-CF'!AO56*12)/Assumptions!$M$60,0),0)</f>
        <v>0</v>
      </c>
      <c r="AP65" s="703">
        <f ca="1">IFERROR(IF(AP9&lt;=Assumptions!$M$62,('Monthly-CF'!AP56*12)/Assumptions!$M$60,0),0)</f>
        <v>0</v>
      </c>
      <c r="AQ65" s="703">
        <f ca="1">IFERROR(IF(AQ9&lt;=Assumptions!$M$62,('Monthly-CF'!AQ56*12)/Assumptions!$M$60,0),0)</f>
        <v>0</v>
      </c>
      <c r="AR65" s="703">
        <f ca="1">IFERROR(IF(AR9&lt;=Assumptions!$M$62,('Monthly-CF'!AR56*12)/Assumptions!$M$60,0),0)</f>
        <v>0</v>
      </c>
      <c r="AS65" s="703">
        <f ca="1">IFERROR(IF(AS9&lt;=Assumptions!$M$62,('Monthly-CF'!AS56*12)/Assumptions!$M$60,0),0)</f>
        <v>0</v>
      </c>
      <c r="AT65" s="703">
        <f ca="1">IFERROR(IF(AT9&lt;=Assumptions!$M$62,('Monthly-CF'!AT56*12)/Assumptions!$M$60,0),0)</f>
        <v>0</v>
      </c>
      <c r="AU65" s="703">
        <f ca="1">IFERROR(IF(AU9&lt;=Assumptions!$M$62,('Monthly-CF'!AU56*12)/Assumptions!$M$60,0),0)</f>
        <v>0</v>
      </c>
      <c r="AV65" s="703">
        <f ca="1">IFERROR(IF(AV9&lt;=Assumptions!$M$62,('Monthly-CF'!AV56*12)/Assumptions!$M$60,0),0)</f>
        <v>0</v>
      </c>
      <c r="AW65" s="703">
        <f ca="1">IFERROR(IF(AW9&lt;=Assumptions!$M$62,('Monthly-CF'!AW56*12)/Assumptions!$M$60,0),0)</f>
        <v>0</v>
      </c>
      <c r="AX65" s="703">
        <f ca="1">IFERROR(IF(AX9&lt;=Assumptions!$M$62,('Monthly-CF'!AX56*12)/Assumptions!$M$60,0),0)</f>
        <v>0</v>
      </c>
      <c r="AY65" s="703">
        <f ca="1">IFERROR(IF(AY9&lt;=Assumptions!$M$62,('Monthly-CF'!AY56*12)/Assumptions!$M$60,0),0)</f>
        <v>0</v>
      </c>
      <c r="AZ65" s="703">
        <f ca="1">IFERROR(IF(AZ9&lt;=Assumptions!$M$62,('Monthly-CF'!AZ56*12)/Assumptions!$M$60,0),0)</f>
        <v>0</v>
      </c>
      <c r="BA65" s="703">
        <f ca="1">IFERROR(IF(BA9&lt;=Assumptions!$M$62,('Monthly-CF'!BA56*12)/Assumptions!$M$60,0),0)</f>
        <v>0</v>
      </c>
      <c r="BB65" s="703">
        <f ca="1">IFERROR(IF(BB9&lt;=Assumptions!$M$62,('Monthly-CF'!BB56*12)/Assumptions!$M$60,0),0)</f>
        <v>0</v>
      </c>
      <c r="BC65" s="703">
        <f ca="1">IFERROR(IF(BC9&lt;=Assumptions!$M$62,('Monthly-CF'!BC56*12)/Assumptions!$M$60,0),0)</f>
        <v>0</v>
      </c>
      <c r="BD65" s="703">
        <f ca="1">IFERROR(IF(BD9&lt;=Assumptions!$M$62,('Monthly-CF'!BD56*12)/Assumptions!$M$60,0),0)</f>
        <v>0</v>
      </c>
      <c r="BE65" s="703">
        <f ca="1">IFERROR(IF(BE9&lt;=Assumptions!$M$62,('Monthly-CF'!BE56*12)/Assumptions!$M$60,0),0)</f>
        <v>0</v>
      </c>
      <c r="BF65" s="703">
        <f ca="1">IFERROR(IF(BF9&lt;=Assumptions!$M$62,('Monthly-CF'!BF56*12)/Assumptions!$M$60,0),0)</f>
        <v>0</v>
      </c>
      <c r="BG65" s="703">
        <f ca="1">IFERROR(IF(BG9&lt;=Assumptions!$M$62,('Monthly-CF'!BG56*12)/Assumptions!$M$60,0),0)</f>
        <v>0</v>
      </c>
      <c r="BH65" s="703">
        <f ca="1">IFERROR(IF(BH9&lt;=Assumptions!$M$62,('Monthly-CF'!BH56*12)/Assumptions!$M$60,0),0)</f>
        <v>0</v>
      </c>
      <c r="BI65" s="703">
        <f ca="1">IFERROR(IF(BI9&lt;=Assumptions!$M$62,('Monthly-CF'!BI56*12)/Assumptions!$M$60,0),0)</f>
        <v>0</v>
      </c>
      <c r="BJ65" s="703">
        <f ca="1">IFERROR(IF(BJ9&lt;=Assumptions!$M$62,('Monthly-CF'!BJ56*12)/Assumptions!$M$60,0),0)</f>
        <v>0</v>
      </c>
      <c r="BK65" s="703">
        <f ca="1">IFERROR(IF(BK9&lt;=Assumptions!$M$62,('Monthly-CF'!BK56*12)/Assumptions!$M$60,0),0)</f>
        <v>0</v>
      </c>
      <c r="BL65" s="703">
        <f ca="1">IFERROR(IF(BL9&lt;=Assumptions!$M$62,('Monthly-CF'!BL56*12)/Assumptions!$M$60,0),0)</f>
        <v>0</v>
      </c>
      <c r="BM65" s="703">
        <f ca="1">IFERROR(IF(BM9&lt;=Assumptions!$M$62,('Monthly-CF'!BM56*12)/Assumptions!$M$60,0),0)</f>
        <v>0</v>
      </c>
      <c r="BN65" s="703">
        <f ca="1">IFERROR(IF(BN9&lt;=Assumptions!$M$62,('Monthly-CF'!BN56*12)/Assumptions!$M$60,0),0)</f>
        <v>0</v>
      </c>
      <c r="BO65" s="703">
        <f ca="1">IFERROR(IF(BO9&lt;=Assumptions!$M$62,('Monthly-CF'!BO56*12)/Assumptions!$M$60,0),0)</f>
        <v>0</v>
      </c>
      <c r="BP65" s="703">
        <f ca="1">IFERROR(IF(BP9&lt;=Assumptions!$M$62,('Monthly-CF'!BP56*12)/Assumptions!$M$60,0),0)</f>
        <v>0</v>
      </c>
      <c r="BQ65" s="703">
        <f ca="1">IFERROR(IF(BQ9&lt;=Assumptions!$M$62,('Monthly-CF'!BQ56*12)/Assumptions!$M$60,0),0)</f>
        <v>0</v>
      </c>
      <c r="BR65" s="703">
        <f ca="1">IFERROR(IF(BR9&lt;=Assumptions!$M$62,('Monthly-CF'!BR56*12)/Assumptions!$M$60,0),0)</f>
        <v>0</v>
      </c>
      <c r="BS65" s="703">
        <f ca="1">IFERROR(IF(BS9&lt;=Assumptions!$M$62,('Monthly-CF'!BS56*12)/Assumptions!$M$60,0),0)</f>
        <v>0</v>
      </c>
      <c r="BT65" s="703">
        <f ca="1">IFERROR(IF(BT9&lt;=Assumptions!$M$62,('Monthly-CF'!BT56*12)/Assumptions!$M$60,0),0)</f>
        <v>0</v>
      </c>
      <c r="BU65" s="703">
        <f ca="1">IFERROR(IF(BU9&lt;=Assumptions!$M$62,('Monthly-CF'!BU56*12)/Assumptions!$M$60,0),0)</f>
        <v>0</v>
      </c>
      <c r="BV65" s="703">
        <f ca="1">IFERROR(IF(BV9&lt;=Assumptions!$M$62,('Monthly-CF'!BV56*12)/Assumptions!$M$60,0),0)</f>
        <v>0</v>
      </c>
      <c r="BW65" s="703">
        <f ca="1">IFERROR(IF(BW9&lt;=Assumptions!$M$62,('Monthly-CF'!BW56*12)/Assumptions!$M$60,0),0)</f>
        <v>0</v>
      </c>
      <c r="BX65" s="703">
        <f ca="1">IFERROR(IF(BX9&lt;=Assumptions!$M$62,('Monthly-CF'!BX56*12)/Assumptions!$M$60,0),0)</f>
        <v>0</v>
      </c>
      <c r="BY65" s="703">
        <f ca="1">IFERROR(IF(BY9&lt;=Assumptions!$M$62,('Monthly-CF'!BY56*12)/Assumptions!$M$60,0),0)</f>
        <v>0</v>
      </c>
      <c r="BZ65" s="703">
        <f ca="1">IFERROR(IF(BZ9&lt;=Assumptions!$M$62,('Monthly-CF'!BZ56*12)/Assumptions!$M$60,0),0)</f>
        <v>0</v>
      </c>
      <c r="CA65" s="703">
        <f ca="1">IFERROR(IF(CA9&lt;=Assumptions!$M$62,('Monthly-CF'!CA56*12)/Assumptions!$M$60,0),0)</f>
        <v>0</v>
      </c>
      <c r="CB65" s="703">
        <f ca="1">IFERROR(IF(CB9&lt;=Assumptions!$M$62,('Monthly-CF'!CB56*12)/Assumptions!$M$60,0),0)</f>
        <v>0</v>
      </c>
      <c r="CC65" s="703">
        <f ca="1">IFERROR(IF(CC9&lt;=Assumptions!$M$62,('Monthly-CF'!CC56*12)/Assumptions!$M$60,0),0)</f>
        <v>0</v>
      </c>
      <c r="CD65" s="703">
        <f ca="1">IFERROR(IF(CD9&lt;=Assumptions!$M$62,('Monthly-CF'!CD56*12)/Assumptions!$M$60,0),0)</f>
        <v>0</v>
      </c>
      <c r="CE65" s="703">
        <f ca="1">IFERROR(IF(CE9&lt;=Assumptions!$M$62,('Monthly-CF'!CE56*12)/Assumptions!$M$60,0),0)</f>
        <v>0</v>
      </c>
      <c r="CF65" s="703">
        <f ca="1">IFERROR(IF(CF9&lt;=Assumptions!$M$62,('Monthly-CF'!CF56*12)/Assumptions!$M$60,0),0)</f>
        <v>0</v>
      </c>
      <c r="CG65" s="703">
        <f ca="1">IFERROR(IF(CG9&lt;=Assumptions!$M$62,('Monthly-CF'!CG56*12)/Assumptions!$M$60,0),0)</f>
        <v>0</v>
      </c>
      <c r="CH65" s="703">
        <f ca="1">IFERROR(IF(CH9&lt;=Assumptions!$M$62,('Monthly-CF'!CH56*12)/Assumptions!$M$60,0),0)</f>
        <v>0</v>
      </c>
      <c r="CI65" s="703">
        <f ca="1">IFERROR(IF(CI9&lt;=Assumptions!$M$62,('Monthly-CF'!CI56*12)/Assumptions!$M$60,0),0)</f>
        <v>0</v>
      </c>
      <c r="CJ65" s="703">
        <f ca="1">IFERROR(IF(CJ9&lt;=Assumptions!$M$62,('Monthly-CF'!CJ56*12)/Assumptions!$M$60,0),0)</f>
        <v>0</v>
      </c>
      <c r="CK65" s="703">
        <f ca="1">IFERROR(IF(CK9&lt;=Assumptions!$M$62,('Monthly-CF'!CK56*12)/Assumptions!$M$60,0),0)</f>
        <v>0</v>
      </c>
      <c r="CL65" s="703">
        <f ca="1">IFERROR(IF(CL9&lt;=Assumptions!$M$62,('Monthly-CF'!CL56*12)/Assumptions!$M$60,0),0)</f>
        <v>0</v>
      </c>
      <c r="CM65" s="703">
        <f ca="1">IFERROR(IF(CM9&lt;=Assumptions!$M$62,('Monthly-CF'!CM56*12)/Assumptions!$M$60,0),0)</f>
        <v>0</v>
      </c>
      <c r="CN65" s="703">
        <f ca="1">IFERROR(IF(CN9&lt;=Assumptions!$M$62,('Monthly-CF'!CN56*12)/Assumptions!$M$60,0),0)</f>
        <v>0</v>
      </c>
      <c r="CO65" s="703">
        <f ca="1">IFERROR(IF(CO9&lt;=Assumptions!$M$62,('Monthly-CF'!CO56*12)/Assumptions!$M$60,0),0)</f>
        <v>0</v>
      </c>
      <c r="CP65" s="703">
        <f ca="1">IFERROR(IF(CP9&lt;=Assumptions!$M$62,('Monthly-CF'!CP56*12)/Assumptions!$M$60,0),0)</f>
        <v>0</v>
      </c>
      <c r="CQ65" s="703">
        <f ca="1">IFERROR(IF(CQ9&lt;=Assumptions!$M$62,('Monthly-CF'!CQ56*12)/Assumptions!$M$60,0),0)</f>
        <v>0</v>
      </c>
      <c r="CR65" s="703">
        <f ca="1">IFERROR(IF(CR9&lt;=Assumptions!$M$62,('Monthly-CF'!CR56*12)/Assumptions!$M$60,0),0)</f>
        <v>0</v>
      </c>
      <c r="CS65" s="703">
        <f ca="1">IFERROR(IF(CS9&lt;=Assumptions!$M$62,('Monthly-CF'!CS56*12)/Assumptions!$M$60,0),0)</f>
        <v>0</v>
      </c>
      <c r="CT65" s="703">
        <f ca="1">IFERROR(IF(CT9&lt;=Assumptions!$M$62,('Monthly-CF'!CT56*12)/Assumptions!$M$60,0),0)</f>
        <v>0</v>
      </c>
      <c r="CU65" s="703">
        <f ca="1">IFERROR(IF(CU9&lt;=Assumptions!$M$62,('Monthly-CF'!CU56*12)/Assumptions!$M$60,0),0)</f>
        <v>0</v>
      </c>
      <c r="CV65" s="703">
        <f ca="1">IFERROR(IF(CV9&lt;=Assumptions!$M$62,('Monthly-CF'!CV56*12)/Assumptions!$M$60,0),0)</f>
        <v>0</v>
      </c>
      <c r="CW65" s="703">
        <f ca="1">IFERROR(IF(CW9&lt;=Assumptions!$M$62,('Monthly-CF'!CW56*12)/Assumptions!$M$60,0),0)</f>
        <v>0</v>
      </c>
      <c r="CX65" s="703">
        <f ca="1">IFERROR(IF(CX9&lt;=Assumptions!$M$62,('Monthly-CF'!CX56*12)/Assumptions!$M$60,0),0)</f>
        <v>0</v>
      </c>
      <c r="CY65" s="703">
        <f ca="1">IFERROR(IF(CY9&lt;=Assumptions!$M$62,('Monthly-CF'!CY56*12)/Assumptions!$M$60,0),0)</f>
        <v>0</v>
      </c>
      <c r="CZ65" s="703">
        <f ca="1">IFERROR(IF(CZ9&lt;=Assumptions!$M$62,('Monthly-CF'!CZ56*12)/Assumptions!$M$60,0),0)</f>
        <v>0</v>
      </c>
      <c r="DA65" s="703">
        <f ca="1">IFERROR(IF(DA9&lt;=Assumptions!$M$62,('Monthly-CF'!DA56*12)/Assumptions!$M$60,0),0)</f>
        <v>0</v>
      </c>
      <c r="DB65" s="703">
        <f ca="1">IFERROR(IF(DB9&lt;=Assumptions!$M$62,('Monthly-CF'!DB56*12)/Assumptions!$M$60,0),0)</f>
        <v>0</v>
      </c>
      <c r="DC65" s="703">
        <f ca="1">IFERROR(IF(DC9&lt;=Assumptions!$M$62,('Monthly-CF'!DC56*12)/Assumptions!$M$60,0),0)</f>
        <v>0</v>
      </c>
      <c r="DD65" s="703">
        <f ca="1">IFERROR(IF(DD9&lt;=Assumptions!$M$62,('Monthly-CF'!DD56*12)/Assumptions!$M$60,0),0)</f>
        <v>0</v>
      </c>
      <c r="DE65" s="703">
        <f ca="1">IFERROR(IF(DE9&lt;=Assumptions!$M$62,('Monthly-CF'!DE56*12)/Assumptions!$M$60,0),0)</f>
        <v>0</v>
      </c>
      <c r="DF65" s="703">
        <f ca="1">IFERROR(IF(DF9&lt;=Assumptions!$M$62,('Monthly-CF'!DF56*12)/Assumptions!$M$60,0),0)</f>
        <v>0</v>
      </c>
      <c r="DG65" s="703">
        <f ca="1">IFERROR(IF(DG9&lt;=Assumptions!$M$62,('Monthly-CF'!DG56*12)/Assumptions!$M$60,0),0)</f>
        <v>0</v>
      </c>
      <c r="DH65" s="703">
        <f ca="1">IFERROR(IF(DH9&lt;=Assumptions!$M$62,('Monthly-CF'!DH56*12)/Assumptions!$M$60,0),0)</f>
        <v>0</v>
      </c>
      <c r="DI65" s="703">
        <f ca="1">IFERROR(IF(DI9&lt;=Assumptions!$M$62,('Monthly-CF'!DI56*12)/Assumptions!$M$60,0),0)</f>
        <v>0</v>
      </c>
      <c r="DJ65" s="703">
        <f ca="1">IFERROR(IF(DJ9&lt;=Assumptions!$M$62,('Monthly-CF'!DJ56*12)/Assumptions!$M$60,0),0)</f>
        <v>0</v>
      </c>
      <c r="DK65" s="703">
        <f ca="1">IFERROR(IF(DK9&lt;=Assumptions!$M$62,('Monthly-CF'!DK56*12)/Assumptions!$M$60,0),0)</f>
        <v>0</v>
      </c>
      <c r="DL65" s="703">
        <f ca="1">IFERROR(IF(DL9&lt;=Assumptions!$M$62,('Monthly-CF'!DL56*12)/Assumptions!$M$60,0),0)</f>
        <v>0</v>
      </c>
      <c r="DM65" s="703">
        <f ca="1">IFERROR(IF(DM9&lt;=Assumptions!$M$62,('Monthly-CF'!DM56*12)/Assumptions!$M$60,0),0)</f>
        <v>0</v>
      </c>
      <c r="DN65" s="703">
        <f ca="1">IFERROR(IF(DN9&lt;=Assumptions!$M$62,('Monthly-CF'!DN56*12)/Assumptions!$M$60,0),0)</f>
        <v>0</v>
      </c>
      <c r="DO65" s="703">
        <f ca="1">IFERROR(IF(DO9&lt;=Assumptions!$M$62,('Monthly-CF'!DO56*12)/Assumptions!$M$60,0),0)</f>
        <v>0</v>
      </c>
      <c r="DP65" s="703">
        <f ca="1">IFERROR(IF(DP9&lt;=Assumptions!$M$62,('Monthly-CF'!DP56*12)/Assumptions!$M$60,0),0)</f>
        <v>0</v>
      </c>
      <c r="DQ65" s="703">
        <f ca="1">IFERROR(IF(DQ9&lt;=Assumptions!$M$62,('Monthly-CF'!DQ56*12)/Assumptions!$M$60,0),0)</f>
        <v>0</v>
      </c>
      <c r="DR65" s="703">
        <f ca="1">IFERROR(IF(DR9&lt;=Assumptions!$M$62,('Monthly-CF'!DR56*12)/Assumptions!$M$60,0),0)</f>
        <v>0</v>
      </c>
      <c r="DS65" s="703">
        <f ca="1">IFERROR(IF(DS9&lt;=Assumptions!$M$62,('Monthly-CF'!DS56*12)/Assumptions!$M$60,0),0)</f>
        <v>0</v>
      </c>
      <c r="DT65" s="703">
        <f ca="1">IFERROR(IF(DT9&lt;=Assumptions!$M$62,('Monthly-CF'!DT56*12)/Assumptions!$M$60,0),0)</f>
        <v>0</v>
      </c>
      <c r="DU65" s="703">
        <f ca="1">IFERROR(IF(DU9&lt;=Assumptions!$M$62,('Monthly-CF'!DU56*12)/Assumptions!$M$60,0),0)</f>
        <v>0</v>
      </c>
      <c r="DV65" s="703">
        <f ca="1">IFERROR(IF(DV9&lt;=Assumptions!$M$62,('Monthly-CF'!DV56*12)/Assumptions!$M$60,0),0)</f>
        <v>0</v>
      </c>
      <c r="DW65" s="703">
        <f ca="1">IFERROR(IF(DW9&lt;=Assumptions!$M$62,('Monthly-CF'!DW56*12)/Assumptions!$M$60,0),0)</f>
        <v>0</v>
      </c>
      <c r="DX65" s="703">
        <f ca="1">IFERROR(IF(DX9&lt;=Assumptions!$M$62,('Monthly-CF'!DX56*12)/Assumptions!$M$60,0),0)</f>
        <v>0</v>
      </c>
      <c r="DY65" s="703">
        <f ca="1">IFERROR(IF(DY9&lt;=Assumptions!$M$62,('Monthly-CF'!DY56*12)/Assumptions!$M$60,0),0)</f>
        <v>0</v>
      </c>
      <c r="DZ65" s="703">
        <f ca="1">IFERROR(IF(DZ9&lt;=Assumptions!$M$62,('Monthly-CF'!DZ56*12)/Assumptions!$M$60,0),0)</f>
        <v>0</v>
      </c>
      <c r="EA65" s="703">
        <f ca="1">IFERROR(IF(EA9&lt;=Assumptions!$M$62,('Monthly-CF'!EA56*12)/Assumptions!$M$60,0),0)</f>
        <v>0</v>
      </c>
      <c r="EB65" s="389"/>
      <c r="EC65" s="392" t="s">
        <v>65</v>
      </c>
    </row>
    <row r="66" spans="1:133" s="390" customFormat="1">
      <c r="A66" s="389"/>
      <c r="B66" s="389"/>
      <c r="C66" s="389"/>
      <c r="D66" s="389" t="s">
        <v>136</v>
      </c>
      <c r="E66" s="389"/>
      <c r="F66" s="389">
        <v>-2594174.4531202056</v>
      </c>
      <c r="G66" s="389">
        <f ca="1">F66-I74</f>
        <v>-119882.96483597951</v>
      </c>
      <c r="H66" s="389"/>
      <c r="I66" s="795">
        <f t="shared" ref="I66" ca="1" si="73">SUM(K66:EA66)</f>
        <v>0</v>
      </c>
      <c r="J66" s="389"/>
      <c r="K66" s="703"/>
      <c r="L66" s="703">
        <f>IFERROR(IF(Assumptions!$M$63='Monthly-CF'!L$8,L65*(1-Assumptions!$M$61),0),0)</f>
        <v>0</v>
      </c>
      <c r="M66" s="703">
        <f>IFERROR(IF(Assumptions!$M$63='Monthly-CF'!M$8,M65*(1-Assumptions!$M$61),0),0)</f>
        <v>0</v>
      </c>
      <c r="N66" s="703">
        <f>IFERROR(IF(Assumptions!$M$63='Monthly-CF'!N$8,N65*(1-Assumptions!$M$61),0),0)</f>
        <v>0</v>
      </c>
      <c r="O66" s="703">
        <f>IFERROR(IF(Assumptions!$M$63='Monthly-CF'!O$8,O65*(1-Assumptions!$M$61),0),0)</f>
        <v>0</v>
      </c>
      <c r="P66" s="703">
        <f>IFERROR(IF(Assumptions!$M$63='Monthly-CF'!P$8,P65*(1-Assumptions!$M$61),0),0)</f>
        <v>0</v>
      </c>
      <c r="Q66" s="703">
        <f>IFERROR(IF(Assumptions!$M$63='Monthly-CF'!Q$8,Q65*(1-Assumptions!$M$61),0),0)</f>
        <v>0</v>
      </c>
      <c r="R66" s="703">
        <f>IFERROR(IF(Assumptions!$M$63='Monthly-CF'!R$8,R65*(1-Assumptions!$M$61),0),0)</f>
        <v>0</v>
      </c>
      <c r="S66" s="703">
        <f>IFERROR(IF(Assumptions!$M$63='Monthly-CF'!S$8,S65*(1-Assumptions!$M$61),0),0)</f>
        <v>0</v>
      </c>
      <c r="T66" s="703">
        <f>IFERROR(IF(Assumptions!$M$63='Monthly-CF'!T$8,T65*(1-Assumptions!$M$61),0),0)</f>
        <v>0</v>
      </c>
      <c r="U66" s="703">
        <f>IFERROR(IF(Assumptions!$M$63='Monthly-CF'!U$8,U65*(1-Assumptions!$M$61),0),0)</f>
        <v>0</v>
      </c>
      <c r="V66" s="703">
        <f>IFERROR(IF(Assumptions!$M$63='Monthly-CF'!V$8,V65*(1-Assumptions!$M$61),0),0)</f>
        <v>0</v>
      </c>
      <c r="W66" s="703">
        <f>IFERROR(IF(Assumptions!$M$63='Monthly-CF'!W$8,W65*(1-Assumptions!$M$61),0),0)</f>
        <v>0</v>
      </c>
      <c r="X66" s="703">
        <f>IFERROR(IF(Assumptions!$M$63='Monthly-CF'!X$8,X65*(1-Assumptions!$M$61),0),0)</f>
        <v>0</v>
      </c>
      <c r="Y66" s="703">
        <f>IFERROR(IF(Assumptions!$M$63='Monthly-CF'!Y$8,Y65*(1-Assumptions!$M$61),0),0)</f>
        <v>0</v>
      </c>
      <c r="Z66" s="703">
        <f>IFERROR(IF(Assumptions!$M$63='Monthly-CF'!Z$8,Z65*(1-Assumptions!$M$61),0),0)</f>
        <v>0</v>
      </c>
      <c r="AA66" s="703">
        <f>IFERROR(IF(Assumptions!$M$63='Monthly-CF'!AA$8,AA65*(1-Assumptions!$M$61),0),0)</f>
        <v>0</v>
      </c>
      <c r="AB66" s="703">
        <f>IFERROR(IF(Assumptions!$M$63='Monthly-CF'!AB$8,AB65*(1-Assumptions!$M$61),0),0)</f>
        <v>0</v>
      </c>
      <c r="AC66" s="703">
        <f>IFERROR(IF(Assumptions!$M$63='Monthly-CF'!AC$8,AC65*(1-Assumptions!$M$61),0),0)</f>
        <v>0</v>
      </c>
      <c r="AD66" s="703">
        <f>IFERROR(IF(Assumptions!$M$63='Monthly-CF'!AD$8,AD65*(1-Assumptions!$M$61),0),0)</f>
        <v>0</v>
      </c>
      <c r="AE66" s="703">
        <f>IFERROR(IF(Assumptions!$M$63='Monthly-CF'!AE$8,AE65*(1-Assumptions!$M$61),0),0)</f>
        <v>0</v>
      </c>
      <c r="AF66" s="703">
        <f>IFERROR(IF(Assumptions!$M$63='Monthly-CF'!AF$8,AF65*(1-Assumptions!$M$61),0),0)</f>
        <v>0</v>
      </c>
      <c r="AG66" s="703">
        <f>IFERROR(IF(Assumptions!$M$63='Monthly-CF'!AG$8,AG65*(1-Assumptions!$M$61),0),0)</f>
        <v>0</v>
      </c>
      <c r="AH66" s="703">
        <f>IFERROR(IF(Assumptions!$M$63='Monthly-CF'!AH$8,AH65*(1-Assumptions!$M$61),0),0)</f>
        <v>0</v>
      </c>
      <c r="AI66" s="703">
        <f>IFERROR(IF(Assumptions!$M$63='Monthly-CF'!AI$8,AI65*(1-Assumptions!$M$61),0),0)</f>
        <v>0</v>
      </c>
      <c r="AJ66" s="703">
        <f>IFERROR(IF(Assumptions!$M$63='Monthly-CF'!AJ$8,AJ65*(1-Assumptions!$M$61),0),0)</f>
        <v>0</v>
      </c>
      <c r="AK66" s="703">
        <f>IFERROR(IF(Assumptions!$M$63='Monthly-CF'!AK$8,AK65*(1-Assumptions!$M$61),0),0)</f>
        <v>0</v>
      </c>
      <c r="AL66" s="703">
        <f>IFERROR(IF(Assumptions!$M$63='Monthly-CF'!AL$8,AL65*(1-Assumptions!$M$61),0),0)</f>
        <v>0</v>
      </c>
      <c r="AM66" s="703">
        <f>IFERROR(IF(Assumptions!$M$63='Monthly-CF'!AM$8,AM65*(1-Assumptions!$M$61),0),0)</f>
        <v>0</v>
      </c>
      <c r="AN66" s="703">
        <f>IFERROR(IF(Assumptions!$M$63='Monthly-CF'!AN$8,AN65*(1-Assumptions!$M$61),0),0)</f>
        <v>0</v>
      </c>
      <c r="AO66" s="703">
        <f>IFERROR(IF(Assumptions!$M$63='Monthly-CF'!AO$8,AO65*(1-Assumptions!$M$61),0),0)</f>
        <v>0</v>
      </c>
      <c r="AP66" s="703">
        <f>IFERROR(IF(Assumptions!$M$63='Monthly-CF'!AP$8,AP65*(1-Assumptions!$M$61),0),0)</f>
        <v>0</v>
      </c>
      <c r="AQ66" s="703">
        <f>IFERROR(IF(Assumptions!$M$63='Monthly-CF'!AQ$8,AQ65*(1-Assumptions!$M$61),0),0)</f>
        <v>0</v>
      </c>
      <c r="AR66" s="703">
        <f>IFERROR(IF(Assumptions!$M$63='Monthly-CF'!AR$8,AR65*(1-Assumptions!$M$61),0),0)</f>
        <v>0</v>
      </c>
      <c r="AS66" s="703">
        <f>IFERROR(IF(Assumptions!$M$63='Monthly-CF'!AS$8,AS65*(1-Assumptions!$M$61),0),0)</f>
        <v>0</v>
      </c>
      <c r="AT66" s="703">
        <f>IFERROR(IF(Assumptions!$M$63='Monthly-CF'!AT$8,AT65*(1-Assumptions!$M$61),0),0)</f>
        <v>0</v>
      </c>
      <c r="AU66" s="703">
        <f>IFERROR(IF(Assumptions!$M$63='Monthly-CF'!AU$8,AU65*(1-Assumptions!$M$61),0),0)</f>
        <v>0</v>
      </c>
      <c r="AV66" s="703">
        <f>IFERROR(IF(Assumptions!$M$63='Monthly-CF'!AV$8,AV65*(1-Assumptions!$M$61),0),0)</f>
        <v>0</v>
      </c>
      <c r="AW66" s="703">
        <f>IFERROR(IF(Assumptions!$M$63='Monthly-CF'!AW$8,AW65*(1-Assumptions!$M$61),0),0)</f>
        <v>0</v>
      </c>
      <c r="AX66" s="703">
        <f>IFERROR(IF(Assumptions!$M$63='Monthly-CF'!AX$8,AX65*(1-Assumptions!$M$61),0),0)</f>
        <v>0</v>
      </c>
      <c r="AY66" s="703">
        <f>IFERROR(IF(Assumptions!$M$63='Monthly-CF'!AY$8,AY65*(1-Assumptions!$M$61),0),0)</f>
        <v>0</v>
      </c>
      <c r="AZ66" s="703">
        <f>IFERROR(IF(Assumptions!$M$63='Monthly-CF'!AZ$8,AZ65*(1-Assumptions!$M$61),0),0)</f>
        <v>0</v>
      </c>
      <c r="BA66" s="703">
        <f>IFERROR(IF(Assumptions!$M$63='Monthly-CF'!BA$8,BA65*(1-Assumptions!$M$61),0),0)</f>
        <v>0</v>
      </c>
      <c r="BB66" s="703">
        <f>IFERROR(IF(Assumptions!$M$63='Monthly-CF'!BB$8,BB65*(1-Assumptions!$M$61),0),0)</f>
        <v>0</v>
      </c>
      <c r="BC66" s="703">
        <f>IFERROR(IF(Assumptions!$M$63='Monthly-CF'!BC$8,BC65*(1-Assumptions!$M$61),0),0)</f>
        <v>0</v>
      </c>
      <c r="BD66" s="703">
        <f>IFERROR(IF(Assumptions!$M$63='Monthly-CF'!BD$8,BD65*(1-Assumptions!$M$61),0),0)</f>
        <v>0</v>
      </c>
      <c r="BE66" s="703">
        <f>IFERROR(IF(Assumptions!$M$63='Monthly-CF'!BE$8,BE65*(1-Assumptions!$M$61),0),0)</f>
        <v>0</v>
      </c>
      <c r="BF66" s="703">
        <f>IFERROR(IF(Assumptions!$M$63='Monthly-CF'!BF$8,BF65*(1-Assumptions!$M$61),0),0)</f>
        <v>0</v>
      </c>
      <c r="BG66" s="703">
        <f>IFERROR(IF(Assumptions!$M$63='Monthly-CF'!BG$8,BG65*(1-Assumptions!$M$61),0),0)</f>
        <v>0</v>
      </c>
      <c r="BH66" s="703">
        <f>IFERROR(IF(Assumptions!$M$63='Monthly-CF'!BH$8,BH65*(1-Assumptions!$M$61),0),0)</f>
        <v>0</v>
      </c>
      <c r="BI66" s="703">
        <f>IFERROR(IF(Assumptions!$M$63='Monthly-CF'!BI$8,BI65*(1-Assumptions!$M$61),0),0)</f>
        <v>0</v>
      </c>
      <c r="BJ66" s="703">
        <f>IFERROR(IF(Assumptions!$M$63='Monthly-CF'!BJ$8,BJ65*(1-Assumptions!$M$61),0),0)</f>
        <v>0</v>
      </c>
      <c r="BK66" s="703">
        <f>IFERROR(IF(Assumptions!$M$63='Monthly-CF'!BK$8,BK65*(1-Assumptions!$M$61),0),0)</f>
        <v>0</v>
      </c>
      <c r="BL66" s="703">
        <f>IFERROR(IF(Assumptions!$M$63='Monthly-CF'!BL$8,BL65*(1-Assumptions!$M$61),0),0)</f>
        <v>0</v>
      </c>
      <c r="BM66" s="703">
        <f>IFERROR(IF(Assumptions!$M$63='Monthly-CF'!BM$8,BM65*(1-Assumptions!$M$61),0),0)</f>
        <v>0</v>
      </c>
      <c r="BN66" s="703">
        <f>IFERROR(IF(Assumptions!$M$63='Monthly-CF'!BN$8,BN65*(1-Assumptions!$M$61),0),0)</f>
        <v>0</v>
      </c>
      <c r="BO66" s="703">
        <f>IFERROR(IF(Assumptions!$M$63='Monthly-CF'!BO$8,BO65*(1-Assumptions!$M$61),0),0)</f>
        <v>0</v>
      </c>
      <c r="BP66" s="703">
        <f>IFERROR(IF(Assumptions!$M$63='Monthly-CF'!BP$8,BP65*(1-Assumptions!$M$61),0),0)</f>
        <v>0</v>
      </c>
      <c r="BQ66" s="703">
        <f>IFERROR(IF(Assumptions!$M$63='Monthly-CF'!BQ$8,BQ65*(1-Assumptions!$M$61),0),0)</f>
        <v>0</v>
      </c>
      <c r="BR66" s="703">
        <f>IFERROR(IF(Assumptions!$M$63='Monthly-CF'!BR$8,BR65*(1-Assumptions!$M$61),0),0)</f>
        <v>0</v>
      </c>
      <c r="BS66" s="703">
        <f>IFERROR(IF(Assumptions!$M$63='Monthly-CF'!BS$8,BS65*(1-Assumptions!$M$61),0),0)</f>
        <v>0</v>
      </c>
      <c r="BT66" s="703">
        <f>IFERROR(IF(Assumptions!$M$63='Monthly-CF'!BT$8,BT65*(1-Assumptions!$M$61),0),0)</f>
        <v>0</v>
      </c>
      <c r="BU66" s="703">
        <f>IFERROR(IF(Assumptions!$M$63='Monthly-CF'!BU$8,BU65*(1-Assumptions!$M$61),0),0)</f>
        <v>0</v>
      </c>
      <c r="BV66" s="703">
        <f>IFERROR(IF(Assumptions!$M$63='Monthly-CF'!BV$8,BV65*(1-Assumptions!$M$61),0),0)</f>
        <v>0</v>
      </c>
      <c r="BW66" s="703">
        <f>IFERROR(IF(Assumptions!$M$63='Monthly-CF'!BW$8,BW65*(1-Assumptions!$M$61),0),0)</f>
        <v>0</v>
      </c>
      <c r="BX66" s="703">
        <f>IFERROR(IF(Assumptions!$M$63='Monthly-CF'!BX$8,BX65*(1-Assumptions!$M$61),0),0)</f>
        <v>0</v>
      </c>
      <c r="BY66" s="703">
        <f>IFERROR(IF(Assumptions!$M$63='Monthly-CF'!BY$8,BY65*(1-Assumptions!$M$61),0),0)</f>
        <v>0</v>
      </c>
      <c r="BZ66" s="703">
        <f>IFERROR(IF(Assumptions!$M$63='Monthly-CF'!BZ$8,BZ65*(1-Assumptions!$M$61),0),0)</f>
        <v>0</v>
      </c>
      <c r="CA66" s="703">
        <f>IFERROR(IF(Assumptions!$M$63='Monthly-CF'!CA$8,CA65*(1-Assumptions!$M$61),0),0)</f>
        <v>0</v>
      </c>
      <c r="CB66" s="703">
        <f>IFERROR(IF(Assumptions!$M$63='Monthly-CF'!CB$8,CB65*(1-Assumptions!$M$61),0),0)</f>
        <v>0</v>
      </c>
      <c r="CC66" s="703">
        <f>IFERROR(IF(Assumptions!$M$63='Monthly-CF'!CC$8,CC65*(1-Assumptions!$M$61),0),0)</f>
        <v>0</v>
      </c>
      <c r="CD66" s="703">
        <f>IFERROR(IF(Assumptions!$M$63='Monthly-CF'!CD$8,CD65*(1-Assumptions!$M$61),0),0)</f>
        <v>0</v>
      </c>
      <c r="CE66" s="703">
        <f>IFERROR(IF(Assumptions!$M$63='Monthly-CF'!CE$8,CE65*(1-Assumptions!$M$61),0),0)</f>
        <v>0</v>
      </c>
      <c r="CF66" s="703">
        <f>IFERROR(IF(Assumptions!$M$63='Monthly-CF'!CF$8,CF65*(1-Assumptions!$M$61),0),0)</f>
        <v>0</v>
      </c>
      <c r="CG66" s="703">
        <f>IFERROR(IF(Assumptions!$M$63='Monthly-CF'!CG$8,CG65*(1-Assumptions!$M$61),0),0)</f>
        <v>0</v>
      </c>
      <c r="CH66" s="703">
        <f>IFERROR(IF(Assumptions!$M$63='Monthly-CF'!CH$8,CH65*(1-Assumptions!$M$61),0),0)</f>
        <v>0</v>
      </c>
      <c r="CI66" s="703">
        <f>IFERROR(IF(Assumptions!$M$63='Monthly-CF'!CI$8,CI65*(1-Assumptions!$M$61),0),0)</f>
        <v>0</v>
      </c>
      <c r="CJ66" s="703">
        <f>IFERROR(IF(Assumptions!$M$63='Monthly-CF'!CJ$8,CJ65*(1-Assumptions!$M$61),0),0)</f>
        <v>0</v>
      </c>
      <c r="CK66" s="703">
        <f>IFERROR(IF(Assumptions!$M$63='Monthly-CF'!CK$8,CK65*(1-Assumptions!$M$61),0),0)</f>
        <v>0</v>
      </c>
      <c r="CL66" s="703">
        <f>IFERROR(IF(Assumptions!$M$63='Monthly-CF'!CL$8,CL65*(1-Assumptions!$M$61),0),0)</f>
        <v>0</v>
      </c>
      <c r="CM66" s="703">
        <f>IFERROR(IF(Assumptions!$M$63='Monthly-CF'!CM$8,CM65*(1-Assumptions!$M$61),0),0)</f>
        <v>0</v>
      </c>
      <c r="CN66" s="703">
        <f>IFERROR(IF(Assumptions!$M$63='Monthly-CF'!CN$8,CN65*(1-Assumptions!$M$61),0),0)</f>
        <v>0</v>
      </c>
      <c r="CO66" s="703">
        <f>IFERROR(IF(Assumptions!$M$63='Monthly-CF'!CO$8,CO65*(1-Assumptions!$M$61),0),0)</f>
        <v>0</v>
      </c>
      <c r="CP66" s="703">
        <f>IFERROR(IF(Assumptions!$M$63='Monthly-CF'!CP$8,CP65*(1-Assumptions!$M$61),0),0)</f>
        <v>0</v>
      </c>
      <c r="CQ66" s="703">
        <f>IFERROR(IF(Assumptions!$M$63='Monthly-CF'!CQ$8,CQ65*(1-Assumptions!$M$61),0),0)</f>
        <v>0</v>
      </c>
      <c r="CR66" s="703">
        <f>IFERROR(IF(Assumptions!$M$63='Monthly-CF'!CR$8,CR65*(1-Assumptions!$M$61),0),0)</f>
        <v>0</v>
      </c>
      <c r="CS66" s="703">
        <f>IFERROR(IF(Assumptions!$M$63='Monthly-CF'!CS$8,CS65*(1-Assumptions!$M$61),0),0)</f>
        <v>0</v>
      </c>
      <c r="CT66" s="703">
        <f>IFERROR(IF(Assumptions!$M$63='Monthly-CF'!CT$8,CT65*(1-Assumptions!$M$61),0),0)</f>
        <v>0</v>
      </c>
      <c r="CU66" s="703">
        <f>IFERROR(IF(Assumptions!$M$63='Monthly-CF'!CU$8,CU65*(1-Assumptions!$M$61),0),0)</f>
        <v>0</v>
      </c>
      <c r="CV66" s="703">
        <f>IFERROR(IF(Assumptions!$M$63='Monthly-CF'!CV$8,CV65*(1-Assumptions!$M$61),0),0)</f>
        <v>0</v>
      </c>
      <c r="CW66" s="703">
        <f>IFERROR(IF(Assumptions!$M$63='Monthly-CF'!CW$8,CW65*(1-Assumptions!$M$61),0),0)</f>
        <v>0</v>
      </c>
      <c r="CX66" s="703">
        <f>IFERROR(IF(Assumptions!$M$63='Monthly-CF'!CX$8,CX65*(1-Assumptions!$M$61),0),0)</f>
        <v>0</v>
      </c>
      <c r="CY66" s="703">
        <f>IFERROR(IF(Assumptions!$M$63='Monthly-CF'!CY$8,CY65*(1-Assumptions!$M$61),0),0)</f>
        <v>0</v>
      </c>
      <c r="CZ66" s="703">
        <f>IFERROR(IF(Assumptions!$M$63='Monthly-CF'!CZ$8,CZ65*(1-Assumptions!$M$61),0),0)</f>
        <v>0</v>
      </c>
      <c r="DA66" s="703">
        <f>IFERROR(IF(Assumptions!$M$63='Monthly-CF'!DA$8,DA65*(1-Assumptions!$M$61),0),0)</f>
        <v>0</v>
      </c>
      <c r="DB66" s="703">
        <f>IFERROR(IF(Assumptions!$M$63='Monthly-CF'!DB$8,DB65*(1-Assumptions!$M$61),0),0)</f>
        <v>0</v>
      </c>
      <c r="DC66" s="703">
        <f>IFERROR(IF(Assumptions!$M$63='Monthly-CF'!DC$8,DC65*(1-Assumptions!$M$61),0),0)</f>
        <v>0</v>
      </c>
      <c r="DD66" s="703">
        <f>IFERROR(IF(Assumptions!$M$63='Monthly-CF'!DD$8,DD65*(1-Assumptions!$M$61),0),0)</f>
        <v>0</v>
      </c>
      <c r="DE66" s="703">
        <f>IFERROR(IF(Assumptions!$M$63='Monthly-CF'!DE$8,DE65*(1-Assumptions!$M$61),0),0)</f>
        <v>0</v>
      </c>
      <c r="DF66" s="703">
        <f>IFERROR(IF(Assumptions!$M$63='Monthly-CF'!DF$8,DF65*(1-Assumptions!$M$61),0),0)</f>
        <v>0</v>
      </c>
      <c r="DG66" s="703">
        <f>IFERROR(IF(Assumptions!$M$63='Monthly-CF'!DG$8,DG65*(1-Assumptions!$M$61),0),0)</f>
        <v>0</v>
      </c>
      <c r="DH66" s="703">
        <f>IFERROR(IF(Assumptions!$M$63='Monthly-CF'!DH$8,DH65*(1-Assumptions!$M$61),0),0)</f>
        <v>0</v>
      </c>
      <c r="DI66" s="703">
        <f>IFERROR(IF(Assumptions!$M$63='Monthly-CF'!DI$8,DI65*(1-Assumptions!$M$61),0),0)</f>
        <v>0</v>
      </c>
      <c r="DJ66" s="703">
        <f>IFERROR(IF(Assumptions!$M$63='Monthly-CF'!DJ$8,DJ65*(1-Assumptions!$M$61),0),0)</f>
        <v>0</v>
      </c>
      <c r="DK66" s="703">
        <f>IFERROR(IF(Assumptions!$M$63='Monthly-CF'!DK$8,DK65*(1-Assumptions!$M$61),0),0)</f>
        <v>0</v>
      </c>
      <c r="DL66" s="703">
        <f>IFERROR(IF(Assumptions!$M$63='Monthly-CF'!DL$8,DL65*(1-Assumptions!$M$61),0),0)</f>
        <v>0</v>
      </c>
      <c r="DM66" s="703">
        <f>IFERROR(IF(Assumptions!$M$63='Monthly-CF'!DM$8,DM65*(1-Assumptions!$M$61),0),0)</f>
        <v>0</v>
      </c>
      <c r="DN66" s="703">
        <f>IFERROR(IF(Assumptions!$M$63='Monthly-CF'!DN$8,DN65*(1-Assumptions!$M$61),0),0)</f>
        <v>0</v>
      </c>
      <c r="DO66" s="703">
        <f>IFERROR(IF(Assumptions!$M$63='Monthly-CF'!DO$8,DO65*(1-Assumptions!$M$61),0),0)</f>
        <v>0</v>
      </c>
      <c r="DP66" s="703">
        <f>IFERROR(IF(Assumptions!$M$63='Monthly-CF'!DP$8,DP65*(1-Assumptions!$M$61),0),0)</f>
        <v>0</v>
      </c>
      <c r="DQ66" s="703">
        <f>IFERROR(IF(Assumptions!$M$63='Monthly-CF'!DQ$8,DQ65*(1-Assumptions!$M$61),0),0)</f>
        <v>0</v>
      </c>
      <c r="DR66" s="703">
        <f>IFERROR(IF(Assumptions!$M$63='Monthly-CF'!DR$8,DR65*(1-Assumptions!$M$61),0),0)</f>
        <v>0</v>
      </c>
      <c r="DS66" s="703">
        <f>IFERROR(IF(Assumptions!$M$63='Monthly-CF'!DS$8,DS65*(1-Assumptions!$M$61),0),0)</f>
        <v>0</v>
      </c>
      <c r="DT66" s="703">
        <f>IFERROR(IF(Assumptions!$M$63='Monthly-CF'!DT$8,DT65*(1-Assumptions!$M$61),0),0)</f>
        <v>0</v>
      </c>
      <c r="DU66" s="703">
        <f>IFERROR(IF(Assumptions!$M$63='Monthly-CF'!DU$8,DU65*(1-Assumptions!$M$61),0),0)</f>
        <v>0</v>
      </c>
      <c r="DV66" s="703">
        <f>IFERROR(IF(Assumptions!$M$63='Monthly-CF'!DV$8,DV65*(1-Assumptions!$M$61),0),0)</f>
        <v>0</v>
      </c>
      <c r="DW66" s="703">
        <f>IFERROR(IF(Assumptions!$M$63='Monthly-CF'!DW$8,DW65*(1-Assumptions!$M$61),0),0)</f>
        <v>0</v>
      </c>
      <c r="DX66" s="703">
        <f>IFERROR(IF(Assumptions!$M$63='Monthly-CF'!DX$8,DX65*(1-Assumptions!$M$61),0),0)</f>
        <v>0</v>
      </c>
      <c r="DY66" s="703">
        <f>IFERROR(IF(Assumptions!$M$63='Monthly-CF'!DY$8,DY65*(1-Assumptions!$M$61),0),0)</f>
        <v>0</v>
      </c>
      <c r="DZ66" s="703">
        <f>IFERROR(IF(Assumptions!$M$63='Monthly-CF'!DZ$8,DZ65*(1-Assumptions!$M$61),0),0)</f>
        <v>0</v>
      </c>
      <c r="EA66" s="703">
        <f ca="1">IFERROR(IF(Assumptions!$M$63='Monthly-CF'!EA$8,EA65*(1-Assumptions!$M$61),0),0)</f>
        <v>0</v>
      </c>
      <c r="EB66" s="389"/>
      <c r="EC66" s="392" t="s">
        <v>65</v>
      </c>
    </row>
    <row r="67" spans="1:133" s="390" customFormat="1" ht="15" customHeight="1">
      <c r="A67" s="389"/>
      <c r="B67" s="389"/>
      <c r="C67" s="389"/>
      <c r="D67" s="412"/>
      <c r="E67" s="389"/>
      <c r="F67" s="389"/>
      <c r="G67" s="389"/>
      <c r="H67" s="389"/>
      <c r="I67" s="796"/>
      <c r="J67" s="389"/>
      <c r="K67" s="389"/>
      <c r="L67" s="703"/>
      <c r="M67" s="703"/>
      <c r="N67" s="703"/>
      <c r="O67" s="703"/>
      <c r="P67" s="703"/>
      <c r="Q67" s="703"/>
      <c r="R67" s="703"/>
      <c r="S67" s="703"/>
      <c r="T67" s="703"/>
      <c r="U67" s="703"/>
      <c r="V67" s="703"/>
      <c r="W67" s="703"/>
      <c r="X67" s="703"/>
      <c r="Y67" s="703"/>
      <c r="Z67" s="703"/>
      <c r="AA67" s="703"/>
      <c r="AB67" s="703"/>
      <c r="AC67" s="703"/>
      <c r="AD67" s="703"/>
      <c r="AE67" s="703"/>
      <c r="AF67" s="703"/>
      <c r="AG67" s="703"/>
      <c r="AH67" s="703"/>
      <c r="AI67" s="703"/>
      <c r="AJ67" s="703"/>
      <c r="AK67" s="703"/>
      <c r="AL67" s="703"/>
      <c r="AM67" s="703"/>
      <c r="AN67" s="703"/>
      <c r="AO67" s="703"/>
      <c r="AP67" s="703"/>
      <c r="AQ67" s="703"/>
      <c r="AR67" s="703"/>
      <c r="AS67" s="703"/>
      <c r="AT67" s="703"/>
      <c r="AU67" s="703"/>
      <c r="AV67" s="703"/>
      <c r="AW67" s="703"/>
      <c r="AX67" s="703"/>
      <c r="AY67" s="703"/>
      <c r="AZ67" s="703"/>
      <c r="BA67" s="703"/>
      <c r="BB67" s="703"/>
      <c r="BC67" s="703"/>
      <c r="BD67" s="703"/>
      <c r="BE67" s="703"/>
      <c r="BF67" s="703"/>
      <c r="BG67" s="703"/>
      <c r="BH67" s="703"/>
      <c r="BI67" s="703"/>
      <c r="BJ67" s="703"/>
      <c r="BK67" s="703"/>
      <c r="BL67" s="703"/>
      <c r="BM67" s="703"/>
      <c r="BN67" s="703"/>
      <c r="BO67" s="703"/>
      <c r="BP67" s="703"/>
      <c r="BQ67" s="703"/>
      <c r="BR67" s="703"/>
      <c r="BS67" s="703"/>
      <c r="BT67" s="703"/>
      <c r="BU67" s="703"/>
      <c r="BV67" s="703"/>
      <c r="BW67" s="703"/>
      <c r="BX67" s="703"/>
      <c r="BY67" s="703"/>
      <c r="BZ67" s="703"/>
      <c r="CA67" s="703"/>
      <c r="CB67" s="703"/>
      <c r="CC67" s="703"/>
      <c r="CD67" s="703"/>
      <c r="CE67" s="703"/>
      <c r="CF67" s="703"/>
      <c r="CG67" s="703"/>
      <c r="CH67" s="703"/>
      <c r="CI67" s="703"/>
      <c r="CJ67" s="703"/>
      <c r="CK67" s="703"/>
      <c r="CL67" s="703"/>
      <c r="CM67" s="703"/>
      <c r="CN67" s="703"/>
      <c r="CO67" s="703"/>
      <c r="CP67" s="703"/>
      <c r="CQ67" s="703"/>
      <c r="CR67" s="703"/>
      <c r="CS67" s="703"/>
      <c r="CT67" s="703"/>
      <c r="CU67" s="703"/>
      <c r="CV67" s="703"/>
      <c r="CW67" s="703"/>
      <c r="CX67" s="703"/>
      <c r="CY67" s="703"/>
      <c r="CZ67" s="703"/>
      <c r="DA67" s="703"/>
      <c r="DB67" s="703"/>
      <c r="DC67" s="703"/>
      <c r="DD67" s="703"/>
      <c r="DE67" s="703"/>
      <c r="DF67" s="703"/>
      <c r="DG67" s="703"/>
      <c r="DH67" s="703"/>
      <c r="DI67" s="703"/>
      <c r="DJ67" s="703"/>
      <c r="DK67" s="703"/>
      <c r="DL67" s="703"/>
      <c r="DM67" s="703"/>
      <c r="DN67" s="703"/>
      <c r="DO67" s="703"/>
      <c r="DP67" s="703"/>
      <c r="DQ67" s="703"/>
      <c r="DR67" s="703"/>
      <c r="DS67" s="703"/>
      <c r="DT67" s="703"/>
      <c r="DU67" s="703"/>
      <c r="DV67" s="703"/>
      <c r="DW67" s="703"/>
      <c r="DX67" s="703"/>
      <c r="DY67" s="703"/>
      <c r="DZ67" s="703"/>
      <c r="EA67" s="703"/>
      <c r="EB67" s="389"/>
      <c r="EC67" s="392" t="s">
        <v>65</v>
      </c>
    </row>
    <row r="68" spans="1:133" s="390" customFormat="1" ht="15" customHeight="1" outlineLevel="1">
      <c r="A68" s="389"/>
      <c r="B68" s="389"/>
      <c r="C68" s="389"/>
      <c r="D68" s="767" t="s">
        <v>491</v>
      </c>
      <c r="E68" s="768" t="s">
        <v>481</v>
      </c>
      <c r="F68" s="768" t="s">
        <v>41</v>
      </c>
      <c r="G68" s="768" t="s">
        <v>476</v>
      </c>
      <c r="H68" s="768" t="s">
        <v>42</v>
      </c>
      <c r="I68" s="801"/>
      <c r="J68" s="389"/>
      <c r="K68" s="777"/>
      <c r="L68" s="776"/>
      <c r="M68" s="776"/>
      <c r="N68" s="776"/>
      <c r="O68" s="776"/>
      <c r="P68" s="776"/>
      <c r="Q68" s="776"/>
      <c r="R68" s="776"/>
      <c r="S68" s="776"/>
      <c r="T68" s="776"/>
      <c r="U68" s="776"/>
      <c r="V68" s="776"/>
      <c r="W68" s="776"/>
      <c r="X68" s="776"/>
      <c r="Y68" s="776"/>
      <c r="Z68" s="776"/>
      <c r="AA68" s="776"/>
      <c r="AB68" s="776"/>
      <c r="AC68" s="776"/>
      <c r="AD68" s="776"/>
      <c r="AE68" s="776"/>
      <c r="AF68" s="776"/>
      <c r="AG68" s="776"/>
      <c r="AH68" s="776"/>
      <c r="AI68" s="776"/>
      <c r="AJ68" s="776"/>
      <c r="AK68" s="776"/>
      <c r="AL68" s="776"/>
      <c r="AM68" s="776"/>
      <c r="AN68" s="776"/>
      <c r="AO68" s="776"/>
      <c r="AP68" s="776"/>
      <c r="AQ68" s="776"/>
      <c r="AR68" s="776"/>
      <c r="AS68" s="776"/>
      <c r="AT68" s="776"/>
      <c r="AU68" s="776"/>
      <c r="AV68" s="776"/>
      <c r="AW68" s="776"/>
      <c r="AX68" s="776"/>
      <c r="AY68" s="776"/>
      <c r="AZ68" s="776"/>
      <c r="BA68" s="776"/>
      <c r="BB68" s="776"/>
      <c r="BC68" s="776"/>
      <c r="BD68" s="776"/>
      <c r="BE68" s="776"/>
      <c r="BF68" s="776"/>
      <c r="BG68" s="776"/>
      <c r="BH68" s="776"/>
      <c r="BI68" s="776"/>
      <c r="BJ68" s="776"/>
      <c r="BK68" s="776"/>
      <c r="BL68" s="776"/>
      <c r="BM68" s="776"/>
      <c r="BN68" s="776"/>
      <c r="BO68" s="776"/>
      <c r="BP68" s="776"/>
      <c r="BQ68" s="776"/>
      <c r="BR68" s="776"/>
      <c r="BS68" s="776"/>
      <c r="BT68" s="776"/>
      <c r="BU68" s="776"/>
      <c r="BV68" s="776"/>
      <c r="BW68" s="776"/>
      <c r="BX68" s="776"/>
      <c r="BY68" s="776"/>
      <c r="BZ68" s="776"/>
      <c r="CA68" s="776"/>
      <c r="CB68" s="776"/>
      <c r="CC68" s="776"/>
      <c r="CD68" s="776"/>
      <c r="CE68" s="776"/>
      <c r="CF68" s="776"/>
      <c r="CG68" s="776"/>
      <c r="CH68" s="776"/>
      <c r="CI68" s="776"/>
      <c r="CJ68" s="776"/>
      <c r="CK68" s="776"/>
      <c r="CL68" s="776"/>
      <c r="CM68" s="776"/>
      <c r="CN68" s="776"/>
      <c r="CO68" s="776"/>
      <c r="CP68" s="776"/>
      <c r="CQ68" s="776"/>
      <c r="CR68" s="776"/>
      <c r="CS68" s="776"/>
      <c r="CT68" s="776"/>
      <c r="CU68" s="776"/>
      <c r="CV68" s="776"/>
      <c r="CW68" s="776"/>
      <c r="CX68" s="776"/>
      <c r="CY68" s="776"/>
      <c r="CZ68" s="776"/>
      <c r="DA68" s="776"/>
      <c r="DB68" s="776"/>
      <c r="DC68" s="776"/>
      <c r="DD68" s="776"/>
      <c r="DE68" s="776"/>
      <c r="DF68" s="776"/>
      <c r="DG68" s="776"/>
      <c r="DH68" s="776"/>
      <c r="DI68" s="776"/>
      <c r="DJ68" s="776"/>
      <c r="DK68" s="776"/>
      <c r="DL68" s="776"/>
      <c r="DM68" s="776"/>
      <c r="DN68" s="776"/>
      <c r="DO68" s="776"/>
      <c r="DP68" s="776"/>
      <c r="DQ68" s="776"/>
      <c r="DR68" s="776"/>
      <c r="DS68" s="776"/>
      <c r="DT68" s="776"/>
      <c r="DU68" s="776"/>
      <c r="DV68" s="776"/>
      <c r="DW68" s="776"/>
      <c r="DX68" s="776"/>
      <c r="DY68" s="776"/>
      <c r="DZ68" s="776"/>
      <c r="EA68" s="776"/>
      <c r="EB68" s="389"/>
      <c r="EC68" s="392" t="s">
        <v>65</v>
      </c>
    </row>
    <row r="69" spans="1:133" s="390" customFormat="1" ht="15" customHeight="1" outlineLevel="1">
      <c r="A69" s="389"/>
      <c r="B69" s="389"/>
      <c r="C69" s="389"/>
      <c r="D69" s="769" t="s">
        <v>43</v>
      </c>
      <c r="E69" s="780">
        <f>-SUMIFS('Budget Detail'!$K$9:$K$77,'Budget Detail'!$D$9:$D$77,'Monthly-CF'!D69)</f>
        <v>-5200000</v>
      </c>
      <c r="F69" s="770">
        <v>0</v>
      </c>
      <c r="G69" s="770">
        <v>1</v>
      </c>
      <c r="H69" s="771">
        <f>F69+G69</f>
        <v>1</v>
      </c>
      <c r="I69" s="801">
        <f t="shared" ref="I69:I76" si="74">SUM(K69:EA69)</f>
        <v>-5200000</v>
      </c>
      <c r="J69" s="389"/>
      <c r="K69" s="776"/>
      <c r="L69" s="776">
        <f>IF(AND(L$10&gt;='Monthly-CF'!$F69,L$10&lt;='Monthly-CF'!$H69),'Monthly-CF'!$E69/('Monthly-CF'!$G69),0)</f>
        <v>-5200000</v>
      </c>
      <c r="M69" s="776">
        <f>IF(AND(M$10&gt;='Monthly-CF'!$F69,M$10&lt;='Monthly-CF'!$H69),'Monthly-CF'!$E69/('Monthly-CF'!$G69),0)</f>
        <v>0</v>
      </c>
      <c r="N69" s="776">
        <f>IF(AND(N$10&gt;='Monthly-CF'!$F69,N$10&lt;='Monthly-CF'!$H69),'Monthly-CF'!$E69/('Monthly-CF'!$G69),0)</f>
        <v>0</v>
      </c>
      <c r="O69" s="776">
        <f>IF(AND(O$10&gt;='Monthly-CF'!$F69,O$10&lt;='Monthly-CF'!$H69),'Monthly-CF'!$E69/('Monthly-CF'!$G69),0)</f>
        <v>0</v>
      </c>
      <c r="P69" s="776">
        <f>IF(AND(P$10&gt;='Monthly-CF'!$F69,P$10&lt;='Monthly-CF'!$H69),'Monthly-CF'!$E69/('Monthly-CF'!$G69),0)</f>
        <v>0</v>
      </c>
      <c r="Q69" s="776">
        <f>IF(AND(Q$10&gt;='Monthly-CF'!$F69,Q$10&lt;='Monthly-CF'!$H69),'Monthly-CF'!$E69/('Monthly-CF'!$G69),0)</f>
        <v>0</v>
      </c>
      <c r="R69" s="776">
        <f>IF(AND(R$10&gt;='Monthly-CF'!$F69,R$10&lt;='Monthly-CF'!$H69),'Monthly-CF'!$E69/('Monthly-CF'!$G69),0)</f>
        <v>0</v>
      </c>
      <c r="S69" s="776">
        <f>IF(AND(S$10&gt;='Monthly-CF'!$F69,S$10&lt;='Monthly-CF'!$H69),'Monthly-CF'!$E69/('Monthly-CF'!$G69),0)</f>
        <v>0</v>
      </c>
      <c r="T69" s="776">
        <f>IF(AND(T$10&gt;='Monthly-CF'!$F69,T$10&lt;='Monthly-CF'!$H69),'Monthly-CF'!$E69/('Monthly-CF'!$G69),0)</f>
        <v>0</v>
      </c>
      <c r="U69" s="776">
        <f>IF(AND(U$10&gt;='Monthly-CF'!$F69,U$10&lt;='Monthly-CF'!$H69),'Monthly-CF'!$E69/('Monthly-CF'!$G69),0)</f>
        <v>0</v>
      </c>
      <c r="V69" s="776">
        <f>IF(AND(V$10&gt;='Monthly-CF'!$F69,V$10&lt;='Monthly-CF'!$H69),'Monthly-CF'!$E69/('Monthly-CF'!$G69),0)</f>
        <v>0</v>
      </c>
      <c r="W69" s="776">
        <f>IF(AND(W$10&gt;='Monthly-CF'!$F69,W$10&lt;='Monthly-CF'!$H69),'Monthly-CF'!$E69/('Monthly-CF'!$G69),0)</f>
        <v>0</v>
      </c>
      <c r="X69" s="776">
        <f>IF(AND(X$10&gt;='Monthly-CF'!$F69,X$10&lt;='Monthly-CF'!$H69),'Monthly-CF'!$E69/('Monthly-CF'!$G69),0)</f>
        <v>0</v>
      </c>
      <c r="Y69" s="776">
        <f>IF(AND(Y$10&gt;='Monthly-CF'!$F69,Y$10&lt;='Monthly-CF'!$H69),'Monthly-CF'!$E69/('Monthly-CF'!$G69),0)</f>
        <v>0</v>
      </c>
      <c r="Z69" s="776">
        <f>IF(AND(Z$10&gt;='Monthly-CF'!$F69,Z$10&lt;='Monthly-CF'!$H69),'Monthly-CF'!$E69/('Monthly-CF'!$G69),0)</f>
        <v>0</v>
      </c>
      <c r="AA69" s="776">
        <f>IF(AND(AA$10&gt;='Monthly-CF'!$F69,AA$10&lt;='Monthly-CF'!$H69),'Monthly-CF'!$E69/('Monthly-CF'!$G69),0)</f>
        <v>0</v>
      </c>
      <c r="AB69" s="776">
        <f>IF(AND(AB$10&gt;='Monthly-CF'!$F69,AB$10&lt;='Monthly-CF'!$H69),'Monthly-CF'!$E69/('Monthly-CF'!$G69),0)</f>
        <v>0</v>
      </c>
      <c r="AC69" s="776">
        <f>IF(AND(AC$10&gt;='Monthly-CF'!$F69,AC$10&lt;='Monthly-CF'!$H69),'Monthly-CF'!$E69/('Monthly-CF'!$G69),0)</f>
        <v>0</v>
      </c>
      <c r="AD69" s="776">
        <f>IF(AND(AD$10&gt;='Monthly-CF'!$F69,AD$10&lt;='Monthly-CF'!$H69),'Monthly-CF'!$E69/('Monthly-CF'!$G69),0)</f>
        <v>0</v>
      </c>
      <c r="AE69" s="776">
        <f>IF(AND(AE$10&gt;='Monthly-CF'!$F69,AE$10&lt;='Monthly-CF'!$H69),'Monthly-CF'!$E69/('Monthly-CF'!$G69),0)</f>
        <v>0</v>
      </c>
      <c r="AF69" s="776">
        <f>IF(AND(AF$10&gt;='Monthly-CF'!$F69,AF$10&lt;='Monthly-CF'!$H69),'Monthly-CF'!$E69/('Monthly-CF'!$G69),0)</f>
        <v>0</v>
      </c>
      <c r="AG69" s="776">
        <f>IF(AND(AG$10&gt;='Monthly-CF'!$F69,AG$10&lt;='Monthly-CF'!$H69),'Monthly-CF'!$E69/('Monthly-CF'!$G69),0)</f>
        <v>0</v>
      </c>
      <c r="AH69" s="776">
        <f>IF(AND(AH$10&gt;='Monthly-CF'!$F69,AH$10&lt;='Monthly-CF'!$H69),'Monthly-CF'!$E69/('Monthly-CF'!$G69),0)</f>
        <v>0</v>
      </c>
      <c r="AI69" s="776">
        <f>IF(AND(AI$10&gt;='Monthly-CF'!$F69,AI$10&lt;='Monthly-CF'!$H69),'Monthly-CF'!$E69/('Monthly-CF'!$G69),0)</f>
        <v>0</v>
      </c>
      <c r="AJ69" s="776">
        <f>IF(AND(AJ$10&gt;='Monthly-CF'!$F69,AJ$10&lt;='Monthly-CF'!$H69),'Monthly-CF'!$E69/('Monthly-CF'!$G69),0)</f>
        <v>0</v>
      </c>
      <c r="AK69" s="776">
        <f>IF(AND(AK$10&gt;='Monthly-CF'!$F69,AK$10&lt;='Monthly-CF'!$H69),'Monthly-CF'!$E69/('Monthly-CF'!$G69),0)</f>
        <v>0</v>
      </c>
      <c r="AL69" s="776">
        <f>IF(AND(AL$10&gt;='Monthly-CF'!$F69,AL$10&lt;='Monthly-CF'!$H69),'Monthly-CF'!$E69/('Monthly-CF'!$G69),0)</f>
        <v>0</v>
      </c>
      <c r="AM69" s="776">
        <f>IF(AND(AM$10&gt;='Monthly-CF'!$F69,AM$10&lt;='Monthly-CF'!$H69),'Monthly-CF'!$E69/('Monthly-CF'!$G69),0)</f>
        <v>0</v>
      </c>
      <c r="AN69" s="776">
        <f>IF(AND(AN$10&gt;='Monthly-CF'!$F69,AN$10&lt;='Monthly-CF'!$H69),'Monthly-CF'!$E69/('Monthly-CF'!$G69),0)</f>
        <v>0</v>
      </c>
      <c r="AO69" s="776">
        <f>IF(AND(AO$10&gt;='Monthly-CF'!$F69,AO$10&lt;='Monthly-CF'!$H69),'Monthly-CF'!$E69/('Monthly-CF'!$G69),0)</f>
        <v>0</v>
      </c>
      <c r="AP69" s="776">
        <f>IF(AND(AP$10&gt;='Monthly-CF'!$F69,AP$10&lt;='Monthly-CF'!$H69),'Monthly-CF'!$E69/('Monthly-CF'!$G69),0)</f>
        <v>0</v>
      </c>
      <c r="AQ69" s="776">
        <f>IF(AND(AQ$10&gt;='Monthly-CF'!$F69,AQ$10&lt;='Monthly-CF'!$H69),'Monthly-CF'!$E69/('Monthly-CF'!$G69),0)</f>
        <v>0</v>
      </c>
      <c r="AR69" s="776">
        <f>IF(AND(AR$10&gt;='Monthly-CF'!$F69,AR$10&lt;='Monthly-CF'!$H69),'Monthly-CF'!$E69/('Monthly-CF'!$G69),0)</f>
        <v>0</v>
      </c>
      <c r="AS69" s="776">
        <f>IF(AND(AS$10&gt;='Monthly-CF'!$F69,AS$10&lt;='Monthly-CF'!$H69),'Monthly-CF'!$E69/('Monthly-CF'!$G69),0)</f>
        <v>0</v>
      </c>
      <c r="AT69" s="776">
        <f>IF(AND(AT$10&gt;='Monthly-CF'!$F69,AT$10&lt;='Monthly-CF'!$H69),'Monthly-CF'!$E69/('Monthly-CF'!$G69),0)</f>
        <v>0</v>
      </c>
      <c r="AU69" s="776">
        <f>IF(AND(AU$10&gt;='Monthly-CF'!$F69,AU$10&lt;='Monthly-CF'!$H69),'Monthly-CF'!$E69/('Monthly-CF'!$G69),0)</f>
        <v>0</v>
      </c>
      <c r="AV69" s="776">
        <f>IF(AND(AV$10&gt;='Monthly-CF'!$F69,AV$10&lt;='Monthly-CF'!$H69),'Monthly-CF'!$E69/('Monthly-CF'!$G69),0)</f>
        <v>0</v>
      </c>
      <c r="AW69" s="776">
        <f>IF(AND(AW$10&gt;='Monthly-CF'!$F69,AW$10&lt;='Monthly-CF'!$H69),'Monthly-CF'!$E69/('Monthly-CF'!$G69),0)</f>
        <v>0</v>
      </c>
      <c r="AX69" s="776">
        <f>IF(AND(AX$10&gt;='Monthly-CF'!$F69,AX$10&lt;='Monthly-CF'!$H69),'Monthly-CF'!$E69/('Monthly-CF'!$G69),0)</f>
        <v>0</v>
      </c>
      <c r="AY69" s="776">
        <f>IF(AND(AY$10&gt;='Monthly-CF'!$F69,AY$10&lt;='Monthly-CF'!$H69),'Monthly-CF'!$E69/('Monthly-CF'!$G69),0)</f>
        <v>0</v>
      </c>
      <c r="AZ69" s="776">
        <f>IF(AND(AZ$10&gt;='Monthly-CF'!$F69,AZ$10&lt;='Monthly-CF'!$H69),'Monthly-CF'!$E69/('Monthly-CF'!$G69),0)</f>
        <v>0</v>
      </c>
      <c r="BA69" s="776">
        <f>IF(AND(BA$10&gt;='Monthly-CF'!$F69,BA$10&lt;='Monthly-CF'!$H69),'Monthly-CF'!$E69/('Monthly-CF'!$G69),0)</f>
        <v>0</v>
      </c>
      <c r="BB69" s="776">
        <f>IF(AND(BB$10&gt;='Monthly-CF'!$F69,BB$10&lt;='Monthly-CF'!$H69),'Monthly-CF'!$E69/('Monthly-CF'!$G69),0)</f>
        <v>0</v>
      </c>
      <c r="BC69" s="776">
        <f>IF(AND(BC$10&gt;='Monthly-CF'!$F69,BC$10&lt;='Monthly-CF'!$H69),'Monthly-CF'!$E69/('Monthly-CF'!$G69),0)</f>
        <v>0</v>
      </c>
      <c r="BD69" s="776">
        <f>IF(AND(BD$10&gt;='Monthly-CF'!$F69,BD$10&lt;='Monthly-CF'!$H69),'Monthly-CF'!$E69/('Monthly-CF'!$G69),0)</f>
        <v>0</v>
      </c>
      <c r="BE69" s="776">
        <f>IF(AND(BE$10&gt;='Monthly-CF'!$F69,BE$10&lt;='Monthly-CF'!$H69),'Monthly-CF'!$E69/('Monthly-CF'!$G69),0)</f>
        <v>0</v>
      </c>
      <c r="BF69" s="776">
        <f>IF(AND(BF$10&gt;='Monthly-CF'!$F69,BF$10&lt;='Monthly-CF'!$H69),'Monthly-CF'!$E69/('Monthly-CF'!$G69),0)</f>
        <v>0</v>
      </c>
      <c r="BG69" s="776">
        <f>IF(AND(BG$10&gt;='Monthly-CF'!$F69,BG$10&lt;='Monthly-CF'!$H69),'Monthly-CF'!$E69/('Monthly-CF'!$G69),0)</f>
        <v>0</v>
      </c>
      <c r="BH69" s="776">
        <f>IF(AND(BH$10&gt;='Monthly-CF'!$F69,BH$10&lt;='Monthly-CF'!$H69),'Monthly-CF'!$E69/('Monthly-CF'!$G69),0)</f>
        <v>0</v>
      </c>
      <c r="BI69" s="776">
        <f>IF(AND(BI$10&gt;='Monthly-CF'!$F69,BI$10&lt;='Monthly-CF'!$H69),'Monthly-CF'!$E69/('Monthly-CF'!$G69),0)</f>
        <v>0</v>
      </c>
      <c r="BJ69" s="776">
        <f>IF(AND(BJ$10&gt;='Monthly-CF'!$F69,BJ$10&lt;='Monthly-CF'!$H69),'Monthly-CF'!$E69/('Monthly-CF'!$G69),0)</f>
        <v>0</v>
      </c>
      <c r="BK69" s="776">
        <f>IF(AND(BK$10&gt;='Monthly-CF'!$F69,BK$10&lt;='Monthly-CF'!$H69),'Monthly-CF'!$E69/('Monthly-CF'!$G69),0)</f>
        <v>0</v>
      </c>
      <c r="BL69" s="776">
        <f>IF(AND(BL$10&gt;='Monthly-CF'!$F69,BL$10&lt;='Monthly-CF'!$H69),'Monthly-CF'!$E69/('Monthly-CF'!$G69),0)</f>
        <v>0</v>
      </c>
      <c r="BM69" s="776">
        <f>IF(AND(BM$10&gt;='Monthly-CF'!$F69,BM$10&lt;='Monthly-CF'!$H69),'Monthly-CF'!$E69/('Monthly-CF'!$G69),0)</f>
        <v>0</v>
      </c>
      <c r="BN69" s="776">
        <f>IF(AND(BN$10&gt;='Monthly-CF'!$F69,BN$10&lt;='Monthly-CF'!$H69),'Monthly-CF'!$E69/('Monthly-CF'!$G69),0)</f>
        <v>0</v>
      </c>
      <c r="BO69" s="776">
        <f>IF(AND(BO$10&gt;='Monthly-CF'!$F69,BO$10&lt;='Monthly-CF'!$H69),'Monthly-CF'!$E69/('Monthly-CF'!$G69),0)</f>
        <v>0</v>
      </c>
      <c r="BP69" s="776">
        <f>IF(AND(BP$10&gt;='Monthly-CF'!$F69,BP$10&lt;='Monthly-CF'!$H69),'Monthly-CF'!$E69/('Monthly-CF'!$G69),0)</f>
        <v>0</v>
      </c>
      <c r="BQ69" s="776">
        <f>IF(AND(BQ$10&gt;='Monthly-CF'!$F69,BQ$10&lt;='Monthly-CF'!$H69),'Monthly-CF'!$E69/('Monthly-CF'!$G69),0)</f>
        <v>0</v>
      </c>
      <c r="BR69" s="776">
        <f>IF(AND(BR$10&gt;='Monthly-CF'!$F69,BR$10&lt;='Monthly-CF'!$H69),'Monthly-CF'!$E69/('Monthly-CF'!$G69),0)</f>
        <v>0</v>
      </c>
      <c r="BS69" s="776">
        <f>IF(AND(BS$10&gt;='Monthly-CF'!$F69,BS$10&lt;='Monthly-CF'!$H69),'Monthly-CF'!$E69/('Monthly-CF'!$G69),0)</f>
        <v>0</v>
      </c>
      <c r="BT69" s="776">
        <f>IF(AND(BT$10&gt;='Monthly-CF'!$F69,BT$10&lt;='Monthly-CF'!$H69),'Monthly-CF'!$E69/('Monthly-CF'!$G69),0)</f>
        <v>0</v>
      </c>
      <c r="BU69" s="776">
        <f>IF(AND(BU$10&gt;='Monthly-CF'!$F69,BU$10&lt;='Monthly-CF'!$H69),'Monthly-CF'!$E69/('Monthly-CF'!$G69),0)</f>
        <v>0</v>
      </c>
      <c r="BV69" s="776">
        <f>IF(AND(BV$10&gt;='Monthly-CF'!$F69,BV$10&lt;='Monthly-CF'!$H69),'Monthly-CF'!$E69/('Monthly-CF'!$G69),0)</f>
        <v>0</v>
      </c>
      <c r="BW69" s="776">
        <f>IF(AND(BW$10&gt;='Monthly-CF'!$F69,BW$10&lt;='Monthly-CF'!$H69),'Monthly-CF'!$E69/('Monthly-CF'!$G69),0)</f>
        <v>0</v>
      </c>
      <c r="BX69" s="776">
        <f>IF(AND(BX$10&gt;='Monthly-CF'!$F69,BX$10&lt;='Monthly-CF'!$H69),'Monthly-CF'!$E69/('Monthly-CF'!$G69),0)</f>
        <v>0</v>
      </c>
      <c r="BY69" s="776">
        <f>IF(AND(BY$10&gt;='Monthly-CF'!$F69,BY$10&lt;='Monthly-CF'!$H69),'Monthly-CF'!$E69/('Monthly-CF'!$G69),0)</f>
        <v>0</v>
      </c>
      <c r="BZ69" s="776">
        <f>IF(AND(BZ$10&gt;='Monthly-CF'!$F69,BZ$10&lt;='Monthly-CF'!$H69),'Monthly-CF'!$E69/('Monthly-CF'!$G69),0)</f>
        <v>0</v>
      </c>
      <c r="CA69" s="776">
        <f>IF(AND(CA$10&gt;='Monthly-CF'!$F69,CA$10&lt;='Monthly-CF'!$H69),'Monthly-CF'!$E69/('Monthly-CF'!$G69),0)</f>
        <v>0</v>
      </c>
      <c r="CB69" s="776">
        <f>IF(AND(CB$10&gt;='Monthly-CF'!$F69,CB$10&lt;='Monthly-CF'!$H69),'Monthly-CF'!$E69/('Monthly-CF'!$G69),0)</f>
        <v>0</v>
      </c>
      <c r="CC69" s="776">
        <f>IF(AND(CC$10&gt;='Monthly-CF'!$F69,CC$10&lt;='Monthly-CF'!$H69),'Monthly-CF'!$E69/('Monthly-CF'!$G69),0)</f>
        <v>0</v>
      </c>
      <c r="CD69" s="776">
        <f>IF(AND(CD$10&gt;='Monthly-CF'!$F69,CD$10&lt;='Monthly-CF'!$H69),'Monthly-CF'!$E69/('Monthly-CF'!$G69),0)</f>
        <v>0</v>
      </c>
      <c r="CE69" s="776">
        <f>IF(AND(CE$10&gt;='Monthly-CF'!$F69,CE$10&lt;='Monthly-CF'!$H69),'Monthly-CF'!$E69/('Monthly-CF'!$G69),0)</f>
        <v>0</v>
      </c>
      <c r="CF69" s="776">
        <f>IF(AND(CF$10&gt;='Monthly-CF'!$F69,CF$10&lt;='Monthly-CF'!$H69),'Monthly-CF'!$E69/('Monthly-CF'!$G69),0)</f>
        <v>0</v>
      </c>
      <c r="CG69" s="776">
        <f>IF(AND(CG$10&gt;='Monthly-CF'!$F69,CG$10&lt;='Monthly-CF'!$H69),'Monthly-CF'!$E69/('Monthly-CF'!$G69),0)</f>
        <v>0</v>
      </c>
      <c r="CH69" s="776">
        <f>IF(AND(CH$10&gt;='Monthly-CF'!$F69,CH$10&lt;='Monthly-CF'!$H69),'Monthly-CF'!$E69/('Monthly-CF'!$G69),0)</f>
        <v>0</v>
      </c>
      <c r="CI69" s="776">
        <f>IF(AND(CI$10&gt;='Monthly-CF'!$F69,CI$10&lt;='Monthly-CF'!$H69),'Monthly-CF'!$E69/('Monthly-CF'!$G69),0)</f>
        <v>0</v>
      </c>
      <c r="CJ69" s="776">
        <f>IF(AND(CJ$10&gt;='Monthly-CF'!$F69,CJ$10&lt;='Monthly-CF'!$H69),'Monthly-CF'!$E69/('Monthly-CF'!$G69),0)</f>
        <v>0</v>
      </c>
      <c r="CK69" s="776">
        <f>IF(AND(CK$10&gt;='Monthly-CF'!$F69,CK$10&lt;='Monthly-CF'!$H69),'Monthly-CF'!$E69/('Monthly-CF'!$G69),0)</f>
        <v>0</v>
      </c>
      <c r="CL69" s="776">
        <f>IF(AND(CL$10&gt;='Monthly-CF'!$F69,CL$10&lt;='Monthly-CF'!$H69),'Monthly-CF'!$E69/('Monthly-CF'!$G69),0)</f>
        <v>0</v>
      </c>
      <c r="CM69" s="776">
        <f>IF(AND(CM$10&gt;='Monthly-CF'!$F69,CM$10&lt;='Monthly-CF'!$H69),'Monthly-CF'!$E69/('Monthly-CF'!$G69),0)</f>
        <v>0</v>
      </c>
      <c r="CN69" s="776">
        <f>IF(AND(CN$10&gt;='Monthly-CF'!$F69,CN$10&lt;='Monthly-CF'!$H69),'Monthly-CF'!$E69/('Monthly-CF'!$G69),0)</f>
        <v>0</v>
      </c>
      <c r="CO69" s="776">
        <f>IF(AND(CO$10&gt;='Monthly-CF'!$F69,CO$10&lt;='Monthly-CF'!$H69),'Monthly-CF'!$E69/('Monthly-CF'!$G69),0)</f>
        <v>0</v>
      </c>
      <c r="CP69" s="776">
        <f>IF(AND(CP$10&gt;='Monthly-CF'!$F69,CP$10&lt;='Monthly-CF'!$H69),'Monthly-CF'!$E69/('Monthly-CF'!$G69),0)</f>
        <v>0</v>
      </c>
      <c r="CQ69" s="776">
        <f>IF(AND(CQ$10&gt;='Monthly-CF'!$F69,CQ$10&lt;='Monthly-CF'!$H69),'Monthly-CF'!$E69/('Monthly-CF'!$G69),0)</f>
        <v>0</v>
      </c>
      <c r="CR69" s="776">
        <f>IF(AND(CR$10&gt;='Monthly-CF'!$F69,CR$10&lt;='Monthly-CF'!$H69),'Monthly-CF'!$E69/('Monthly-CF'!$G69),0)</f>
        <v>0</v>
      </c>
      <c r="CS69" s="776">
        <f>IF(AND(CS$10&gt;='Monthly-CF'!$F69,CS$10&lt;='Monthly-CF'!$H69),'Monthly-CF'!$E69/('Monthly-CF'!$G69),0)</f>
        <v>0</v>
      </c>
      <c r="CT69" s="776">
        <f>IF(AND(CT$10&gt;='Monthly-CF'!$F69,CT$10&lt;='Monthly-CF'!$H69),'Monthly-CF'!$E69/('Monthly-CF'!$G69),0)</f>
        <v>0</v>
      </c>
      <c r="CU69" s="776">
        <f>IF(AND(CU$10&gt;='Monthly-CF'!$F69,CU$10&lt;='Monthly-CF'!$H69),'Monthly-CF'!$E69/('Monthly-CF'!$G69),0)</f>
        <v>0</v>
      </c>
      <c r="CV69" s="776">
        <f>IF(AND(CV$10&gt;='Monthly-CF'!$F69,CV$10&lt;='Monthly-CF'!$H69),'Monthly-CF'!$E69/('Monthly-CF'!$G69),0)</f>
        <v>0</v>
      </c>
      <c r="CW69" s="776">
        <f>IF(AND(CW$10&gt;='Monthly-CF'!$F69,CW$10&lt;='Monthly-CF'!$H69),'Monthly-CF'!$E69/('Monthly-CF'!$G69),0)</f>
        <v>0</v>
      </c>
      <c r="CX69" s="776">
        <f>IF(AND(CX$10&gt;='Monthly-CF'!$F69,CX$10&lt;='Monthly-CF'!$H69),'Monthly-CF'!$E69/('Monthly-CF'!$G69),0)</f>
        <v>0</v>
      </c>
      <c r="CY69" s="776">
        <f>IF(AND(CY$10&gt;='Monthly-CF'!$F69,CY$10&lt;='Monthly-CF'!$H69),'Monthly-CF'!$E69/('Monthly-CF'!$G69),0)</f>
        <v>0</v>
      </c>
      <c r="CZ69" s="776">
        <f>IF(AND(CZ$10&gt;='Monthly-CF'!$F69,CZ$10&lt;='Monthly-CF'!$H69),'Monthly-CF'!$E69/('Monthly-CF'!$G69),0)</f>
        <v>0</v>
      </c>
      <c r="DA69" s="776">
        <f>IF(AND(DA$10&gt;='Monthly-CF'!$F69,DA$10&lt;='Monthly-CF'!$H69),'Monthly-CF'!$E69/('Monthly-CF'!$G69),0)</f>
        <v>0</v>
      </c>
      <c r="DB69" s="776">
        <f>IF(AND(DB$10&gt;='Monthly-CF'!$F69,DB$10&lt;='Monthly-CF'!$H69),'Monthly-CF'!$E69/('Monthly-CF'!$G69),0)</f>
        <v>0</v>
      </c>
      <c r="DC69" s="776">
        <f>IF(AND(DC$10&gt;='Monthly-CF'!$F69,DC$10&lt;='Monthly-CF'!$H69),'Monthly-CF'!$E69/('Monthly-CF'!$G69),0)</f>
        <v>0</v>
      </c>
      <c r="DD69" s="776">
        <f>IF(AND(DD$10&gt;='Monthly-CF'!$F69,DD$10&lt;='Monthly-CF'!$H69),'Monthly-CF'!$E69/('Monthly-CF'!$G69),0)</f>
        <v>0</v>
      </c>
      <c r="DE69" s="776">
        <f>IF(AND(DE$10&gt;='Monthly-CF'!$F69,DE$10&lt;='Monthly-CF'!$H69),'Monthly-CF'!$E69/('Monthly-CF'!$G69),0)</f>
        <v>0</v>
      </c>
      <c r="DF69" s="776">
        <f>IF(AND(DF$10&gt;='Monthly-CF'!$F69,DF$10&lt;='Monthly-CF'!$H69),'Monthly-CF'!$E69/('Monthly-CF'!$G69),0)</f>
        <v>0</v>
      </c>
      <c r="DG69" s="776">
        <f>IF(AND(DG$10&gt;='Monthly-CF'!$F69,DG$10&lt;='Monthly-CF'!$H69),'Monthly-CF'!$E69/('Monthly-CF'!$G69),0)</f>
        <v>0</v>
      </c>
      <c r="DH69" s="776">
        <f>IF(AND(DH$10&gt;='Monthly-CF'!$F69,DH$10&lt;='Monthly-CF'!$H69),'Monthly-CF'!$E69/('Monthly-CF'!$G69),0)</f>
        <v>0</v>
      </c>
      <c r="DI69" s="776">
        <f>IF(AND(DI$10&gt;='Monthly-CF'!$F69,DI$10&lt;='Monthly-CF'!$H69),'Monthly-CF'!$E69/('Monthly-CF'!$G69),0)</f>
        <v>0</v>
      </c>
      <c r="DJ69" s="776">
        <f>IF(AND(DJ$10&gt;='Monthly-CF'!$F69,DJ$10&lt;='Monthly-CF'!$H69),'Monthly-CF'!$E69/('Monthly-CF'!$G69),0)</f>
        <v>0</v>
      </c>
      <c r="DK69" s="776">
        <f>IF(AND(DK$10&gt;='Monthly-CF'!$F69,DK$10&lt;='Monthly-CF'!$H69),'Monthly-CF'!$E69/('Monthly-CF'!$G69),0)</f>
        <v>0</v>
      </c>
      <c r="DL69" s="776">
        <f>IF(AND(DL$10&gt;='Monthly-CF'!$F69,DL$10&lt;='Monthly-CF'!$H69),'Monthly-CF'!$E69/('Monthly-CF'!$G69),0)</f>
        <v>0</v>
      </c>
      <c r="DM69" s="776">
        <f>IF(AND(DM$10&gt;='Monthly-CF'!$F69,DM$10&lt;='Monthly-CF'!$H69),'Monthly-CF'!$E69/('Monthly-CF'!$G69),0)</f>
        <v>0</v>
      </c>
      <c r="DN69" s="776">
        <f>IF(AND(DN$10&gt;='Monthly-CF'!$F69,DN$10&lt;='Monthly-CF'!$H69),'Monthly-CF'!$E69/('Monthly-CF'!$G69),0)</f>
        <v>0</v>
      </c>
      <c r="DO69" s="776">
        <f>IF(AND(DO$10&gt;='Monthly-CF'!$F69,DO$10&lt;='Monthly-CF'!$H69),'Monthly-CF'!$E69/('Monthly-CF'!$G69),0)</f>
        <v>0</v>
      </c>
      <c r="DP69" s="776">
        <f>IF(AND(DP$10&gt;='Monthly-CF'!$F69,DP$10&lt;='Monthly-CF'!$H69),'Monthly-CF'!$E69/('Monthly-CF'!$G69),0)</f>
        <v>0</v>
      </c>
      <c r="DQ69" s="776">
        <f>IF(AND(DQ$10&gt;='Monthly-CF'!$F69,DQ$10&lt;='Monthly-CF'!$H69),'Monthly-CF'!$E69/('Monthly-CF'!$G69),0)</f>
        <v>0</v>
      </c>
      <c r="DR69" s="776">
        <f>IF(AND(DR$10&gt;='Monthly-CF'!$F69,DR$10&lt;='Monthly-CF'!$H69),'Monthly-CF'!$E69/('Monthly-CF'!$G69),0)</f>
        <v>0</v>
      </c>
      <c r="DS69" s="776">
        <f>IF(AND(DS$10&gt;='Monthly-CF'!$F69,DS$10&lt;='Monthly-CF'!$H69),'Monthly-CF'!$E69/('Monthly-CF'!$G69),0)</f>
        <v>0</v>
      </c>
      <c r="DT69" s="776">
        <f>IF(AND(DT$10&gt;='Monthly-CF'!$F69,DT$10&lt;='Monthly-CF'!$H69),'Monthly-CF'!$E69/('Monthly-CF'!$G69),0)</f>
        <v>0</v>
      </c>
      <c r="DU69" s="776">
        <f>IF(AND(DU$10&gt;='Monthly-CF'!$F69,DU$10&lt;='Monthly-CF'!$H69),'Monthly-CF'!$E69/('Monthly-CF'!$G69),0)</f>
        <v>0</v>
      </c>
      <c r="DV69" s="776">
        <f>IF(AND(DV$10&gt;='Monthly-CF'!$F69,DV$10&lt;='Monthly-CF'!$H69),'Monthly-CF'!$E69/('Monthly-CF'!$G69),0)</f>
        <v>0</v>
      </c>
      <c r="DW69" s="776">
        <f>IF(AND(DW$10&gt;='Monthly-CF'!$F69,DW$10&lt;='Monthly-CF'!$H69),'Monthly-CF'!$E69/('Monthly-CF'!$G69),0)</f>
        <v>0</v>
      </c>
      <c r="DX69" s="776">
        <f>IF(AND(DX$10&gt;='Monthly-CF'!$F69,DX$10&lt;='Monthly-CF'!$H69),'Monthly-CF'!$E69/('Monthly-CF'!$G69),0)</f>
        <v>0</v>
      </c>
      <c r="DY69" s="776">
        <f>IF(AND(DY$10&gt;='Monthly-CF'!$F69,DY$10&lt;='Monthly-CF'!$H69),'Monthly-CF'!$E69/('Monthly-CF'!$G69),0)</f>
        <v>0</v>
      </c>
      <c r="DZ69" s="776">
        <f>IF(AND(DZ$10&gt;='Monthly-CF'!$F69,DZ$10&lt;='Monthly-CF'!$H69),'Monthly-CF'!$E69/('Monthly-CF'!$G69),0)</f>
        <v>0</v>
      </c>
      <c r="EA69" s="776">
        <f>IF(AND(EA$10&gt;='Monthly-CF'!$F69,EA$10&lt;='Monthly-CF'!$H69),'Monthly-CF'!$E69/('Monthly-CF'!$G69),0)</f>
        <v>0</v>
      </c>
      <c r="EB69" s="389"/>
      <c r="EC69" s="392" t="s">
        <v>65</v>
      </c>
    </row>
    <row r="70" spans="1:133" s="390" customFormat="1" ht="15" customHeight="1" outlineLevel="1">
      <c r="A70" s="389"/>
      <c r="B70" s="389"/>
      <c r="C70" s="389"/>
      <c r="D70" s="769" t="s">
        <v>21</v>
      </c>
      <c r="E70" s="780">
        <f ca="1">-SUMIFS('Budget Detail'!$K$9:$K$77,'Budget Detail'!$D$9:$D$77,'Monthly-CF'!D70)</f>
        <v>-38440297.899999999</v>
      </c>
      <c r="F70" s="770">
        <v>3</v>
      </c>
      <c r="G70" s="770">
        <v>16</v>
      </c>
      <c r="H70" s="771">
        <f>F70+G70</f>
        <v>19</v>
      </c>
      <c r="I70" s="802">
        <f t="shared" ca="1" si="74"/>
        <v>-38440297.899999999</v>
      </c>
      <c r="J70" s="389"/>
      <c r="K70" s="776"/>
      <c r="L70" s="776">
        <f>IF(AND(L$10&gt;='Monthly-CF'!$F70,L$10&lt;='Monthly-CF'!$H70),'Monthly-CF'!$E70/('Monthly-CF'!$G70+1),0)</f>
        <v>0</v>
      </c>
      <c r="M70" s="776">
        <f>IF(AND(M$10&gt;='Monthly-CF'!$F70,M$10&lt;='Monthly-CF'!$H70),'Monthly-CF'!$E70/('Monthly-CF'!$G70+1),0)</f>
        <v>0</v>
      </c>
      <c r="N70" s="776">
        <f ca="1">IF(AND(N$10&gt;='Monthly-CF'!$F70,N$10&lt;='Monthly-CF'!$H70),'Monthly-CF'!$E70/('Monthly-CF'!$G70+1),0)</f>
        <v>-2261193.9941176469</v>
      </c>
      <c r="O70" s="776">
        <f ca="1">IF(AND(O$10&gt;='Monthly-CF'!$F70,O$10&lt;='Monthly-CF'!$H70),'Monthly-CF'!$E70/('Monthly-CF'!$G70+1),0)</f>
        <v>-2261193.9941176469</v>
      </c>
      <c r="P70" s="776">
        <f ca="1">IF(AND(P$10&gt;='Monthly-CF'!$F70,P$10&lt;='Monthly-CF'!$H70),'Monthly-CF'!$E70/('Monthly-CF'!$G70+1),0)</f>
        <v>-2261193.9941176469</v>
      </c>
      <c r="Q70" s="776">
        <f ca="1">IF(AND(Q$10&gt;='Monthly-CF'!$F70,Q$10&lt;='Monthly-CF'!$H70),'Monthly-CF'!$E70/('Monthly-CF'!$G70+1),0)</f>
        <v>-2261193.9941176469</v>
      </c>
      <c r="R70" s="776">
        <f ca="1">IF(AND(R$10&gt;='Monthly-CF'!$F70,R$10&lt;='Monthly-CF'!$H70),'Monthly-CF'!$E70/('Monthly-CF'!$G70+1),0)</f>
        <v>-2261193.9941176469</v>
      </c>
      <c r="S70" s="776">
        <f ca="1">IF(AND(S$10&gt;='Monthly-CF'!$F70,S$10&lt;='Monthly-CF'!$H70),'Monthly-CF'!$E70/('Monthly-CF'!$G70+1),0)</f>
        <v>-2261193.9941176469</v>
      </c>
      <c r="T70" s="776">
        <f ca="1">IF(AND(T$10&gt;='Monthly-CF'!$F70,T$10&lt;='Monthly-CF'!$H70),'Monthly-CF'!$E70/('Monthly-CF'!$G70+1),0)</f>
        <v>-2261193.9941176469</v>
      </c>
      <c r="U70" s="776">
        <f ca="1">IF(AND(U$10&gt;='Monthly-CF'!$F70,U$10&lt;='Monthly-CF'!$H70),'Monthly-CF'!$E70/('Monthly-CF'!$G70+1),0)</f>
        <v>-2261193.9941176469</v>
      </c>
      <c r="V70" s="776">
        <f ca="1">IF(AND(V$10&gt;='Monthly-CF'!$F70,V$10&lt;='Monthly-CF'!$H70),'Monthly-CF'!$E70/('Monthly-CF'!$G70+1),0)</f>
        <v>-2261193.9941176469</v>
      </c>
      <c r="W70" s="776">
        <f ca="1">IF(AND(W$10&gt;='Monthly-CF'!$F70,W$10&lt;='Monthly-CF'!$H70),'Monthly-CF'!$E70/('Monthly-CF'!$G70+1),0)</f>
        <v>-2261193.9941176469</v>
      </c>
      <c r="X70" s="776">
        <f ca="1">IF(AND(X$10&gt;='Monthly-CF'!$F70,X$10&lt;='Monthly-CF'!$H70),'Monthly-CF'!$E70/('Monthly-CF'!$G70+1),0)</f>
        <v>-2261193.9941176469</v>
      </c>
      <c r="Y70" s="776">
        <f ca="1">IF(AND(Y$10&gt;='Monthly-CF'!$F70,Y$10&lt;='Monthly-CF'!$H70),'Monthly-CF'!$E70/('Monthly-CF'!$G70+1),0)</f>
        <v>-2261193.9941176469</v>
      </c>
      <c r="Z70" s="776">
        <f ca="1">IF(AND(Z$10&gt;='Monthly-CF'!$F70,Z$10&lt;='Monthly-CF'!$H70),'Monthly-CF'!$E70/('Monthly-CF'!$G70+1),0)</f>
        <v>-2261193.9941176469</v>
      </c>
      <c r="AA70" s="776">
        <f ca="1">IF(AND(AA$10&gt;='Monthly-CF'!$F70,AA$10&lt;='Monthly-CF'!$H70),'Monthly-CF'!$E70/('Monthly-CF'!$G70+1),0)</f>
        <v>-2261193.9941176469</v>
      </c>
      <c r="AB70" s="776">
        <f ca="1">IF(AND(AB$10&gt;='Monthly-CF'!$F70,AB$10&lt;='Monthly-CF'!$H70),'Monthly-CF'!$E70/('Monthly-CF'!$G70+1),0)</f>
        <v>-2261193.9941176469</v>
      </c>
      <c r="AC70" s="776">
        <f ca="1">IF(AND(AC$10&gt;='Monthly-CF'!$F70,AC$10&lt;='Monthly-CF'!$H70),'Monthly-CF'!$E70/('Monthly-CF'!$G70+1),0)</f>
        <v>-2261193.9941176469</v>
      </c>
      <c r="AD70" s="776">
        <f ca="1">IF(AND(AD$10&gt;='Monthly-CF'!$F70,AD$10&lt;='Monthly-CF'!$H70),'Monthly-CF'!$E70/('Monthly-CF'!$G70+1),0)</f>
        <v>-2261193.9941176469</v>
      </c>
      <c r="AE70" s="776">
        <f>IF(AND(AE$10&gt;='Monthly-CF'!$F70,AE$10&lt;='Monthly-CF'!$H70),'Monthly-CF'!$E70/('Monthly-CF'!$G70+1),0)</f>
        <v>0</v>
      </c>
      <c r="AF70" s="776">
        <f>IF(AND(AF$10&gt;='Monthly-CF'!$F70,AF$10&lt;='Monthly-CF'!$H70),'Monthly-CF'!$E70/('Monthly-CF'!$G70+1),0)</f>
        <v>0</v>
      </c>
      <c r="AG70" s="776">
        <f>IF(AND(AG$10&gt;='Monthly-CF'!$F70,AG$10&lt;='Monthly-CF'!$H70),'Monthly-CF'!$E70/('Monthly-CF'!$G70+1),0)</f>
        <v>0</v>
      </c>
      <c r="AH70" s="776">
        <f>IF(AND(AH$10&gt;='Monthly-CF'!$F70,AH$10&lt;='Monthly-CF'!$H70),'Monthly-CF'!$E70/('Monthly-CF'!$G70+1),0)</f>
        <v>0</v>
      </c>
      <c r="AI70" s="776">
        <f>IF(AND(AI$10&gt;='Monthly-CF'!$F70,AI$10&lt;='Monthly-CF'!$H70),'Monthly-CF'!$E70/('Monthly-CF'!$G70+1),0)</f>
        <v>0</v>
      </c>
      <c r="AJ70" s="776">
        <f>IF(AND(AJ$10&gt;='Monthly-CF'!$F70,AJ$10&lt;='Monthly-CF'!$H70),'Monthly-CF'!$E70/('Monthly-CF'!$G70+1),0)</f>
        <v>0</v>
      </c>
      <c r="AK70" s="776">
        <f>IF(AND(AK$10&gt;='Monthly-CF'!$F70,AK$10&lt;='Monthly-CF'!$H70),'Monthly-CF'!$E70/('Monthly-CF'!$G70+1),0)</f>
        <v>0</v>
      </c>
      <c r="AL70" s="776">
        <f>IF(AND(AL$10&gt;='Monthly-CF'!$F70,AL$10&lt;='Monthly-CF'!$H70),'Monthly-CF'!$E70/('Monthly-CF'!$G70+1),0)</f>
        <v>0</v>
      </c>
      <c r="AM70" s="776">
        <f>IF(AND(AM$10&gt;='Monthly-CF'!$F70,AM$10&lt;='Monthly-CF'!$H70),'Monthly-CF'!$E70/('Monthly-CF'!$G70+1),0)</f>
        <v>0</v>
      </c>
      <c r="AN70" s="776">
        <f>IF(AND(AN$10&gt;='Monthly-CF'!$F70,AN$10&lt;='Monthly-CF'!$H70),'Monthly-CF'!$E70/('Monthly-CF'!$G70+1),0)</f>
        <v>0</v>
      </c>
      <c r="AO70" s="776">
        <f>IF(AND(AO$10&gt;='Monthly-CF'!$F70,AO$10&lt;='Monthly-CF'!$H70),'Monthly-CF'!$E70/('Monthly-CF'!$G70+1),0)</f>
        <v>0</v>
      </c>
      <c r="AP70" s="776">
        <f>IF(AND(AP$10&gt;='Monthly-CF'!$F70,AP$10&lt;='Monthly-CF'!$H70),'Monthly-CF'!$E70/('Monthly-CF'!$G70+1),0)</f>
        <v>0</v>
      </c>
      <c r="AQ70" s="776">
        <f>IF(AND(AQ$10&gt;='Monthly-CF'!$F70,AQ$10&lt;='Monthly-CF'!$H70),'Monthly-CF'!$E70/('Monthly-CF'!$G70+1),0)</f>
        <v>0</v>
      </c>
      <c r="AR70" s="776">
        <f>IF(AND(AR$10&gt;='Monthly-CF'!$F70,AR$10&lt;='Monthly-CF'!$H70),'Monthly-CF'!$E70/('Monthly-CF'!$G70+1),0)</f>
        <v>0</v>
      </c>
      <c r="AS70" s="776">
        <f>IF(AND(AS$10&gt;='Monthly-CF'!$F70,AS$10&lt;='Monthly-CF'!$H70),'Monthly-CF'!$E70/('Monthly-CF'!$G70+1),0)</f>
        <v>0</v>
      </c>
      <c r="AT70" s="776">
        <f>IF(AND(AT$10&gt;='Monthly-CF'!$F70,AT$10&lt;='Monthly-CF'!$H70),'Monthly-CF'!$E70/('Monthly-CF'!$G70+1),0)</f>
        <v>0</v>
      </c>
      <c r="AU70" s="776">
        <f>IF(AND(AU$10&gt;='Monthly-CF'!$F70,AU$10&lt;='Monthly-CF'!$H70),'Monthly-CF'!$E70/('Monthly-CF'!$G70+1),0)</f>
        <v>0</v>
      </c>
      <c r="AV70" s="776">
        <f>IF(AND(AV$10&gt;='Monthly-CF'!$F70,AV$10&lt;='Monthly-CF'!$H70),'Monthly-CF'!$E70/('Monthly-CF'!$G70+1),0)</f>
        <v>0</v>
      </c>
      <c r="AW70" s="776">
        <f>IF(AND(AW$10&gt;='Monthly-CF'!$F70,AW$10&lt;='Monthly-CF'!$H70),'Monthly-CF'!$E70/('Monthly-CF'!$G70+1),0)</f>
        <v>0</v>
      </c>
      <c r="AX70" s="776">
        <f>IF(AND(AX$10&gt;='Monthly-CF'!$F70,AX$10&lt;='Monthly-CF'!$H70),'Monthly-CF'!$E70/('Monthly-CF'!$G70+1),0)</f>
        <v>0</v>
      </c>
      <c r="AY70" s="776">
        <f>IF(AND(AY$10&gt;='Monthly-CF'!$F70,AY$10&lt;='Monthly-CF'!$H70),'Monthly-CF'!$E70/('Monthly-CF'!$G70+1),0)</f>
        <v>0</v>
      </c>
      <c r="AZ70" s="776">
        <f>IF(AND(AZ$10&gt;='Monthly-CF'!$F70,AZ$10&lt;='Monthly-CF'!$H70),'Monthly-CF'!$E70/('Monthly-CF'!$G70+1),0)</f>
        <v>0</v>
      </c>
      <c r="BA70" s="776">
        <f>IF(AND(BA$10&gt;='Monthly-CF'!$F70,BA$10&lt;='Monthly-CF'!$H70),'Monthly-CF'!$E70/('Monthly-CF'!$G70+1),0)</f>
        <v>0</v>
      </c>
      <c r="BB70" s="776">
        <f>IF(AND(BB$10&gt;='Monthly-CF'!$F70,BB$10&lt;='Monthly-CF'!$H70),'Monthly-CF'!$E70/('Monthly-CF'!$G70+1),0)</f>
        <v>0</v>
      </c>
      <c r="BC70" s="776">
        <f>IF(AND(BC$10&gt;='Monthly-CF'!$F70,BC$10&lt;='Monthly-CF'!$H70),'Monthly-CF'!$E70/('Monthly-CF'!$G70+1),0)</f>
        <v>0</v>
      </c>
      <c r="BD70" s="776">
        <f>IF(AND(BD$10&gt;='Monthly-CF'!$F70,BD$10&lt;='Monthly-CF'!$H70),'Monthly-CF'!$E70/('Monthly-CF'!$G70+1),0)</f>
        <v>0</v>
      </c>
      <c r="BE70" s="776">
        <f>IF(AND(BE$10&gt;='Monthly-CF'!$F70,BE$10&lt;='Monthly-CF'!$H70),'Monthly-CF'!$E70/('Monthly-CF'!$G70+1),0)</f>
        <v>0</v>
      </c>
      <c r="BF70" s="776">
        <f>IF(AND(BF$10&gt;='Monthly-CF'!$F70,BF$10&lt;='Monthly-CF'!$H70),'Monthly-CF'!$E70/('Monthly-CF'!$G70+1),0)</f>
        <v>0</v>
      </c>
      <c r="BG70" s="776">
        <f>IF(AND(BG$10&gt;='Monthly-CF'!$F70,BG$10&lt;='Monthly-CF'!$H70),'Monthly-CF'!$E70/('Monthly-CF'!$G70+1),0)</f>
        <v>0</v>
      </c>
      <c r="BH70" s="776">
        <f>IF(AND(BH$10&gt;='Monthly-CF'!$F70,BH$10&lt;='Monthly-CF'!$H70),'Monthly-CF'!$E70/('Monthly-CF'!$G70+1),0)</f>
        <v>0</v>
      </c>
      <c r="BI70" s="776">
        <f>IF(AND(BI$10&gt;='Monthly-CF'!$F70,BI$10&lt;='Monthly-CF'!$H70),'Monthly-CF'!$E70/('Monthly-CF'!$G70+1),0)</f>
        <v>0</v>
      </c>
      <c r="BJ70" s="776">
        <f>IF(AND(BJ$10&gt;='Monthly-CF'!$F70,BJ$10&lt;='Monthly-CF'!$H70),'Monthly-CF'!$E70/('Monthly-CF'!$G70+1),0)</f>
        <v>0</v>
      </c>
      <c r="BK70" s="776">
        <f>IF(AND(BK$10&gt;='Monthly-CF'!$F70,BK$10&lt;='Monthly-CF'!$H70),'Monthly-CF'!$E70/('Monthly-CF'!$G70+1),0)</f>
        <v>0</v>
      </c>
      <c r="BL70" s="776">
        <f>IF(AND(BL$10&gt;='Monthly-CF'!$F70,BL$10&lt;='Monthly-CF'!$H70),'Monthly-CF'!$E70/('Monthly-CF'!$G70+1),0)</f>
        <v>0</v>
      </c>
      <c r="BM70" s="776">
        <f>IF(AND(BM$10&gt;='Monthly-CF'!$F70,BM$10&lt;='Monthly-CF'!$H70),'Monthly-CF'!$E70/('Monthly-CF'!$G70+1),0)</f>
        <v>0</v>
      </c>
      <c r="BN70" s="776">
        <f>IF(AND(BN$10&gt;='Monthly-CF'!$F70,BN$10&lt;='Monthly-CF'!$H70),'Monthly-CF'!$E70/('Monthly-CF'!$G70+1),0)</f>
        <v>0</v>
      </c>
      <c r="BO70" s="776">
        <f>IF(AND(BO$10&gt;='Monthly-CF'!$F70,BO$10&lt;='Monthly-CF'!$H70),'Monthly-CF'!$E70/('Monthly-CF'!$G70+1),0)</f>
        <v>0</v>
      </c>
      <c r="BP70" s="776">
        <f>IF(AND(BP$10&gt;='Monthly-CF'!$F70,BP$10&lt;='Monthly-CF'!$H70),'Monthly-CF'!$E70/('Monthly-CF'!$G70+1),0)</f>
        <v>0</v>
      </c>
      <c r="BQ70" s="776">
        <f>IF(AND(BQ$10&gt;='Monthly-CF'!$F70,BQ$10&lt;='Monthly-CF'!$H70),'Monthly-CF'!$E70/('Monthly-CF'!$G70+1),0)</f>
        <v>0</v>
      </c>
      <c r="BR70" s="776">
        <f>IF(AND(BR$10&gt;='Monthly-CF'!$F70,BR$10&lt;='Monthly-CF'!$H70),'Monthly-CF'!$E70/('Monthly-CF'!$G70+1),0)</f>
        <v>0</v>
      </c>
      <c r="BS70" s="776">
        <f>IF(AND(BS$10&gt;='Monthly-CF'!$F70,BS$10&lt;='Monthly-CF'!$H70),'Monthly-CF'!$E70/('Monthly-CF'!$G70+1),0)</f>
        <v>0</v>
      </c>
      <c r="BT70" s="776">
        <f>IF(AND(BT$10&gt;='Monthly-CF'!$F70,BT$10&lt;='Monthly-CF'!$H70),'Monthly-CF'!$E70/('Monthly-CF'!$G70+1),0)</f>
        <v>0</v>
      </c>
      <c r="BU70" s="776">
        <f>IF(AND(BU$10&gt;='Monthly-CF'!$F70,BU$10&lt;='Monthly-CF'!$H70),'Monthly-CF'!$E70/('Monthly-CF'!$G70+1),0)</f>
        <v>0</v>
      </c>
      <c r="BV70" s="776">
        <f>IF(AND(BV$10&gt;='Monthly-CF'!$F70,BV$10&lt;='Monthly-CF'!$H70),'Monthly-CF'!$E70/('Monthly-CF'!$G70+1),0)</f>
        <v>0</v>
      </c>
      <c r="BW70" s="776">
        <f>IF(AND(BW$10&gt;='Monthly-CF'!$F70,BW$10&lt;='Monthly-CF'!$H70),'Monthly-CF'!$E70/('Monthly-CF'!$G70+1),0)</f>
        <v>0</v>
      </c>
      <c r="BX70" s="776">
        <f>IF(AND(BX$10&gt;='Monthly-CF'!$F70,BX$10&lt;='Monthly-CF'!$H70),'Monthly-CF'!$E70/('Monthly-CF'!$G70+1),0)</f>
        <v>0</v>
      </c>
      <c r="BY70" s="776">
        <f>IF(AND(BY$10&gt;='Monthly-CF'!$F70,BY$10&lt;='Monthly-CF'!$H70),'Monthly-CF'!$E70/('Monthly-CF'!$G70+1),0)</f>
        <v>0</v>
      </c>
      <c r="BZ70" s="776">
        <f>IF(AND(BZ$10&gt;='Monthly-CF'!$F70,BZ$10&lt;='Monthly-CF'!$H70),'Monthly-CF'!$E70/('Monthly-CF'!$G70+1),0)</f>
        <v>0</v>
      </c>
      <c r="CA70" s="776">
        <f>IF(AND(CA$10&gt;='Monthly-CF'!$F70,CA$10&lt;='Monthly-CF'!$H70),'Monthly-CF'!$E70/('Monthly-CF'!$G70+1),0)</f>
        <v>0</v>
      </c>
      <c r="CB70" s="776">
        <f>IF(AND(CB$10&gt;='Monthly-CF'!$F70,CB$10&lt;='Monthly-CF'!$H70),'Monthly-CF'!$E70/('Monthly-CF'!$G70+1),0)</f>
        <v>0</v>
      </c>
      <c r="CC70" s="776">
        <f>IF(AND(CC$10&gt;='Monthly-CF'!$F70,CC$10&lt;='Monthly-CF'!$H70),'Monthly-CF'!$E70/('Monthly-CF'!$G70+1),0)</f>
        <v>0</v>
      </c>
      <c r="CD70" s="776">
        <f>IF(AND(CD$10&gt;='Monthly-CF'!$F70,CD$10&lt;='Monthly-CF'!$H70),'Monthly-CF'!$E70/('Monthly-CF'!$G70+1),0)</f>
        <v>0</v>
      </c>
      <c r="CE70" s="776">
        <f>IF(AND(CE$10&gt;='Monthly-CF'!$F70,CE$10&lt;='Monthly-CF'!$H70),'Monthly-CF'!$E70/('Monthly-CF'!$G70+1),0)</f>
        <v>0</v>
      </c>
      <c r="CF70" s="776">
        <f>IF(AND(CF$10&gt;='Monthly-CF'!$F70,CF$10&lt;='Monthly-CF'!$H70),'Monthly-CF'!$E70/('Monthly-CF'!$G70+1),0)</f>
        <v>0</v>
      </c>
      <c r="CG70" s="776">
        <f>IF(AND(CG$10&gt;='Monthly-CF'!$F70,CG$10&lt;='Monthly-CF'!$H70),'Monthly-CF'!$E70/('Monthly-CF'!$G70+1),0)</f>
        <v>0</v>
      </c>
      <c r="CH70" s="776">
        <f>IF(AND(CH$10&gt;='Monthly-CF'!$F70,CH$10&lt;='Monthly-CF'!$H70),'Monthly-CF'!$E70/('Monthly-CF'!$G70+1),0)</f>
        <v>0</v>
      </c>
      <c r="CI70" s="776">
        <f>IF(AND(CI$10&gt;='Monthly-CF'!$F70,CI$10&lt;='Monthly-CF'!$H70),'Monthly-CF'!$E70/('Monthly-CF'!$G70+1),0)</f>
        <v>0</v>
      </c>
      <c r="CJ70" s="776">
        <f>IF(AND(CJ$10&gt;='Monthly-CF'!$F70,CJ$10&lt;='Monthly-CF'!$H70),'Monthly-CF'!$E70/('Monthly-CF'!$G70+1),0)</f>
        <v>0</v>
      </c>
      <c r="CK70" s="776">
        <f>IF(AND(CK$10&gt;='Monthly-CF'!$F70,CK$10&lt;='Monthly-CF'!$H70),'Monthly-CF'!$E70/('Monthly-CF'!$G70+1),0)</f>
        <v>0</v>
      </c>
      <c r="CL70" s="776">
        <f>IF(AND(CL$10&gt;='Monthly-CF'!$F70,CL$10&lt;='Monthly-CF'!$H70),'Monthly-CF'!$E70/('Monthly-CF'!$G70+1),0)</f>
        <v>0</v>
      </c>
      <c r="CM70" s="776">
        <f>IF(AND(CM$10&gt;='Monthly-CF'!$F70,CM$10&lt;='Monthly-CF'!$H70),'Monthly-CF'!$E70/('Monthly-CF'!$G70+1),0)</f>
        <v>0</v>
      </c>
      <c r="CN70" s="776">
        <f>IF(AND(CN$10&gt;='Monthly-CF'!$F70,CN$10&lt;='Monthly-CF'!$H70),'Monthly-CF'!$E70/('Monthly-CF'!$G70+1),0)</f>
        <v>0</v>
      </c>
      <c r="CO70" s="776">
        <f>IF(AND(CO$10&gt;='Monthly-CF'!$F70,CO$10&lt;='Monthly-CF'!$H70),'Monthly-CF'!$E70/('Monthly-CF'!$G70+1),0)</f>
        <v>0</v>
      </c>
      <c r="CP70" s="776">
        <f>IF(AND(CP$10&gt;='Monthly-CF'!$F70,CP$10&lt;='Monthly-CF'!$H70),'Monthly-CF'!$E70/('Monthly-CF'!$G70+1),0)</f>
        <v>0</v>
      </c>
      <c r="CQ70" s="776">
        <f>IF(AND(CQ$10&gt;='Monthly-CF'!$F70,CQ$10&lt;='Monthly-CF'!$H70),'Monthly-CF'!$E70/('Monthly-CF'!$G70+1),0)</f>
        <v>0</v>
      </c>
      <c r="CR70" s="776">
        <f>IF(AND(CR$10&gt;='Monthly-CF'!$F70,CR$10&lt;='Monthly-CF'!$H70),'Monthly-CF'!$E70/('Monthly-CF'!$G70+1),0)</f>
        <v>0</v>
      </c>
      <c r="CS70" s="776">
        <f>IF(AND(CS$10&gt;='Monthly-CF'!$F70,CS$10&lt;='Monthly-CF'!$H70),'Monthly-CF'!$E70/('Monthly-CF'!$G70+1),0)</f>
        <v>0</v>
      </c>
      <c r="CT70" s="776">
        <f>IF(AND(CT$10&gt;='Monthly-CF'!$F70,CT$10&lt;='Monthly-CF'!$H70),'Monthly-CF'!$E70/('Monthly-CF'!$G70+1),0)</f>
        <v>0</v>
      </c>
      <c r="CU70" s="776">
        <f>IF(AND(CU$10&gt;='Monthly-CF'!$F70,CU$10&lt;='Monthly-CF'!$H70),'Monthly-CF'!$E70/('Monthly-CF'!$G70+1),0)</f>
        <v>0</v>
      </c>
      <c r="CV70" s="776">
        <f>IF(AND(CV$10&gt;='Monthly-CF'!$F70,CV$10&lt;='Monthly-CF'!$H70),'Monthly-CF'!$E70/('Monthly-CF'!$G70+1),0)</f>
        <v>0</v>
      </c>
      <c r="CW70" s="776">
        <f>IF(AND(CW$10&gt;='Monthly-CF'!$F70,CW$10&lt;='Monthly-CF'!$H70),'Monthly-CF'!$E70/('Monthly-CF'!$G70+1),0)</f>
        <v>0</v>
      </c>
      <c r="CX70" s="776">
        <f>IF(AND(CX$10&gt;='Monthly-CF'!$F70,CX$10&lt;='Monthly-CF'!$H70),'Monthly-CF'!$E70/('Monthly-CF'!$G70+1),0)</f>
        <v>0</v>
      </c>
      <c r="CY70" s="776">
        <f>IF(AND(CY$10&gt;='Monthly-CF'!$F70,CY$10&lt;='Monthly-CF'!$H70),'Monthly-CF'!$E70/('Monthly-CF'!$G70+1),0)</f>
        <v>0</v>
      </c>
      <c r="CZ70" s="776">
        <f>IF(AND(CZ$10&gt;='Monthly-CF'!$F70,CZ$10&lt;='Monthly-CF'!$H70),'Monthly-CF'!$E70/('Monthly-CF'!$G70+1),0)</f>
        <v>0</v>
      </c>
      <c r="DA70" s="776">
        <f>IF(AND(DA$10&gt;='Monthly-CF'!$F70,DA$10&lt;='Monthly-CF'!$H70),'Monthly-CF'!$E70/('Monthly-CF'!$G70+1),0)</f>
        <v>0</v>
      </c>
      <c r="DB70" s="776">
        <f>IF(AND(DB$10&gt;='Monthly-CF'!$F70,DB$10&lt;='Monthly-CF'!$H70),'Monthly-CF'!$E70/('Monthly-CF'!$G70+1),0)</f>
        <v>0</v>
      </c>
      <c r="DC70" s="776">
        <f>IF(AND(DC$10&gt;='Monthly-CF'!$F70,DC$10&lt;='Monthly-CF'!$H70),'Monthly-CF'!$E70/('Monthly-CF'!$G70+1),0)</f>
        <v>0</v>
      </c>
      <c r="DD70" s="776">
        <f>IF(AND(DD$10&gt;='Monthly-CF'!$F70,DD$10&lt;='Monthly-CF'!$H70),'Monthly-CF'!$E70/('Monthly-CF'!$G70+1),0)</f>
        <v>0</v>
      </c>
      <c r="DE70" s="776">
        <f>IF(AND(DE$10&gt;='Monthly-CF'!$F70,DE$10&lt;='Monthly-CF'!$H70),'Monthly-CF'!$E70/('Monthly-CF'!$G70+1),0)</f>
        <v>0</v>
      </c>
      <c r="DF70" s="776">
        <f>IF(AND(DF$10&gt;='Monthly-CF'!$F70,DF$10&lt;='Monthly-CF'!$H70),'Monthly-CF'!$E70/('Monthly-CF'!$G70+1),0)</f>
        <v>0</v>
      </c>
      <c r="DG70" s="776">
        <f>IF(AND(DG$10&gt;='Monthly-CF'!$F70,DG$10&lt;='Monthly-CF'!$H70),'Monthly-CF'!$E70/('Monthly-CF'!$G70+1),0)</f>
        <v>0</v>
      </c>
      <c r="DH70" s="776">
        <f>IF(AND(DH$10&gt;='Monthly-CF'!$F70,DH$10&lt;='Monthly-CF'!$H70),'Monthly-CF'!$E70/('Monthly-CF'!$G70+1),0)</f>
        <v>0</v>
      </c>
      <c r="DI70" s="776">
        <f>IF(AND(DI$10&gt;='Monthly-CF'!$F70,DI$10&lt;='Monthly-CF'!$H70),'Monthly-CF'!$E70/('Monthly-CF'!$G70+1),0)</f>
        <v>0</v>
      </c>
      <c r="DJ70" s="776">
        <f>IF(AND(DJ$10&gt;='Monthly-CF'!$F70,DJ$10&lt;='Monthly-CF'!$H70),'Monthly-CF'!$E70/('Monthly-CF'!$G70+1),0)</f>
        <v>0</v>
      </c>
      <c r="DK70" s="776">
        <f>IF(AND(DK$10&gt;='Monthly-CF'!$F70,DK$10&lt;='Monthly-CF'!$H70),'Monthly-CF'!$E70/('Monthly-CF'!$G70+1),0)</f>
        <v>0</v>
      </c>
      <c r="DL70" s="776">
        <f>IF(AND(DL$10&gt;='Monthly-CF'!$F70,DL$10&lt;='Monthly-CF'!$H70),'Monthly-CF'!$E70/('Monthly-CF'!$G70+1),0)</f>
        <v>0</v>
      </c>
      <c r="DM70" s="776">
        <f>IF(AND(DM$10&gt;='Monthly-CF'!$F70,DM$10&lt;='Monthly-CF'!$H70),'Monthly-CF'!$E70/('Monthly-CF'!$G70+1),0)</f>
        <v>0</v>
      </c>
      <c r="DN70" s="776">
        <f>IF(AND(DN$10&gt;='Monthly-CF'!$F70,DN$10&lt;='Monthly-CF'!$H70),'Monthly-CF'!$E70/('Monthly-CF'!$G70+1),0)</f>
        <v>0</v>
      </c>
      <c r="DO70" s="776">
        <f>IF(AND(DO$10&gt;='Monthly-CF'!$F70,DO$10&lt;='Monthly-CF'!$H70),'Monthly-CF'!$E70/('Monthly-CF'!$G70+1),0)</f>
        <v>0</v>
      </c>
      <c r="DP70" s="776">
        <f>IF(AND(DP$10&gt;='Monthly-CF'!$F70,DP$10&lt;='Monthly-CF'!$H70),'Monthly-CF'!$E70/('Monthly-CF'!$G70+1),0)</f>
        <v>0</v>
      </c>
      <c r="DQ70" s="776">
        <f>IF(AND(DQ$10&gt;='Monthly-CF'!$F70,DQ$10&lt;='Monthly-CF'!$H70),'Monthly-CF'!$E70/('Monthly-CF'!$G70+1),0)</f>
        <v>0</v>
      </c>
      <c r="DR70" s="776">
        <f>IF(AND(DR$10&gt;='Monthly-CF'!$F70,DR$10&lt;='Monthly-CF'!$H70),'Monthly-CF'!$E70/('Monthly-CF'!$G70+1),0)</f>
        <v>0</v>
      </c>
      <c r="DS70" s="776">
        <f>IF(AND(DS$10&gt;='Monthly-CF'!$F70,DS$10&lt;='Monthly-CF'!$H70),'Monthly-CF'!$E70/('Monthly-CF'!$G70+1),0)</f>
        <v>0</v>
      </c>
      <c r="DT70" s="776">
        <f>IF(AND(DT$10&gt;='Monthly-CF'!$F70,DT$10&lt;='Monthly-CF'!$H70),'Monthly-CF'!$E70/('Monthly-CF'!$G70+1),0)</f>
        <v>0</v>
      </c>
      <c r="DU70" s="776">
        <f>IF(AND(DU$10&gt;='Monthly-CF'!$F70,DU$10&lt;='Monthly-CF'!$H70),'Monthly-CF'!$E70/('Monthly-CF'!$G70+1),0)</f>
        <v>0</v>
      </c>
      <c r="DV70" s="776">
        <f>IF(AND(DV$10&gt;='Monthly-CF'!$F70,DV$10&lt;='Monthly-CF'!$H70),'Monthly-CF'!$E70/('Monthly-CF'!$G70+1),0)</f>
        <v>0</v>
      </c>
      <c r="DW70" s="776">
        <f>IF(AND(DW$10&gt;='Monthly-CF'!$F70,DW$10&lt;='Monthly-CF'!$H70),'Monthly-CF'!$E70/('Monthly-CF'!$G70+1),0)</f>
        <v>0</v>
      </c>
      <c r="DX70" s="776">
        <f>IF(AND(DX$10&gt;='Monthly-CF'!$F70,DX$10&lt;='Monthly-CF'!$H70),'Monthly-CF'!$E70/('Monthly-CF'!$G70+1),0)</f>
        <v>0</v>
      </c>
      <c r="DY70" s="776">
        <f>IF(AND(DY$10&gt;='Monthly-CF'!$F70,DY$10&lt;='Monthly-CF'!$H70),'Monthly-CF'!$E70/('Monthly-CF'!$G70+1),0)</f>
        <v>0</v>
      </c>
      <c r="DZ70" s="776">
        <f>IF(AND(DZ$10&gt;='Monthly-CF'!$F70,DZ$10&lt;='Monthly-CF'!$H70),'Monthly-CF'!$E70/('Monthly-CF'!$G70+1),0)</f>
        <v>0</v>
      </c>
      <c r="EA70" s="776">
        <f>IF(AND(EA$10&gt;='Monthly-CF'!$F70,EA$10&lt;='Monthly-CF'!$H70),'Monthly-CF'!$E70/('Monthly-CF'!$G70+1),0)</f>
        <v>0</v>
      </c>
      <c r="EB70" s="389"/>
      <c r="EC70" s="392" t="s">
        <v>65</v>
      </c>
    </row>
    <row r="71" spans="1:133" s="390" customFormat="1" ht="15" customHeight="1" outlineLevel="1">
      <c r="A71" s="389"/>
      <c r="B71" s="389"/>
      <c r="C71" s="389"/>
      <c r="D71" s="769" t="s">
        <v>511</v>
      </c>
      <c r="E71" s="780">
        <f ca="1">-SUMIFS('Budget Detail'!$K$9:$K$77,'Budget Detail'!$D$9:$D$77,'Monthly-CF'!D71)</f>
        <v>-6649601.1215803148</v>
      </c>
      <c r="F71" s="770">
        <v>2</v>
      </c>
      <c r="G71" s="770">
        <v>16</v>
      </c>
      <c r="H71" s="771">
        <f>F71+G71</f>
        <v>18</v>
      </c>
      <c r="I71" s="802">
        <f t="shared" ca="1" si="74"/>
        <v>-6649601.1215803167</v>
      </c>
      <c r="J71" s="389"/>
      <c r="K71" s="776"/>
      <c r="L71" s="776">
        <f>IF(AND(L$10&gt;='Monthly-CF'!$F71,L$10&lt;='Monthly-CF'!$H71),'Monthly-CF'!$E71/('Monthly-CF'!$G71+1),0)</f>
        <v>0</v>
      </c>
      <c r="M71" s="776">
        <f ca="1">IF(AND(M$10&gt;='Monthly-CF'!$F71,M$10&lt;='Monthly-CF'!$H71),'Monthly-CF'!$E71/('Monthly-CF'!$G71+1),0)</f>
        <v>-391153.00715178321</v>
      </c>
      <c r="N71" s="776">
        <f ca="1">IF(AND(N$10&gt;='Monthly-CF'!$F71,N$10&lt;='Monthly-CF'!$H71),'Monthly-CF'!$E71/('Monthly-CF'!$G71+1),0)</f>
        <v>-391153.00715178321</v>
      </c>
      <c r="O71" s="776">
        <f ca="1">IF(AND(O$10&gt;='Monthly-CF'!$F71,O$10&lt;='Monthly-CF'!$H71),'Monthly-CF'!$E71/('Monthly-CF'!$G71+1),0)</f>
        <v>-391153.00715178321</v>
      </c>
      <c r="P71" s="776">
        <f ca="1">IF(AND(P$10&gt;='Monthly-CF'!$F71,P$10&lt;='Monthly-CF'!$H71),'Monthly-CF'!$E71/('Monthly-CF'!$G71+1),0)</f>
        <v>-391153.00715178321</v>
      </c>
      <c r="Q71" s="776">
        <f ca="1">IF(AND(Q$10&gt;='Monthly-CF'!$F71,Q$10&lt;='Monthly-CF'!$H71),'Monthly-CF'!$E71/('Monthly-CF'!$G71+1),0)</f>
        <v>-391153.00715178321</v>
      </c>
      <c r="R71" s="776">
        <f ca="1">IF(AND(R$10&gt;='Monthly-CF'!$F71,R$10&lt;='Monthly-CF'!$H71),'Monthly-CF'!$E71/('Monthly-CF'!$G71+1),0)</f>
        <v>-391153.00715178321</v>
      </c>
      <c r="S71" s="776">
        <f ca="1">IF(AND(S$10&gt;='Monthly-CF'!$F71,S$10&lt;='Monthly-CF'!$H71),'Monthly-CF'!$E71/('Monthly-CF'!$G71+1),0)</f>
        <v>-391153.00715178321</v>
      </c>
      <c r="T71" s="776">
        <f ca="1">IF(AND(T$10&gt;='Monthly-CF'!$F71,T$10&lt;='Monthly-CF'!$H71),'Monthly-CF'!$E71/('Monthly-CF'!$G71+1),0)</f>
        <v>-391153.00715178321</v>
      </c>
      <c r="U71" s="776">
        <f ca="1">IF(AND(U$10&gt;='Monthly-CF'!$F71,U$10&lt;='Monthly-CF'!$H71),'Monthly-CF'!$E71/('Monthly-CF'!$G71+1),0)</f>
        <v>-391153.00715178321</v>
      </c>
      <c r="V71" s="776">
        <f ca="1">IF(AND(V$10&gt;='Monthly-CF'!$F71,V$10&lt;='Monthly-CF'!$H71),'Monthly-CF'!$E71/('Monthly-CF'!$G71+1),0)</f>
        <v>-391153.00715178321</v>
      </c>
      <c r="W71" s="776">
        <f ca="1">IF(AND(W$10&gt;='Monthly-CF'!$F71,W$10&lt;='Monthly-CF'!$H71),'Monthly-CF'!$E71/('Monthly-CF'!$G71+1),0)</f>
        <v>-391153.00715178321</v>
      </c>
      <c r="X71" s="776">
        <f ca="1">IF(AND(X$10&gt;='Monthly-CF'!$F71,X$10&lt;='Monthly-CF'!$H71),'Monthly-CF'!$E71/('Monthly-CF'!$G71+1),0)</f>
        <v>-391153.00715178321</v>
      </c>
      <c r="Y71" s="776">
        <f ca="1">IF(AND(Y$10&gt;='Monthly-CF'!$F71,Y$10&lt;='Monthly-CF'!$H71),'Monthly-CF'!$E71/('Monthly-CF'!$G71+1),0)</f>
        <v>-391153.00715178321</v>
      </c>
      <c r="Z71" s="776">
        <f ca="1">IF(AND(Z$10&gt;='Monthly-CF'!$F71,Z$10&lt;='Monthly-CF'!$H71),'Monthly-CF'!$E71/('Monthly-CF'!$G71+1),0)</f>
        <v>-391153.00715178321</v>
      </c>
      <c r="AA71" s="776">
        <f ca="1">IF(AND(AA$10&gt;='Monthly-CF'!$F71,AA$10&lt;='Monthly-CF'!$H71),'Monthly-CF'!$E71/('Monthly-CF'!$G71+1),0)</f>
        <v>-391153.00715178321</v>
      </c>
      <c r="AB71" s="776">
        <f ca="1">IF(AND(AB$10&gt;='Monthly-CF'!$F71,AB$10&lt;='Monthly-CF'!$H71),'Monthly-CF'!$E71/('Monthly-CF'!$G71+1),0)</f>
        <v>-391153.00715178321</v>
      </c>
      <c r="AC71" s="776">
        <f ca="1">IF(AND(AC$10&gt;='Monthly-CF'!$F71,AC$10&lt;='Monthly-CF'!$H71),'Monthly-CF'!$E71/('Monthly-CF'!$G71+1),0)</f>
        <v>-391153.00715178321</v>
      </c>
      <c r="AD71" s="776">
        <f>IF(AND(AD$10&gt;='Monthly-CF'!$F71,AD$10&lt;='Monthly-CF'!$H71),'Monthly-CF'!$E71/('Monthly-CF'!$G71+1),0)</f>
        <v>0</v>
      </c>
      <c r="AE71" s="776">
        <f>IF(AND(AE$10&gt;='Monthly-CF'!$F71,AE$10&lt;='Monthly-CF'!$H71),'Monthly-CF'!$E71/('Monthly-CF'!$G71+1),0)</f>
        <v>0</v>
      </c>
      <c r="AF71" s="776">
        <f>IF(AND(AF$10&gt;='Monthly-CF'!$F71,AF$10&lt;='Monthly-CF'!$H71),'Monthly-CF'!$E71/('Monthly-CF'!$G71+1),0)</f>
        <v>0</v>
      </c>
      <c r="AG71" s="776">
        <f>IF(AND(AG$10&gt;='Monthly-CF'!$F71,AG$10&lt;='Monthly-CF'!$H71),'Monthly-CF'!$E71/('Monthly-CF'!$G71+1),0)</f>
        <v>0</v>
      </c>
      <c r="AH71" s="776">
        <f>IF(AND(AH$10&gt;='Monthly-CF'!$F71,AH$10&lt;='Monthly-CF'!$H71),'Monthly-CF'!$E71/('Monthly-CF'!$G71+1),0)</f>
        <v>0</v>
      </c>
      <c r="AI71" s="776">
        <f>IF(AND(AI$10&gt;='Monthly-CF'!$F71,AI$10&lt;='Monthly-CF'!$H71),'Monthly-CF'!$E71/('Monthly-CF'!$G71+1),0)</f>
        <v>0</v>
      </c>
      <c r="AJ71" s="776">
        <f>IF(AND(AJ$10&gt;='Monthly-CF'!$F71,AJ$10&lt;='Monthly-CF'!$H71),'Monthly-CF'!$E71/('Monthly-CF'!$G71+1),0)</f>
        <v>0</v>
      </c>
      <c r="AK71" s="776">
        <f>IF(AND(AK$10&gt;='Monthly-CF'!$F71,AK$10&lt;='Monthly-CF'!$H71),'Monthly-CF'!$E71/('Monthly-CF'!$G71+1),0)</f>
        <v>0</v>
      </c>
      <c r="AL71" s="776">
        <f>IF(AND(AL$10&gt;='Monthly-CF'!$F71,AL$10&lt;='Monthly-CF'!$H71),'Monthly-CF'!$E71/('Monthly-CF'!$G71+1),0)</f>
        <v>0</v>
      </c>
      <c r="AM71" s="776">
        <f>IF(AND(AM$10&gt;='Monthly-CF'!$F71,AM$10&lt;='Monthly-CF'!$H71),'Monthly-CF'!$E71/('Monthly-CF'!$G71+1),0)</f>
        <v>0</v>
      </c>
      <c r="AN71" s="776">
        <f>IF(AND(AN$10&gt;='Monthly-CF'!$F71,AN$10&lt;='Monthly-CF'!$H71),'Monthly-CF'!$E71/('Monthly-CF'!$G71+1),0)</f>
        <v>0</v>
      </c>
      <c r="AO71" s="776">
        <f>IF(AND(AO$10&gt;='Monthly-CF'!$F71,AO$10&lt;='Monthly-CF'!$H71),'Monthly-CF'!$E71/('Monthly-CF'!$G71+1),0)</f>
        <v>0</v>
      </c>
      <c r="AP71" s="776">
        <f>IF(AND(AP$10&gt;='Monthly-CF'!$F71,AP$10&lt;='Monthly-CF'!$H71),'Monthly-CF'!$E71/('Monthly-CF'!$G71+1),0)</f>
        <v>0</v>
      </c>
      <c r="AQ71" s="776">
        <f>IF(AND(AQ$10&gt;='Monthly-CF'!$F71,AQ$10&lt;='Monthly-CF'!$H71),'Monthly-CF'!$E71/('Monthly-CF'!$G71+1),0)</f>
        <v>0</v>
      </c>
      <c r="AR71" s="776">
        <f>IF(AND(AR$10&gt;='Monthly-CF'!$F71,AR$10&lt;='Monthly-CF'!$H71),'Monthly-CF'!$E71/('Monthly-CF'!$G71+1),0)</f>
        <v>0</v>
      </c>
      <c r="AS71" s="776">
        <f>IF(AND(AS$10&gt;='Monthly-CF'!$F71,AS$10&lt;='Monthly-CF'!$H71),'Monthly-CF'!$E71/('Monthly-CF'!$G71+1),0)</f>
        <v>0</v>
      </c>
      <c r="AT71" s="776">
        <f>IF(AND(AT$10&gt;='Monthly-CF'!$F71,AT$10&lt;='Monthly-CF'!$H71),'Monthly-CF'!$E71/('Monthly-CF'!$G71+1),0)</f>
        <v>0</v>
      </c>
      <c r="AU71" s="776">
        <f>IF(AND(AU$10&gt;='Monthly-CF'!$F71,AU$10&lt;='Monthly-CF'!$H71),'Monthly-CF'!$E71/('Monthly-CF'!$G71+1),0)</f>
        <v>0</v>
      </c>
      <c r="AV71" s="776">
        <f>IF(AND(AV$10&gt;='Monthly-CF'!$F71,AV$10&lt;='Monthly-CF'!$H71),'Monthly-CF'!$E71/('Monthly-CF'!$G71+1),0)</f>
        <v>0</v>
      </c>
      <c r="AW71" s="776">
        <f>IF(AND(AW$10&gt;='Monthly-CF'!$F71,AW$10&lt;='Monthly-CF'!$H71),'Monthly-CF'!$E71/('Monthly-CF'!$G71+1),0)</f>
        <v>0</v>
      </c>
      <c r="AX71" s="776">
        <f>IF(AND(AX$10&gt;='Monthly-CF'!$F71,AX$10&lt;='Monthly-CF'!$H71),'Monthly-CF'!$E71/('Monthly-CF'!$G71+1),0)</f>
        <v>0</v>
      </c>
      <c r="AY71" s="776">
        <f>IF(AND(AY$10&gt;='Monthly-CF'!$F71,AY$10&lt;='Monthly-CF'!$H71),'Monthly-CF'!$E71/('Monthly-CF'!$G71+1),0)</f>
        <v>0</v>
      </c>
      <c r="AZ71" s="776">
        <f>IF(AND(AZ$10&gt;='Monthly-CF'!$F71,AZ$10&lt;='Monthly-CF'!$H71),'Monthly-CF'!$E71/('Monthly-CF'!$G71+1),0)</f>
        <v>0</v>
      </c>
      <c r="BA71" s="776">
        <f>IF(AND(BA$10&gt;='Monthly-CF'!$F71,BA$10&lt;='Monthly-CF'!$H71),'Monthly-CF'!$E71/('Monthly-CF'!$G71+1),0)</f>
        <v>0</v>
      </c>
      <c r="BB71" s="776">
        <f>IF(AND(BB$10&gt;='Monthly-CF'!$F71,BB$10&lt;='Monthly-CF'!$H71),'Monthly-CF'!$E71/('Monthly-CF'!$G71+1),0)</f>
        <v>0</v>
      </c>
      <c r="BC71" s="776">
        <f>IF(AND(BC$10&gt;='Monthly-CF'!$F71,BC$10&lt;='Monthly-CF'!$H71),'Monthly-CF'!$E71/('Monthly-CF'!$G71+1),0)</f>
        <v>0</v>
      </c>
      <c r="BD71" s="776">
        <f>IF(AND(BD$10&gt;='Monthly-CF'!$F71,BD$10&lt;='Monthly-CF'!$H71),'Monthly-CF'!$E71/('Monthly-CF'!$G71+1),0)</f>
        <v>0</v>
      </c>
      <c r="BE71" s="776">
        <f>IF(AND(BE$10&gt;='Monthly-CF'!$F71,BE$10&lt;='Monthly-CF'!$H71),'Monthly-CF'!$E71/('Monthly-CF'!$G71+1),0)</f>
        <v>0</v>
      </c>
      <c r="BF71" s="776">
        <f>IF(AND(BF$10&gt;='Monthly-CF'!$F71,BF$10&lt;='Monthly-CF'!$H71),'Monthly-CF'!$E71/('Monthly-CF'!$G71+1),0)</f>
        <v>0</v>
      </c>
      <c r="BG71" s="776">
        <f>IF(AND(BG$10&gt;='Monthly-CF'!$F71,BG$10&lt;='Monthly-CF'!$H71),'Monthly-CF'!$E71/('Monthly-CF'!$G71+1),0)</f>
        <v>0</v>
      </c>
      <c r="BH71" s="776">
        <f>IF(AND(BH$10&gt;='Monthly-CF'!$F71,BH$10&lt;='Monthly-CF'!$H71),'Monthly-CF'!$E71/('Monthly-CF'!$G71+1),0)</f>
        <v>0</v>
      </c>
      <c r="BI71" s="776">
        <f>IF(AND(BI$10&gt;='Monthly-CF'!$F71,BI$10&lt;='Monthly-CF'!$H71),'Monthly-CF'!$E71/('Monthly-CF'!$G71+1),0)</f>
        <v>0</v>
      </c>
      <c r="BJ71" s="776">
        <f>IF(AND(BJ$10&gt;='Monthly-CF'!$F71,BJ$10&lt;='Monthly-CF'!$H71),'Monthly-CF'!$E71/('Monthly-CF'!$G71+1),0)</f>
        <v>0</v>
      </c>
      <c r="BK71" s="776">
        <f>IF(AND(BK$10&gt;='Monthly-CF'!$F71,BK$10&lt;='Monthly-CF'!$H71),'Monthly-CF'!$E71/('Monthly-CF'!$G71+1),0)</f>
        <v>0</v>
      </c>
      <c r="BL71" s="776">
        <f>IF(AND(BL$10&gt;='Monthly-CF'!$F71,BL$10&lt;='Monthly-CF'!$H71),'Monthly-CF'!$E71/('Monthly-CF'!$G71+1),0)</f>
        <v>0</v>
      </c>
      <c r="BM71" s="776">
        <f>IF(AND(BM$10&gt;='Monthly-CF'!$F71,BM$10&lt;='Monthly-CF'!$H71),'Monthly-CF'!$E71/('Monthly-CF'!$G71+1),0)</f>
        <v>0</v>
      </c>
      <c r="BN71" s="776">
        <f>IF(AND(BN$10&gt;='Monthly-CF'!$F71,BN$10&lt;='Monthly-CF'!$H71),'Monthly-CF'!$E71/('Monthly-CF'!$G71+1),0)</f>
        <v>0</v>
      </c>
      <c r="BO71" s="776">
        <f>IF(AND(BO$10&gt;='Monthly-CF'!$F71,BO$10&lt;='Monthly-CF'!$H71),'Monthly-CF'!$E71/('Monthly-CF'!$G71+1),0)</f>
        <v>0</v>
      </c>
      <c r="BP71" s="776">
        <f>IF(AND(BP$10&gt;='Monthly-CF'!$F71,BP$10&lt;='Monthly-CF'!$H71),'Monthly-CF'!$E71/('Monthly-CF'!$G71+1),0)</f>
        <v>0</v>
      </c>
      <c r="BQ71" s="776">
        <f>IF(AND(BQ$10&gt;='Monthly-CF'!$F71,BQ$10&lt;='Monthly-CF'!$H71),'Monthly-CF'!$E71/('Monthly-CF'!$G71+1),0)</f>
        <v>0</v>
      </c>
      <c r="BR71" s="776">
        <f>IF(AND(BR$10&gt;='Monthly-CF'!$F71,BR$10&lt;='Monthly-CF'!$H71),'Monthly-CF'!$E71/('Monthly-CF'!$G71+1),0)</f>
        <v>0</v>
      </c>
      <c r="BS71" s="776">
        <f>IF(AND(BS$10&gt;='Monthly-CF'!$F71,BS$10&lt;='Monthly-CF'!$H71),'Monthly-CF'!$E71/('Monthly-CF'!$G71+1),0)</f>
        <v>0</v>
      </c>
      <c r="BT71" s="776">
        <f>IF(AND(BT$10&gt;='Monthly-CF'!$F71,BT$10&lt;='Monthly-CF'!$H71),'Monthly-CF'!$E71/('Monthly-CF'!$G71+1),0)</f>
        <v>0</v>
      </c>
      <c r="BU71" s="776">
        <f>IF(AND(BU$10&gt;='Monthly-CF'!$F71,BU$10&lt;='Monthly-CF'!$H71),'Monthly-CF'!$E71/('Monthly-CF'!$G71+1),0)</f>
        <v>0</v>
      </c>
      <c r="BV71" s="776">
        <f>IF(AND(BV$10&gt;='Monthly-CF'!$F71,BV$10&lt;='Monthly-CF'!$H71),'Monthly-CF'!$E71/('Monthly-CF'!$G71+1),0)</f>
        <v>0</v>
      </c>
      <c r="BW71" s="776">
        <f>IF(AND(BW$10&gt;='Monthly-CF'!$F71,BW$10&lt;='Monthly-CF'!$H71),'Monthly-CF'!$E71/('Monthly-CF'!$G71+1),0)</f>
        <v>0</v>
      </c>
      <c r="BX71" s="776">
        <f>IF(AND(BX$10&gt;='Monthly-CF'!$F71,BX$10&lt;='Monthly-CF'!$H71),'Monthly-CF'!$E71/('Monthly-CF'!$G71+1),0)</f>
        <v>0</v>
      </c>
      <c r="BY71" s="776">
        <f>IF(AND(BY$10&gt;='Monthly-CF'!$F71,BY$10&lt;='Monthly-CF'!$H71),'Monthly-CF'!$E71/('Monthly-CF'!$G71+1),0)</f>
        <v>0</v>
      </c>
      <c r="BZ71" s="776">
        <f>IF(AND(BZ$10&gt;='Monthly-CF'!$F71,BZ$10&lt;='Monthly-CF'!$H71),'Monthly-CF'!$E71/('Monthly-CF'!$G71+1),0)</f>
        <v>0</v>
      </c>
      <c r="CA71" s="776">
        <f>IF(AND(CA$10&gt;='Monthly-CF'!$F71,CA$10&lt;='Monthly-CF'!$H71),'Monthly-CF'!$E71/('Monthly-CF'!$G71+1),0)</f>
        <v>0</v>
      </c>
      <c r="CB71" s="776">
        <f>IF(AND(CB$10&gt;='Monthly-CF'!$F71,CB$10&lt;='Monthly-CF'!$H71),'Monthly-CF'!$E71/('Monthly-CF'!$G71+1),0)</f>
        <v>0</v>
      </c>
      <c r="CC71" s="776">
        <f>IF(AND(CC$10&gt;='Monthly-CF'!$F71,CC$10&lt;='Monthly-CF'!$H71),'Monthly-CF'!$E71/('Monthly-CF'!$G71+1),0)</f>
        <v>0</v>
      </c>
      <c r="CD71" s="776">
        <f>IF(AND(CD$10&gt;='Monthly-CF'!$F71,CD$10&lt;='Monthly-CF'!$H71),'Monthly-CF'!$E71/('Monthly-CF'!$G71+1),0)</f>
        <v>0</v>
      </c>
      <c r="CE71" s="776">
        <f>IF(AND(CE$10&gt;='Monthly-CF'!$F71,CE$10&lt;='Monthly-CF'!$H71),'Monthly-CF'!$E71/('Monthly-CF'!$G71+1),0)</f>
        <v>0</v>
      </c>
      <c r="CF71" s="776">
        <f>IF(AND(CF$10&gt;='Monthly-CF'!$F71,CF$10&lt;='Monthly-CF'!$H71),'Monthly-CF'!$E71/('Monthly-CF'!$G71+1),0)</f>
        <v>0</v>
      </c>
      <c r="CG71" s="776">
        <f>IF(AND(CG$10&gt;='Monthly-CF'!$F71,CG$10&lt;='Monthly-CF'!$H71),'Monthly-CF'!$E71/('Monthly-CF'!$G71+1),0)</f>
        <v>0</v>
      </c>
      <c r="CH71" s="776">
        <f>IF(AND(CH$10&gt;='Monthly-CF'!$F71,CH$10&lt;='Monthly-CF'!$H71),'Monthly-CF'!$E71/('Monthly-CF'!$G71+1),0)</f>
        <v>0</v>
      </c>
      <c r="CI71" s="776">
        <f>IF(AND(CI$10&gt;='Monthly-CF'!$F71,CI$10&lt;='Monthly-CF'!$H71),'Monthly-CF'!$E71/('Monthly-CF'!$G71+1),0)</f>
        <v>0</v>
      </c>
      <c r="CJ71" s="776">
        <f>IF(AND(CJ$10&gt;='Monthly-CF'!$F71,CJ$10&lt;='Monthly-CF'!$H71),'Monthly-CF'!$E71/('Monthly-CF'!$G71+1),0)</f>
        <v>0</v>
      </c>
      <c r="CK71" s="776">
        <f>IF(AND(CK$10&gt;='Monthly-CF'!$F71,CK$10&lt;='Monthly-CF'!$H71),'Monthly-CF'!$E71/('Monthly-CF'!$G71+1),0)</f>
        <v>0</v>
      </c>
      <c r="CL71" s="776">
        <f>IF(AND(CL$10&gt;='Monthly-CF'!$F71,CL$10&lt;='Monthly-CF'!$H71),'Monthly-CF'!$E71/('Monthly-CF'!$G71+1),0)</f>
        <v>0</v>
      </c>
      <c r="CM71" s="776">
        <f>IF(AND(CM$10&gt;='Monthly-CF'!$F71,CM$10&lt;='Monthly-CF'!$H71),'Monthly-CF'!$E71/('Monthly-CF'!$G71+1),0)</f>
        <v>0</v>
      </c>
      <c r="CN71" s="776">
        <f>IF(AND(CN$10&gt;='Monthly-CF'!$F71,CN$10&lt;='Monthly-CF'!$H71),'Monthly-CF'!$E71/('Monthly-CF'!$G71+1),0)</f>
        <v>0</v>
      </c>
      <c r="CO71" s="776">
        <f>IF(AND(CO$10&gt;='Monthly-CF'!$F71,CO$10&lt;='Monthly-CF'!$H71),'Monthly-CF'!$E71/('Monthly-CF'!$G71+1),0)</f>
        <v>0</v>
      </c>
      <c r="CP71" s="776">
        <f>IF(AND(CP$10&gt;='Monthly-CF'!$F71,CP$10&lt;='Monthly-CF'!$H71),'Monthly-CF'!$E71/('Monthly-CF'!$G71+1),0)</f>
        <v>0</v>
      </c>
      <c r="CQ71" s="776">
        <f>IF(AND(CQ$10&gt;='Monthly-CF'!$F71,CQ$10&lt;='Monthly-CF'!$H71),'Monthly-CF'!$E71/('Monthly-CF'!$G71+1),0)</f>
        <v>0</v>
      </c>
      <c r="CR71" s="776">
        <f>IF(AND(CR$10&gt;='Monthly-CF'!$F71,CR$10&lt;='Monthly-CF'!$H71),'Monthly-CF'!$E71/('Monthly-CF'!$G71+1),0)</f>
        <v>0</v>
      </c>
      <c r="CS71" s="776">
        <f>IF(AND(CS$10&gt;='Monthly-CF'!$F71,CS$10&lt;='Monthly-CF'!$H71),'Monthly-CF'!$E71/('Monthly-CF'!$G71+1),0)</f>
        <v>0</v>
      </c>
      <c r="CT71" s="776">
        <f>IF(AND(CT$10&gt;='Monthly-CF'!$F71,CT$10&lt;='Monthly-CF'!$H71),'Monthly-CF'!$E71/('Monthly-CF'!$G71+1),0)</f>
        <v>0</v>
      </c>
      <c r="CU71" s="776">
        <f>IF(AND(CU$10&gt;='Monthly-CF'!$F71,CU$10&lt;='Monthly-CF'!$H71),'Monthly-CF'!$E71/('Monthly-CF'!$G71+1),0)</f>
        <v>0</v>
      </c>
      <c r="CV71" s="776">
        <f>IF(AND(CV$10&gt;='Monthly-CF'!$F71,CV$10&lt;='Monthly-CF'!$H71),'Monthly-CF'!$E71/('Monthly-CF'!$G71+1),0)</f>
        <v>0</v>
      </c>
      <c r="CW71" s="776">
        <f>IF(AND(CW$10&gt;='Monthly-CF'!$F71,CW$10&lt;='Monthly-CF'!$H71),'Monthly-CF'!$E71/('Monthly-CF'!$G71+1),0)</f>
        <v>0</v>
      </c>
      <c r="CX71" s="776">
        <f>IF(AND(CX$10&gt;='Monthly-CF'!$F71,CX$10&lt;='Monthly-CF'!$H71),'Monthly-CF'!$E71/('Monthly-CF'!$G71+1),0)</f>
        <v>0</v>
      </c>
      <c r="CY71" s="776">
        <f>IF(AND(CY$10&gt;='Monthly-CF'!$F71,CY$10&lt;='Monthly-CF'!$H71),'Monthly-CF'!$E71/('Monthly-CF'!$G71+1),0)</f>
        <v>0</v>
      </c>
      <c r="CZ71" s="776">
        <f>IF(AND(CZ$10&gt;='Monthly-CF'!$F71,CZ$10&lt;='Monthly-CF'!$H71),'Monthly-CF'!$E71/('Monthly-CF'!$G71+1),0)</f>
        <v>0</v>
      </c>
      <c r="DA71" s="776">
        <f>IF(AND(DA$10&gt;='Monthly-CF'!$F71,DA$10&lt;='Monthly-CF'!$H71),'Monthly-CF'!$E71/('Monthly-CF'!$G71+1),0)</f>
        <v>0</v>
      </c>
      <c r="DB71" s="776">
        <f>IF(AND(DB$10&gt;='Monthly-CF'!$F71,DB$10&lt;='Monthly-CF'!$H71),'Monthly-CF'!$E71/('Monthly-CF'!$G71+1),0)</f>
        <v>0</v>
      </c>
      <c r="DC71" s="776">
        <f>IF(AND(DC$10&gt;='Monthly-CF'!$F71,DC$10&lt;='Monthly-CF'!$H71),'Monthly-CF'!$E71/('Monthly-CF'!$G71+1),0)</f>
        <v>0</v>
      </c>
      <c r="DD71" s="776">
        <f>IF(AND(DD$10&gt;='Monthly-CF'!$F71,DD$10&lt;='Monthly-CF'!$H71),'Monthly-CF'!$E71/('Monthly-CF'!$G71+1),0)</f>
        <v>0</v>
      </c>
      <c r="DE71" s="776">
        <f>IF(AND(DE$10&gt;='Monthly-CF'!$F71,DE$10&lt;='Monthly-CF'!$H71),'Monthly-CF'!$E71/('Monthly-CF'!$G71+1),0)</f>
        <v>0</v>
      </c>
      <c r="DF71" s="776">
        <f>IF(AND(DF$10&gt;='Monthly-CF'!$F71,DF$10&lt;='Monthly-CF'!$H71),'Monthly-CF'!$E71/('Monthly-CF'!$G71+1),0)</f>
        <v>0</v>
      </c>
      <c r="DG71" s="776">
        <f>IF(AND(DG$10&gt;='Monthly-CF'!$F71,DG$10&lt;='Monthly-CF'!$H71),'Monthly-CF'!$E71/('Monthly-CF'!$G71+1),0)</f>
        <v>0</v>
      </c>
      <c r="DH71" s="776">
        <f>IF(AND(DH$10&gt;='Monthly-CF'!$F71,DH$10&lt;='Monthly-CF'!$H71),'Monthly-CF'!$E71/('Monthly-CF'!$G71+1),0)</f>
        <v>0</v>
      </c>
      <c r="DI71" s="776">
        <f>IF(AND(DI$10&gt;='Monthly-CF'!$F71,DI$10&lt;='Monthly-CF'!$H71),'Monthly-CF'!$E71/('Monthly-CF'!$G71+1),0)</f>
        <v>0</v>
      </c>
      <c r="DJ71" s="776">
        <f>IF(AND(DJ$10&gt;='Monthly-CF'!$F71,DJ$10&lt;='Monthly-CF'!$H71),'Monthly-CF'!$E71/('Monthly-CF'!$G71+1),0)</f>
        <v>0</v>
      </c>
      <c r="DK71" s="776">
        <f>IF(AND(DK$10&gt;='Monthly-CF'!$F71,DK$10&lt;='Monthly-CF'!$H71),'Monthly-CF'!$E71/('Monthly-CF'!$G71+1),0)</f>
        <v>0</v>
      </c>
      <c r="DL71" s="776">
        <f>IF(AND(DL$10&gt;='Monthly-CF'!$F71,DL$10&lt;='Monthly-CF'!$H71),'Monthly-CF'!$E71/('Monthly-CF'!$G71+1),0)</f>
        <v>0</v>
      </c>
      <c r="DM71" s="776">
        <f>IF(AND(DM$10&gt;='Monthly-CF'!$F71,DM$10&lt;='Monthly-CF'!$H71),'Monthly-CF'!$E71/('Monthly-CF'!$G71+1),0)</f>
        <v>0</v>
      </c>
      <c r="DN71" s="776">
        <f>IF(AND(DN$10&gt;='Monthly-CF'!$F71,DN$10&lt;='Monthly-CF'!$H71),'Monthly-CF'!$E71/('Monthly-CF'!$G71+1),0)</f>
        <v>0</v>
      </c>
      <c r="DO71" s="776">
        <f>IF(AND(DO$10&gt;='Monthly-CF'!$F71,DO$10&lt;='Monthly-CF'!$H71),'Monthly-CF'!$E71/('Monthly-CF'!$G71+1),0)</f>
        <v>0</v>
      </c>
      <c r="DP71" s="776">
        <f>IF(AND(DP$10&gt;='Monthly-CF'!$F71,DP$10&lt;='Monthly-CF'!$H71),'Monthly-CF'!$E71/('Monthly-CF'!$G71+1),0)</f>
        <v>0</v>
      </c>
      <c r="DQ71" s="776">
        <f>IF(AND(DQ$10&gt;='Monthly-CF'!$F71,DQ$10&lt;='Monthly-CF'!$H71),'Monthly-CF'!$E71/('Monthly-CF'!$G71+1),0)</f>
        <v>0</v>
      </c>
      <c r="DR71" s="776">
        <f>IF(AND(DR$10&gt;='Monthly-CF'!$F71,DR$10&lt;='Monthly-CF'!$H71),'Monthly-CF'!$E71/('Monthly-CF'!$G71+1),0)</f>
        <v>0</v>
      </c>
      <c r="DS71" s="776">
        <f>IF(AND(DS$10&gt;='Monthly-CF'!$F71,DS$10&lt;='Monthly-CF'!$H71),'Monthly-CF'!$E71/('Monthly-CF'!$G71+1),0)</f>
        <v>0</v>
      </c>
      <c r="DT71" s="776">
        <f>IF(AND(DT$10&gt;='Monthly-CF'!$F71,DT$10&lt;='Monthly-CF'!$H71),'Monthly-CF'!$E71/('Monthly-CF'!$G71+1),0)</f>
        <v>0</v>
      </c>
      <c r="DU71" s="776">
        <f>IF(AND(DU$10&gt;='Monthly-CF'!$F71,DU$10&lt;='Monthly-CF'!$H71),'Monthly-CF'!$E71/('Monthly-CF'!$G71+1),0)</f>
        <v>0</v>
      </c>
      <c r="DV71" s="776">
        <f>IF(AND(DV$10&gt;='Monthly-CF'!$F71,DV$10&lt;='Monthly-CF'!$H71),'Monthly-CF'!$E71/('Monthly-CF'!$G71+1),0)</f>
        <v>0</v>
      </c>
      <c r="DW71" s="776">
        <f>IF(AND(DW$10&gt;='Monthly-CF'!$F71,DW$10&lt;='Monthly-CF'!$H71),'Monthly-CF'!$E71/('Monthly-CF'!$G71+1),0)</f>
        <v>0</v>
      </c>
      <c r="DX71" s="776">
        <f>IF(AND(DX$10&gt;='Monthly-CF'!$F71,DX$10&lt;='Monthly-CF'!$H71),'Monthly-CF'!$E71/('Monthly-CF'!$G71+1),0)</f>
        <v>0</v>
      </c>
      <c r="DY71" s="776">
        <f>IF(AND(DY$10&gt;='Monthly-CF'!$F71,DY$10&lt;='Monthly-CF'!$H71),'Monthly-CF'!$E71/('Monthly-CF'!$G71+1),0)</f>
        <v>0</v>
      </c>
      <c r="DZ71" s="776">
        <f>IF(AND(DZ$10&gt;='Monthly-CF'!$F71,DZ$10&lt;='Monthly-CF'!$H71),'Monthly-CF'!$E71/('Monthly-CF'!$G71+1),0)</f>
        <v>0</v>
      </c>
      <c r="EA71" s="776">
        <f>IF(AND(EA$10&gt;='Monthly-CF'!$F71,EA$10&lt;='Monthly-CF'!$H71),'Monthly-CF'!$E71/('Monthly-CF'!$G71+1),0)</f>
        <v>0</v>
      </c>
      <c r="EB71" s="389"/>
      <c r="EC71" s="392" t="s">
        <v>65</v>
      </c>
    </row>
    <row r="72" spans="1:133" s="390" customFormat="1" ht="15" customHeight="1" outlineLevel="1">
      <c r="A72" s="389"/>
      <c r="B72" s="389"/>
      <c r="C72" s="389"/>
      <c r="D72" s="769" t="s">
        <v>514</v>
      </c>
      <c r="E72" s="780">
        <f ca="1">-SUMIFS('Budget Detail'!$K$9:$K$77,'Budget Detail'!$D$9:$D$77,'Monthly-CF'!D72)</f>
        <v>-1672635.6365120769</v>
      </c>
      <c r="F72" s="771">
        <f>F70</f>
        <v>3</v>
      </c>
      <c r="G72" s="771">
        <f>G70</f>
        <v>16</v>
      </c>
      <c r="H72" s="771">
        <f>F72+G72</f>
        <v>19</v>
      </c>
      <c r="I72" s="802">
        <f t="shared" ca="1" si="74"/>
        <v>-1672635.6365120769</v>
      </c>
      <c r="J72" s="389"/>
      <c r="K72" s="776"/>
      <c r="L72" s="776">
        <f>IF(AND(L$10&gt;='Monthly-CF'!$F72,L$10&lt;='Monthly-CF'!$H72),'Monthly-CF'!$E72/('Monthly-CF'!$G72+1),0)</f>
        <v>0</v>
      </c>
      <c r="M72" s="776">
        <f>IF(AND(M$10&gt;='Monthly-CF'!$F72,M$10&lt;='Monthly-CF'!$H72),'Monthly-CF'!$E72/('Monthly-CF'!$G72+1),0)</f>
        <v>0</v>
      </c>
      <c r="N72" s="776">
        <f ca="1">IF(AND(N$10&gt;='Monthly-CF'!$F72,N$10&lt;='Monthly-CF'!$H72),'Monthly-CF'!$E72/('Monthly-CF'!$G72+1),0)</f>
        <v>-98390.331559533937</v>
      </c>
      <c r="O72" s="776">
        <f ca="1">IF(AND(O$10&gt;='Monthly-CF'!$F72,O$10&lt;='Monthly-CF'!$H72),'Monthly-CF'!$E72/('Monthly-CF'!$G72+1),0)</f>
        <v>-98390.331559533937</v>
      </c>
      <c r="P72" s="776">
        <f ca="1">IF(AND(P$10&gt;='Monthly-CF'!$F72,P$10&lt;='Monthly-CF'!$H72),'Monthly-CF'!$E72/('Monthly-CF'!$G72+1),0)</f>
        <v>-98390.331559533937</v>
      </c>
      <c r="Q72" s="776">
        <f ca="1">IF(AND(Q$10&gt;='Monthly-CF'!$F72,Q$10&lt;='Monthly-CF'!$H72),'Monthly-CF'!$E72/('Monthly-CF'!$G72+1),0)</f>
        <v>-98390.331559533937</v>
      </c>
      <c r="R72" s="776">
        <f ca="1">IF(AND(R$10&gt;='Monthly-CF'!$F72,R$10&lt;='Monthly-CF'!$H72),'Monthly-CF'!$E72/('Monthly-CF'!$G72+1),0)</f>
        <v>-98390.331559533937</v>
      </c>
      <c r="S72" s="776">
        <f ca="1">IF(AND(S$10&gt;='Monthly-CF'!$F72,S$10&lt;='Monthly-CF'!$H72),'Monthly-CF'!$E72/('Monthly-CF'!$G72+1),0)</f>
        <v>-98390.331559533937</v>
      </c>
      <c r="T72" s="776">
        <f ca="1">IF(AND(T$10&gt;='Monthly-CF'!$F72,T$10&lt;='Monthly-CF'!$H72),'Monthly-CF'!$E72/('Monthly-CF'!$G72+1),0)</f>
        <v>-98390.331559533937</v>
      </c>
      <c r="U72" s="776">
        <f ca="1">IF(AND(U$10&gt;='Monthly-CF'!$F72,U$10&lt;='Monthly-CF'!$H72),'Monthly-CF'!$E72/('Monthly-CF'!$G72+1),0)</f>
        <v>-98390.331559533937</v>
      </c>
      <c r="V72" s="776">
        <f ca="1">IF(AND(V$10&gt;='Monthly-CF'!$F72,V$10&lt;='Monthly-CF'!$H72),'Monthly-CF'!$E72/('Monthly-CF'!$G72+1),0)</f>
        <v>-98390.331559533937</v>
      </c>
      <c r="W72" s="776">
        <f ca="1">IF(AND(W$10&gt;='Monthly-CF'!$F72,W$10&lt;='Monthly-CF'!$H72),'Monthly-CF'!$E72/('Monthly-CF'!$G72+1),0)</f>
        <v>-98390.331559533937</v>
      </c>
      <c r="X72" s="776">
        <f ca="1">IF(AND(X$10&gt;='Monthly-CF'!$F72,X$10&lt;='Monthly-CF'!$H72),'Monthly-CF'!$E72/('Monthly-CF'!$G72+1),0)</f>
        <v>-98390.331559533937</v>
      </c>
      <c r="Y72" s="776">
        <f ca="1">IF(AND(Y$10&gt;='Monthly-CF'!$F72,Y$10&lt;='Monthly-CF'!$H72),'Monthly-CF'!$E72/('Monthly-CF'!$G72+1),0)</f>
        <v>-98390.331559533937</v>
      </c>
      <c r="Z72" s="776">
        <f ca="1">IF(AND(Z$10&gt;='Monthly-CF'!$F72,Z$10&lt;='Monthly-CF'!$H72),'Monthly-CF'!$E72/('Monthly-CF'!$G72+1),0)</f>
        <v>-98390.331559533937</v>
      </c>
      <c r="AA72" s="776">
        <f ca="1">IF(AND(AA$10&gt;='Monthly-CF'!$F72,AA$10&lt;='Monthly-CF'!$H72),'Monthly-CF'!$E72/('Monthly-CF'!$G72+1),0)</f>
        <v>-98390.331559533937</v>
      </c>
      <c r="AB72" s="776">
        <f ca="1">IF(AND(AB$10&gt;='Monthly-CF'!$F72,AB$10&lt;='Monthly-CF'!$H72),'Monthly-CF'!$E72/('Monthly-CF'!$G72+1),0)</f>
        <v>-98390.331559533937</v>
      </c>
      <c r="AC72" s="776">
        <f ca="1">IF(AND(AC$10&gt;='Monthly-CF'!$F72,AC$10&lt;='Monthly-CF'!$H72),'Monthly-CF'!$E72/('Monthly-CF'!$G72+1),0)</f>
        <v>-98390.331559533937</v>
      </c>
      <c r="AD72" s="776">
        <f ca="1">IF(AND(AD$10&gt;='Monthly-CF'!$F72,AD$10&lt;='Monthly-CF'!$H72),'Monthly-CF'!$E72/('Monthly-CF'!$G72+1),0)</f>
        <v>-98390.331559533937</v>
      </c>
      <c r="AE72" s="776">
        <f>IF(AND(AE$10&gt;='Monthly-CF'!$F72,AE$10&lt;='Monthly-CF'!$H72),'Monthly-CF'!$E72/('Monthly-CF'!$G72+1),0)</f>
        <v>0</v>
      </c>
      <c r="AF72" s="776">
        <f>IF(AND(AF$10&gt;='Monthly-CF'!$F72,AF$10&lt;='Monthly-CF'!$H72),'Monthly-CF'!$E72/('Monthly-CF'!$G72+1),0)</f>
        <v>0</v>
      </c>
      <c r="AG72" s="776">
        <f>IF(AND(AG$10&gt;='Monthly-CF'!$F72,AG$10&lt;='Monthly-CF'!$H72),'Monthly-CF'!$E72/('Monthly-CF'!$G72+1),0)</f>
        <v>0</v>
      </c>
      <c r="AH72" s="776">
        <f>IF(AND(AH$10&gt;='Monthly-CF'!$F72,AH$10&lt;='Monthly-CF'!$H72),'Monthly-CF'!$E72/('Monthly-CF'!$G72+1),0)</f>
        <v>0</v>
      </c>
      <c r="AI72" s="776">
        <f>IF(AND(AI$10&gt;='Monthly-CF'!$F72,AI$10&lt;='Monthly-CF'!$H72),'Monthly-CF'!$E72/('Monthly-CF'!$G72+1),0)</f>
        <v>0</v>
      </c>
      <c r="AJ72" s="776">
        <f>IF(AND(AJ$10&gt;='Monthly-CF'!$F72,AJ$10&lt;='Monthly-CF'!$H72),'Monthly-CF'!$E72/('Monthly-CF'!$G72+1),0)</f>
        <v>0</v>
      </c>
      <c r="AK72" s="776">
        <f>IF(AND(AK$10&gt;='Monthly-CF'!$F72,AK$10&lt;='Monthly-CF'!$H72),'Monthly-CF'!$E72/('Monthly-CF'!$G72+1),0)</f>
        <v>0</v>
      </c>
      <c r="AL72" s="776">
        <f>IF(AND(AL$10&gt;='Monthly-CF'!$F72,AL$10&lt;='Monthly-CF'!$H72),'Monthly-CF'!$E72/('Monthly-CF'!$G72+1),0)</f>
        <v>0</v>
      </c>
      <c r="AM72" s="776">
        <f>IF(AND(AM$10&gt;='Monthly-CF'!$F72,AM$10&lt;='Monthly-CF'!$H72),'Monthly-CF'!$E72/('Monthly-CF'!$G72+1),0)</f>
        <v>0</v>
      </c>
      <c r="AN72" s="776">
        <f>IF(AND(AN$10&gt;='Monthly-CF'!$F72,AN$10&lt;='Monthly-CF'!$H72),'Monthly-CF'!$E72/('Monthly-CF'!$G72+1),0)</f>
        <v>0</v>
      </c>
      <c r="AO72" s="776">
        <f>IF(AND(AO$10&gt;='Monthly-CF'!$F72,AO$10&lt;='Monthly-CF'!$H72),'Monthly-CF'!$E72/('Monthly-CF'!$G72+1),0)</f>
        <v>0</v>
      </c>
      <c r="AP72" s="776">
        <f>IF(AND(AP$10&gt;='Monthly-CF'!$F72,AP$10&lt;='Monthly-CF'!$H72),'Monthly-CF'!$E72/('Monthly-CF'!$G72+1),0)</f>
        <v>0</v>
      </c>
      <c r="AQ72" s="776">
        <f>IF(AND(AQ$10&gt;='Monthly-CF'!$F72,AQ$10&lt;='Monthly-CF'!$H72),'Monthly-CF'!$E72/('Monthly-CF'!$G72+1),0)</f>
        <v>0</v>
      </c>
      <c r="AR72" s="776">
        <f>IF(AND(AR$10&gt;='Monthly-CF'!$F72,AR$10&lt;='Monthly-CF'!$H72),'Monthly-CF'!$E72/('Monthly-CF'!$G72+1),0)</f>
        <v>0</v>
      </c>
      <c r="AS72" s="776">
        <f>IF(AND(AS$10&gt;='Monthly-CF'!$F72,AS$10&lt;='Monthly-CF'!$H72),'Monthly-CF'!$E72/('Monthly-CF'!$G72+1),0)</f>
        <v>0</v>
      </c>
      <c r="AT72" s="776">
        <f>IF(AND(AT$10&gt;='Monthly-CF'!$F72,AT$10&lt;='Monthly-CF'!$H72),'Monthly-CF'!$E72/('Monthly-CF'!$G72+1),0)</f>
        <v>0</v>
      </c>
      <c r="AU72" s="776">
        <f>IF(AND(AU$10&gt;='Monthly-CF'!$F72,AU$10&lt;='Monthly-CF'!$H72),'Monthly-CF'!$E72/('Monthly-CF'!$G72+1),0)</f>
        <v>0</v>
      </c>
      <c r="AV72" s="776">
        <f>IF(AND(AV$10&gt;='Monthly-CF'!$F72,AV$10&lt;='Monthly-CF'!$H72),'Monthly-CF'!$E72/('Monthly-CF'!$G72+1),0)</f>
        <v>0</v>
      </c>
      <c r="AW72" s="776">
        <f>IF(AND(AW$10&gt;='Monthly-CF'!$F72,AW$10&lt;='Monthly-CF'!$H72),'Monthly-CF'!$E72/('Monthly-CF'!$G72+1),0)</f>
        <v>0</v>
      </c>
      <c r="AX72" s="776">
        <f>IF(AND(AX$10&gt;='Monthly-CF'!$F72,AX$10&lt;='Monthly-CF'!$H72),'Monthly-CF'!$E72/('Monthly-CF'!$G72+1),0)</f>
        <v>0</v>
      </c>
      <c r="AY72" s="776">
        <f>IF(AND(AY$10&gt;='Monthly-CF'!$F72,AY$10&lt;='Monthly-CF'!$H72),'Monthly-CF'!$E72/('Monthly-CF'!$G72+1),0)</f>
        <v>0</v>
      </c>
      <c r="AZ72" s="776">
        <f>IF(AND(AZ$10&gt;='Monthly-CF'!$F72,AZ$10&lt;='Monthly-CF'!$H72),'Monthly-CF'!$E72/('Monthly-CF'!$G72+1),0)</f>
        <v>0</v>
      </c>
      <c r="BA72" s="776">
        <f>IF(AND(BA$10&gt;='Monthly-CF'!$F72,BA$10&lt;='Monthly-CF'!$H72),'Monthly-CF'!$E72/('Monthly-CF'!$G72+1),0)</f>
        <v>0</v>
      </c>
      <c r="BB72" s="776">
        <f>IF(AND(BB$10&gt;='Monthly-CF'!$F72,BB$10&lt;='Monthly-CF'!$H72),'Monthly-CF'!$E72/('Monthly-CF'!$G72+1),0)</f>
        <v>0</v>
      </c>
      <c r="BC72" s="776">
        <f>IF(AND(BC$10&gt;='Monthly-CF'!$F72,BC$10&lt;='Monthly-CF'!$H72),'Monthly-CF'!$E72/('Monthly-CF'!$G72+1),0)</f>
        <v>0</v>
      </c>
      <c r="BD72" s="776">
        <f>IF(AND(BD$10&gt;='Monthly-CF'!$F72,BD$10&lt;='Monthly-CF'!$H72),'Monthly-CF'!$E72/('Monthly-CF'!$G72+1),0)</f>
        <v>0</v>
      </c>
      <c r="BE72" s="776">
        <f>IF(AND(BE$10&gt;='Monthly-CF'!$F72,BE$10&lt;='Monthly-CF'!$H72),'Monthly-CF'!$E72/('Monthly-CF'!$G72+1),0)</f>
        <v>0</v>
      </c>
      <c r="BF72" s="776">
        <f>IF(AND(BF$10&gt;='Monthly-CF'!$F72,BF$10&lt;='Monthly-CF'!$H72),'Monthly-CF'!$E72/('Monthly-CF'!$G72+1),0)</f>
        <v>0</v>
      </c>
      <c r="BG72" s="776">
        <f>IF(AND(BG$10&gt;='Monthly-CF'!$F72,BG$10&lt;='Monthly-CF'!$H72),'Monthly-CF'!$E72/('Monthly-CF'!$G72+1),0)</f>
        <v>0</v>
      </c>
      <c r="BH72" s="776">
        <f>IF(AND(BH$10&gt;='Monthly-CF'!$F72,BH$10&lt;='Monthly-CF'!$H72),'Monthly-CF'!$E72/('Monthly-CF'!$G72+1),0)</f>
        <v>0</v>
      </c>
      <c r="BI72" s="776">
        <f>IF(AND(BI$10&gt;='Monthly-CF'!$F72,BI$10&lt;='Monthly-CF'!$H72),'Monthly-CF'!$E72/('Monthly-CF'!$G72+1),0)</f>
        <v>0</v>
      </c>
      <c r="BJ72" s="776">
        <f>IF(AND(BJ$10&gt;='Monthly-CF'!$F72,BJ$10&lt;='Monthly-CF'!$H72),'Monthly-CF'!$E72/('Monthly-CF'!$G72+1),0)</f>
        <v>0</v>
      </c>
      <c r="BK72" s="776">
        <f>IF(AND(BK$10&gt;='Monthly-CF'!$F72,BK$10&lt;='Monthly-CF'!$H72),'Monthly-CF'!$E72/('Monthly-CF'!$G72+1),0)</f>
        <v>0</v>
      </c>
      <c r="BL72" s="776">
        <f>IF(AND(BL$10&gt;='Monthly-CF'!$F72,BL$10&lt;='Monthly-CF'!$H72),'Monthly-CF'!$E72/('Monthly-CF'!$G72+1),0)</f>
        <v>0</v>
      </c>
      <c r="BM72" s="776">
        <f>IF(AND(BM$10&gt;='Monthly-CF'!$F72,BM$10&lt;='Monthly-CF'!$H72),'Monthly-CF'!$E72/('Monthly-CF'!$G72+1),0)</f>
        <v>0</v>
      </c>
      <c r="BN72" s="776">
        <f>IF(AND(BN$10&gt;='Monthly-CF'!$F72,BN$10&lt;='Monthly-CF'!$H72),'Monthly-CF'!$E72/('Monthly-CF'!$G72+1),0)</f>
        <v>0</v>
      </c>
      <c r="BO72" s="776">
        <f>IF(AND(BO$10&gt;='Monthly-CF'!$F72,BO$10&lt;='Monthly-CF'!$H72),'Monthly-CF'!$E72/('Monthly-CF'!$G72+1),0)</f>
        <v>0</v>
      </c>
      <c r="BP72" s="776">
        <f>IF(AND(BP$10&gt;='Monthly-CF'!$F72,BP$10&lt;='Monthly-CF'!$H72),'Monthly-CF'!$E72/('Monthly-CF'!$G72+1),0)</f>
        <v>0</v>
      </c>
      <c r="BQ72" s="776">
        <f>IF(AND(BQ$10&gt;='Monthly-CF'!$F72,BQ$10&lt;='Monthly-CF'!$H72),'Monthly-CF'!$E72/('Monthly-CF'!$G72+1),0)</f>
        <v>0</v>
      </c>
      <c r="BR72" s="776">
        <f>IF(AND(BR$10&gt;='Monthly-CF'!$F72,BR$10&lt;='Monthly-CF'!$H72),'Monthly-CF'!$E72/('Monthly-CF'!$G72+1),0)</f>
        <v>0</v>
      </c>
      <c r="BS72" s="776">
        <f>IF(AND(BS$10&gt;='Monthly-CF'!$F72,BS$10&lt;='Monthly-CF'!$H72),'Monthly-CF'!$E72/('Monthly-CF'!$G72+1),0)</f>
        <v>0</v>
      </c>
      <c r="BT72" s="776">
        <f>IF(AND(BT$10&gt;='Monthly-CF'!$F72,BT$10&lt;='Monthly-CF'!$H72),'Monthly-CF'!$E72/('Monthly-CF'!$G72+1),0)</f>
        <v>0</v>
      </c>
      <c r="BU72" s="776">
        <f>IF(AND(BU$10&gt;='Monthly-CF'!$F72,BU$10&lt;='Monthly-CF'!$H72),'Monthly-CF'!$E72/('Monthly-CF'!$G72+1),0)</f>
        <v>0</v>
      </c>
      <c r="BV72" s="776">
        <f>IF(AND(BV$10&gt;='Monthly-CF'!$F72,BV$10&lt;='Monthly-CF'!$H72),'Monthly-CF'!$E72/('Monthly-CF'!$G72+1),0)</f>
        <v>0</v>
      </c>
      <c r="BW72" s="776">
        <f>IF(AND(BW$10&gt;='Monthly-CF'!$F72,BW$10&lt;='Monthly-CF'!$H72),'Monthly-CF'!$E72/('Monthly-CF'!$G72+1),0)</f>
        <v>0</v>
      </c>
      <c r="BX72" s="776">
        <f>IF(AND(BX$10&gt;='Monthly-CF'!$F72,BX$10&lt;='Monthly-CF'!$H72),'Monthly-CF'!$E72/('Monthly-CF'!$G72+1),0)</f>
        <v>0</v>
      </c>
      <c r="BY72" s="776">
        <f>IF(AND(BY$10&gt;='Monthly-CF'!$F72,BY$10&lt;='Monthly-CF'!$H72),'Monthly-CF'!$E72/('Monthly-CF'!$G72+1),0)</f>
        <v>0</v>
      </c>
      <c r="BZ72" s="776">
        <f>IF(AND(BZ$10&gt;='Monthly-CF'!$F72,BZ$10&lt;='Monthly-CF'!$H72),'Monthly-CF'!$E72/('Monthly-CF'!$G72+1),0)</f>
        <v>0</v>
      </c>
      <c r="CA72" s="776">
        <f>IF(AND(CA$10&gt;='Monthly-CF'!$F72,CA$10&lt;='Monthly-CF'!$H72),'Monthly-CF'!$E72/('Monthly-CF'!$G72+1),0)</f>
        <v>0</v>
      </c>
      <c r="CB72" s="776">
        <f>IF(AND(CB$10&gt;='Monthly-CF'!$F72,CB$10&lt;='Monthly-CF'!$H72),'Monthly-CF'!$E72/('Monthly-CF'!$G72+1),0)</f>
        <v>0</v>
      </c>
      <c r="CC72" s="776">
        <f>IF(AND(CC$10&gt;='Monthly-CF'!$F72,CC$10&lt;='Monthly-CF'!$H72),'Monthly-CF'!$E72/('Monthly-CF'!$G72+1),0)</f>
        <v>0</v>
      </c>
      <c r="CD72" s="776">
        <f>IF(AND(CD$10&gt;='Monthly-CF'!$F72,CD$10&lt;='Monthly-CF'!$H72),'Monthly-CF'!$E72/('Monthly-CF'!$G72+1),0)</f>
        <v>0</v>
      </c>
      <c r="CE72" s="776">
        <f>IF(AND(CE$10&gt;='Monthly-CF'!$F72,CE$10&lt;='Monthly-CF'!$H72),'Monthly-CF'!$E72/('Monthly-CF'!$G72+1),0)</f>
        <v>0</v>
      </c>
      <c r="CF72" s="776">
        <f>IF(AND(CF$10&gt;='Monthly-CF'!$F72,CF$10&lt;='Monthly-CF'!$H72),'Monthly-CF'!$E72/('Monthly-CF'!$G72+1),0)</f>
        <v>0</v>
      </c>
      <c r="CG72" s="776">
        <f>IF(AND(CG$10&gt;='Monthly-CF'!$F72,CG$10&lt;='Monthly-CF'!$H72),'Monthly-CF'!$E72/('Monthly-CF'!$G72+1),0)</f>
        <v>0</v>
      </c>
      <c r="CH72" s="776">
        <f>IF(AND(CH$10&gt;='Monthly-CF'!$F72,CH$10&lt;='Monthly-CF'!$H72),'Monthly-CF'!$E72/('Monthly-CF'!$G72+1),0)</f>
        <v>0</v>
      </c>
      <c r="CI72" s="776">
        <f>IF(AND(CI$10&gt;='Monthly-CF'!$F72,CI$10&lt;='Monthly-CF'!$H72),'Monthly-CF'!$E72/('Monthly-CF'!$G72+1),0)</f>
        <v>0</v>
      </c>
      <c r="CJ72" s="776">
        <f>IF(AND(CJ$10&gt;='Monthly-CF'!$F72,CJ$10&lt;='Monthly-CF'!$H72),'Monthly-CF'!$E72/('Monthly-CF'!$G72+1),0)</f>
        <v>0</v>
      </c>
      <c r="CK72" s="776">
        <f>IF(AND(CK$10&gt;='Monthly-CF'!$F72,CK$10&lt;='Monthly-CF'!$H72),'Monthly-CF'!$E72/('Monthly-CF'!$G72+1),0)</f>
        <v>0</v>
      </c>
      <c r="CL72" s="776">
        <f>IF(AND(CL$10&gt;='Monthly-CF'!$F72,CL$10&lt;='Monthly-CF'!$H72),'Monthly-CF'!$E72/('Monthly-CF'!$G72+1),0)</f>
        <v>0</v>
      </c>
      <c r="CM72" s="776">
        <f>IF(AND(CM$10&gt;='Monthly-CF'!$F72,CM$10&lt;='Monthly-CF'!$H72),'Monthly-CF'!$E72/('Monthly-CF'!$G72+1),0)</f>
        <v>0</v>
      </c>
      <c r="CN72" s="776">
        <f>IF(AND(CN$10&gt;='Monthly-CF'!$F72,CN$10&lt;='Monthly-CF'!$H72),'Monthly-CF'!$E72/('Monthly-CF'!$G72+1),0)</f>
        <v>0</v>
      </c>
      <c r="CO72" s="776">
        <f>IF(AND(CO$10&gt;='Monthly-CF'!$F72,CO$10&lt;='Monthly-CF'!$H72),'Monthly-CF'!$E72/('Monthly-CF'!$G72+1),0)</f>
        <v>0</v>
      </c>
      <c r="CP72" s="776">
        <f>IF(AND(CP$10&gt;='Monthly-CF'!$F72,CP$10&lt;='Monthly-CF'!$H72),'Monthly-CF'!$E72/('Monthly-CF'!$G72+1),0)</f>
        <v>0</v>
      </c>
      <c r="CQ72" s="776">
        <f>IF(AND(CQ$10&gt;='Monthly-CF'!$F72,CQ$10&lt;='Monthly-CF'!$H72),'Monthly-CF'!$E72/('Monthly-CF'!$G72+1),0)</f>
        <v>0</v>
      </c>
      <c r="CR72" s="776">
        <f>IF(AND(CR$10&gt;='Monthly-CF'!$F72,CR$10&lt;='Monthly-CF'!$H72),'Monthly-CF'!$E72/('Monthly-CF'!$G72+1),0)</f>
        <v>0</v>
      </c>
      <c r="CS72" s="776">
        <f>IF(AND(CS$10&gt;='Monthly-CF'!$F72,CS$10&lt;='Monthly-CF'!$H72),'Monthly-CF'!$E72/('Monthly-CF'!$G72+1),0)</f>
        <v>0</v>
      </c>
      <c r="CT72" s="776">
        <f>IF(AND(CT$10&gt;='Monthly-CF'!$F72,CT$10&lt;='Monthly-CF'!$H72),'Monthly-CF'!$E72/('Monthly-CF'!$G72+1),0)</f>
        <v>0</v>
      </c>
      <c r="CU72" s="776">
        <f>IF(AND(CU$10&gt;='Monthly-CF'!$F72,CU$10&lt;='Monthly-CF'!$H72),'Monthly-CF'!$E72/('Monthly-CF'!$G72+1),0)</f>
        <v>0</v>
      </c>
      <c r="CV72" s="776">
        <f>IF(AND(CV$10&gt;='Monthly-CF'!$F72,CV$10&lt;='Monthly-CF'!$H72),'Monthly-CF'!$E72/('Monthly-CF'!$G72+1),0)</f>
        <v>0</v>
      </c>
      <c r="CW72" s="776">
        <f>IF(AND(CW$10&gt;='Monthly-CF'!$F72,CW$10&lt;='Monthly-CF'!$H72),'Monthly-CF'!$E72/('Monthly-CF'!$G72+1),0)</f>
        <v>0</v>
      </c>
      <c r="CX72" s="776">
        <f>IF(AND(CX$10&gt;='Monthly-CF'!$F72,CX$10&lt;='Monthly-CF'!$H72),'Monthly-CF'!$E72/('Monthly-CF'!$G72+1),0)</f>
        <v>0</v>
      </c>
      <c r="CY72" s="776">
        <f>IF(AND(CY$10&gt;='Monthly-CF'!$F72,CY$10&lt;='Monthly-CF'!$H72),'Monthly-CF'!$E72/('Monthly-CF'!$G72+1),0)</f>
        <v>0</v>
      </c>
      <c r="CZ72" s="776">
        <f>IF(AND(CZ$10&gt;='Monthly-CF'!$F72,CZ$10&lt;='Monthly-CF'!$H72),'Monthly-CF'!$E72/('Monthly-CF'!$G72+1),0)</f>
        <v>0</v>
      </c>
      <c r="DA72" s="776">
        <f>IF(AND(DA$10&gt;='Monthly-CF'!$F72,DA$10&lt;='Monthly-CF'!$H72),'Monthly-CF'!$E72/('Monthly-CF'!$G72+1),0)</f>
        <v>0</v>
      </c>
      <c r="DB72" s="776">
        <f>IF(AND(DB$10&gt;='Monthly-CF'!$F72,DB$10&lt;='Monthly-CF'!$H72),'Monthly-CF'!$E72/('Monthly-CF'!$G72+1),0)</f>
        <v>0</v>
      </c>
      <c r="DC72" s="776">
        <f>IF(AND(DC$10&gt;='Monthly-CF'!$F72,DC$10&lt;='Monthly-CF'!$H72),'Monthly-CF'!$E72/('Monthly-CF'!$G72+1),0)</f>
        <v>0</v>
      </c>
      <c r="DD72" s="776">
        <f>IF(AND(DD$10&gt;='Monthly-CF'!$F72,DD$10&lt;='Monthly-CF'!$H72),'Monthly-CF'!$E72/('Monthly-CF'!$G72+1),0)</f>
        <v>0</v>
      </c>
      <c r="DE72" s="776">
        <f>IF(AND(DE$10&gt;='Monthly-CF'!$F72,DE$10&lt;='Monthly-CF'!$H72),'Monthly-CF'!$E72/('Monthly-CF'!$G72+1),0)</f>
        <v>0</v>
      </c>
      <c r="DF72" s="776">
        <f>IF(AND(DF$10&gt;='Monthly-CF'!$F72,DF$10&lt;='Monthly-CF'!$H72),'Monthly-CF'!$E72/('Monthly-CF'!$G72+1),0)</f>
        <v>0</v>
      </c>
      <c r="DG72" s="776">
        <f>IF(AND(DG$10&gt;='Monthly-CF'!$F72,DG$10&lt;='Monthly-CF'!$H72),'Monthly-CF'!$E72/('Monthly-CF'!$G72+1),0)</f>
        <v>0</v>
      </c>
      <c r="DH72" s="776">
        <f>IF(AND(DH$10&gt;='Monthly-CF'!$F72,DH$10&lt;='Monthly-CF'!$H72),'Monthly-CF'!$E72/('Monthly-CF'!$G72+1),0)</f>
        <v>0</v>
      </c>
      <c r="DI72" s="776">
        <f>IF(AND(DI$10&gt;='Monthly-CF'!$F72,DI$10&lt;='Monthly-CF'!$H72),'Monthly-CF'!$E72/('Monthly-CF'!$G72+1),0)</f>
        <v>0</v>
      </c>
      <c r="DJ72" s="776">
        <f>IF(AND(DJ$10&gt;='Monthly-CF'!$F72,DJ$10&lt;='Monthly-CF'!$H72),'Monthly-CF'!$E72/('Monthly-CF'!$G72+1),0)</f>
        <v>0</v>
      </c>
      <c r="DK72" s="776">
        <f>IF(AND(DK$10&gt;='Monthly-CF'!$F72,DK$10&lt;='Monthly-CF'!$H72),'Monthly-CF'!$E72/('Monthly-CF'!$G72+1),0)</f>
        <v>0</v>
      </c>
      <c r="DL72" s="776">
        <f>IF(AND(DL$10&gt;='Monthly-CF'!$F72,DL$10&lt;='Monthly-CF'!$H72),'Monthly-CF'!$E72/('Monthly-CF'!$G72+1),0)</f>
        <v>0</v>
      </c>
      <c r="DM72" s="776">
        <f>IF(AND(DM$10&gt;='Monthly-CF'!$F72,DM$10&lt;='Monthly-CF'!$H72),'Monthly-CF'!$E72/('Monthly-CF'!$G72+1),0)</f>
        <v>0</v>
      </c>
      <c r="DN72" s="776">
        <f>IF(AND(DN$10&gt;='Monthly-CF'!$F72,DN$10&lt;='Monthly-CF'!$H72),'Monthly-CF'!$E72/('Monthly-CF'!$G72+1),0)</f>
        <v>0</v>
      </c>
      <c r="DO72" s="776">
        <f>IF(AND(DO$10&gt;='Monthly-CF'!$F72,DO$10&lt;='Monthly-CF'!$H72),'Monthly-CF'!$E72/('Monthly-CF'!$G72+1),0)</f>
        <v>0</v>
      </c>
      <c r="DP72" s="776">
        <f>IF(AND(DP$10&gt;='Monthly-CF'!$F72,DP$10&lt;='Monthly-CF'!$H72),'Monthly-CF'!$E72/('Monthly-CF'!$G72+1),0)</f>
        <v>0</v>
      </c>
      <c r="DQ72" s="776">
        <f>IF(AND(DQ$10&gt;='Monthly-CF'!$F72,DQ$10&lt;='Monthly-CF'!$H72),'Monthly-CF'!$E72/('Monthly-CF'!$G72+1),0)</f>
        <v>0</v>
      </c>
      <c r="DR72" s="776">
        <f>IF(AND(DR$10&gt;='Monthly-CF'!$F72,DR$10&lt;='Monthly-CF'!$H72),'Monthly-CF'!$E72/('Monthly-CF'!$G72+1),0)</f>
        <v>0</v>
      </c>
      <c r="DS72" s="776">
        <f>IF(AND(DS$10&gt;='Monthly-CF'!$F72,DS$10&lt;='Monthly-CF'!$H72),'Monthly-CF'!$E72/('Monthly-CF'!$G72+1),0)</f>
        <v>0</v>
      </c>
      <c r="DT72" s="776">
        <f>IF(AND(DT$10&gt;='Monthly-CF'!$F72,DT$10&lt;='Monthly-CF'!$H72),'Monthly-CF'!$E72/('Monthly-CF'!$G72+1),0)</f>
        <v>0</v>
      </c>
      <c r="DU72" s="776">
        <f>IF(AND(DU$10&gt;='Monthly-CF'!$F72,DU$10&lt;='Monthly-CF'!$H72),'Monthly-CF'!$E72/('Monthly-CF'!$G72+1),0)</f>
        <v>0</v>
      </c>
      <c r="DV72" s="776">
        <f>IF(AND(DV$10&gt;='Monthly-CF'!$F72,DV$10&lt;='Monthly-CF'!$H72),'Monthly-CF'!$E72/('Monthly-CF'!$G72+1),0)</f>
        <v>0</v>
      </c>
      <c r="DW72" s="776">
        <f>IF(AND(DW$10&gt;='Monthly-CF'!$F72,DW$10&lt;='Monthly-CF'!$H72),'Monthly-CF'!$E72/('Monthly-CF'!$G72+1),0)</f>
        <v>0</v>
      </c>
      <c r="DX72" s="776">
        <f>IF(AND(DX$10&gt;='Monthly-CF'!$F72,DX$10&lt;='Monthly-CF'!$H72),'Monthly-CF'!$E72/('Monthly-CF'!$G72+1),0)</f>
        <v>0</v>
      </c>
      <c r="DY72" s="776">
        <f>IF(AND(DY$10&gt;='Monthly-CF'!$F72,DY$10&lt;='Monthly-CF'!$H72),'Monthly-CF'!$E72/('Monthly-CF'!$G72+1),0)</f>
        <v>0</v>
      </c>
      <c r="DZ72" s="776">
        <f>IF(AND(DZ$10&gt;='Monthly-CF'!$F72,DZ$10&lt;='Monthly-CF'!$H72),'Monthly-CF'!$E72/('Monthly-CF'!$G72+1),0)</f>
        <v>0</v>
      </c>
      <c r="EA72" s="776">
        <f>IF(AND(EA$10&gt;='Monthly-CF'!$F72,EA$10&lt;='Monthly-CF'!$H72),'Monthly-CF'!$E72/('Monthly-CF'!$G72+1),0)</f>
        <v>0</v>
      </c>
      <c r="EB72" s="389"/>
      <c r="EC72" s="392" t="s">
        <v>65</v>
      </c>
    </row>
    <row r="73" spans="1:133" s="390" customFormat="1" ht="15" customHeight="1" outlineLevel="1">
      <c r="A73" s="389"/>
      <c r="B73" s="389"/>
      <c r="C73" s="389"/>
      <c r="D73" s="769" t="s">
        <v>485</v>
      </c>
      <c r="E73" s="1041">
        <f>Assumptions!E62</f>
        <v>7.4999999999999997E-3</v>
      </c>
      <c r="F73" s="771"/>
      <c r="G73" s="771"/>
      <c r="H73" s="771"/>
      <c r="I73" s="802">
        <f t="shared" ca="1" si="74"/>
        <v>-247429.14882842259</v>
      </c>
      <c r="J73" s="389"/>
      <c r="K73" s="776"/>
      <c r="L73" s="776">
        <f t="shared" ref="L73" ca="1" si="75">IF(L107=1,-$I$109*$E$73,0)</f>
        <v>0</v>
      </c>
      <c r="M73" s="776">
        <f t="shared" ref="M73:BX73" ca="1" si="76">IF(M107=1,-$I$109*$E$73,0)</f>
        <v>0</v>
      </c>
      <c r="N73" s="776">
        <f t="shared" ca="1" si="76"/>
        <v>0</v>
      </c>
      <c r="O73" s="776">
        <f t="shared" ca="1" si="76"/>
        <v>0</v>
      </c>
      <c r="P73" s="776">
        <f t="shared" ca="1" si="76"/>
        <v>0</v>
      </c>
      <c r="Q73" s="776">
        <f t="shared" ca="1" si="76"/>
        <v>0</v>
      </c>
      <c r="R73" s="776">
        <f t="shared" ca="1" si="76"/>
        <v>0</v>
      </c>
      <c r="S73" s="776">
        <f t="shared" ca="1" si="76"/>
        <v>-247429.14882842259</v>
      </c>
      <c r="T73" s="776">
        <f t="shared" ca="1" si="76"/>
        <v>0</v>
      </c>
      <c r="U73" s="776">
        <f t="shared" ca="1" si="76"/>
        <v>0</v>
      </c>
      <c r="V73" s="776">
        <f t="shared" ca="1" si="76"/>
        <v>0</v>
      </c>
      <c r="W73" s="776">
        <f t="shared" ca="1" si="76"/>
        <v>0</v>
      </c>
      <c r="X73" s="776">
        <f t="shared" ca="1" si="76"/>
        <v>0</v>
      </c>
      <c r="Y73" s="776">
        <f t="shared" ca="1" si="76"/>
        <v>0</v>
      </c>
      <c r="Z73" s="776">
        <f t="shared" ca="1" si="76"/>
        <v>0</v>
      </c>
      <c r="AA73" s="776">
        <f t="shared" ca="1" si="76"/>
        <v>0</v>
      </c>
      <c r="AB73" s="776">
        <f t="shared" ca="1" si="76"/>
        <v>0</v>
      </c>
      <c r="AC73" s="776">
        <f t="shared" ca="1" si="76"/>
        <v>0</v>
      </c>
      <c r="AD73" s="776">
        <f t="shared" ca="1" si="76"/>
        <v>0</v>
      </c>
      <c r="AE73" s="776">
        <f t="shared" ca="1" si="76"/>
        <v>0</v>
      </c>
      <c r="AF73" s="776">
        <f t="shared" ca="1" si="76"/>
        <v>0</v>
      </c>
      <c r="AG73" s="776">
        <f t="shared" ca="1" si="76"/>
        <v>0</v>
      </c>
      <c r="AH73" s="776">
        <f t="shared" ca="1" si="76"/>
        <v>0</v>
      </c>
      <c r="AI73" s="776">
        <f t="shared" ca="1" si="76"/>
        <v>0</v>
      </c>
      <c r="AJ73" s="776">
        <f t="shared" ca="1" si="76"/>
        <v>0</v>
      </c>
      <c r="AK73" s="776">
        <f t="shared" ca="1" si="76"/>
        <v>0</v>
      </c>
      <c r="AL73" s="776">
        <f t="shared" ca="1" si="76"/>
        <v>0</v>
      </c>
      <c r="AM73" s="776">
        <f t="shared" ca="1" si="76"/>
        <v>0</v>
      </c>
      <c r="AN73" s="776">
        <f t="shared" ca="1" si="76"/>
        <v>0</v>
      </c>
      <c r="AO73" s="776">
        <f t="shared" ca="1" si="76"/>
        <v>0</v>
      </c>
      <c r="AP73" s="776">
        <f t="shared" ca="1" si="76"/>
        <v>0</v>
      </c>
      <c r="AQ73" s="776">
        <f t="shared" ca="1" si="76"/>
        <v>0</v>
      </c>
      <c r="AR73" s="776">
        <f t="shared" ca="1" si="76"/>
        <v>0</v>
      </c>
      <c r="AS73" s="776">
        <f t="shared" ca="1" si="76"/>
        <v>0</v>
      </c>
      <c r="AT73" s="776">
        <f t="shared" ca="1" si="76"/>
        <v>0</v>
      </c>
      <c r="AU73" s="776">
        <f t="shared" ca="1" si="76"/>
        <v>0</v>
      </c>
      <c r="AV73" s="776">
        <f t="shared" ca="1" si="76"/>
        <v>0</v>
      </c>
      <c r="AW73" s="776">
        <f t="shared" ca="1" si="76"/>
        <v>0</v>
      </c>
      <c r="AX73" s="776">
        <f t="shared" ca="1" si="76"/>
        <v>0</v>
      </c>
      <c r="AY73" s="776">
        <f t="shared" ca="1" si="76"/>
        <v>0</v>
      </c>
      <c r="AZ73" s="776">
        <f t="shared" ca="1" si="76"/>
        <v>0</v>
      </c>
      <c r="BA73" s="776">
        <f t="shared" ca="1" si="76"/>
        <v>0</v>
      </c>
      <c r="BB73" s="776">
        <f t="shared" ca="1" si="76"/>
        <v>0</v>
      </c>
      <c r="BC73" s="776">
        <f t="shared" ca="1" si="76"/>
        <v>0</v>
      </c>
      <c r="BD73" s="776">
        <f t="shared" ca="1" si="76"/>
        <v>0</v>
      </c>
      <c r="BE73" s="776">
        <f t="shared" ca="1" si="76"/>
        <v>0</v>
      </c>
      <c r="BF73" s="776">
        <f t="shared" ca="1" si="76"/>
        <v>0</v>
      </c>
      <c r="BG73" s="776">
        <f t="shared" ca="1" si="76"/>
        <v>0</v>
      </c>
      <c r="BH73" s="776">
        <f t="shared" ca="1" si="76"/>
        <v>0</v>
      </c>
      <c r="BI73" s="776">
        <f t="shared" ca="1" si="76"/>
        <v>0</v>
      </c>
      <c r="BJ73" s="776">
        <f t="shared" ca="1" si="76"/>
        <v>0</v>
      </c>
      <c r="BK73" s="776">
        <f t="shared" ca="1" si="76"/>
        <v>0</v>
      </c>
      <c r="BL73" s="776">
        <f t="shared" ca="1" si="76"/>
        <v>0</v>
      </c>
      <c r="BM73" s="776">
        <f t="shared" ca="1" si="76"/>
        <v>0</v>
      </c>
      <c r="BN73" s="776">
        <f t="shared" ca="1" si="76"/>
        <v>0</v>
      </c>
      <c r="BO73" s="776">
        <f t="shared" ca="1" si="76"/>
        <v>0</v>
      </c>
      <c r="BP73" s="776">
        <f t="shared" ca="1" si="76"/>
        <v>0</v>
      </c>
      <c r="BQ73" s="776">
        <f t="shared" ca="1" si="76"/>
        <v>0</v>
      </c>
      <c r="BR73" s="776">
        <f t="shared" ca="1" si="76"/>
        <v>0</v>
      </c>
      <c r="BS73" s="776">
        <f t="shared" ca="1" si="76"/>
        <v>0</v>
      </c>
      <c r="BT73" s="776">
        <f t="shared" ca="1" si="76"/>
        <v>0</v>
      </c>
      <c r="BU73" s="776">
        <f t="shared" ca="1" si="76"/>
        <v>0</v>
      </c>
      <c r="BV73" s="776">
        <f t="shared" ca="1" si="76"/>
        <v>0</v>
      </c>
      <c r="BW73" s="776">
        <f t="shared" ca="1" si="76"/>
        <v>0</v>
      </c>
      <c r="BX73" s="776">
        <f t="shared" ca="1" si="76"/>
        <v>0</v>
      </c>
      <c r="BY73" s="776">
        <f t="shared" ref="BY73:EA73" ca="1" si="77">IF(BY107=1,-$I$109*$E$73,0)</f>
        <v>0</v>
      </c>
      <c r="BZ73" s="776">
        <f t="shared" ca="1" si="77"/>
        <v>0</v>
      </c>
      <c r="CA73" s="776">
        <f t="shared" ca="1" si="77"/>
        <v>0</v>
      </c>
      <c r="CB73" s="776">
        <f t="shared" ca="1" si="77"/>
        <v>0</v>
      </c>
      <c r="CC73" s="776">
        <f t="shared" ca="1" si="77"/>
        <v>0</v>
      </c>
      <c r="CD73" s="776">
        <f t="shared" ca="1" si="77"/>
        <v>0</v>
      </c>
      <c r="CE73" s="776">
        <f t="shared" ca="1" si="77"/>
        <v>0</v>
      </c>
      <c r="CF73" s="776">
        <f t="shared" ca="1" si="77"/>
        <v>0</v>
      </c>
      <c r="CG73" s="776">
        <f t="shared" ca="1" si="77"/>
        <v>0</v>
      </c>
      <c r="CH73" s="776">
        <f t="shared" ca="1" si="77"/>
        <v>0</v>
      </c>
      <c r="CI73" s="776">
        <f t="shared" ca="1" si="77"/>
        <v>0</v>
      </c>
      <c r="CJ73" s="776">
        <f t="shared" ca="1" si="77"/>
        <v>0</v>
      </c>
      <c r="CK73" s="776">
        <f t="shared" ca="1" si="77"/>
        <v>0</v>
      </c>
      <c r="CL73" s="776">
        <f t="shared" ca="1" si="77"/>
        <v>0</v>
      </c>
      <c r="CM73" s="776">
        <f t="shared" ca="1" si="77"/>
        <v>0</v>
      </c>
      <c r="CN73" s="776">
        <f t="shared" ca="1" si="77"/>
        <v>0</v>
      </c>
      <c r="CO73" s="776">
        <f t="shared" ca="1" si="77"/>
        <v>0</v>
      </c>
      <c r="CP73" s="776">
        <f t="shared" ca="1" si="77"/>
        <v>0</v>
      </c>
      <c r="CQ73" s="776">
        <f t="shared" ca="1" si="77"/>
        <v>0</v>
      </c>
      <c r="CR73" s="776">
        <f t="shared" ca="1" si="77"/>
        <v>0</v>
      </c>
      <c r="CS73" s="776">
        <f t="shared" ca="1" si="77"/>
        <v>0</v>
      </c>
      <c r="CT73" s="776">
        <f t="shared" ca="1" si="77"/>
        <v>0</v>
      </c>
      <c r="CU73" s="776">
        <f t="shared" ca="1" si="77"/>
        <v>0</v>
      </c>
      <c r="CV73" s="776">
        <f t="shared" ca="1" si="77"/>
        <v>0</v>
      </c>
      <c r="CW73" s="776">
        <f t="shared" ca="1" si="77"/>
        <v>0</v>
      </c>
      <c r="CX73" s="776">
        <f t="shared" ca="1" si="77"/>
        <v>0</v>
      </c>
      <c r="CY73" s="776">
        <f t="shared" ca="1" si="77"/>
        <v>0</v>
      </c>
      <c r="CZ73" s="776">
        <f t="shared" ca="1" si="77"/>
        <v>0</v>
      </c>
      <c r="DA73" s="776">
        <f t="shared" ca="1" si="77"/>
        <v>0</v>
      </c>
      <c r="DB73" s="776">
        <f t="shared" ca="1" si="77"/>
        <v>0</v>
      </c>
      <c r="DC73" s="776">
        <f t="shared" ca="1" si="77"/>
        <v>0</v>
      </c>
      <c r="DD73" s="776">
        <f t="shared" ca="1" si="77"/>
        <v>0</v>
      </c>
      <c r="DE73" s="776">
        <f t="shared" ca="1" si="77"/>
        <v>0</v>
      </c>
      <c r="DF73" s="776">
        <f t="shared" ca="1" si="77"/>
        <v>0</v>
      </c>
      <c r="DG73" s="776">
        <f t="shared" ca="1" si="77"/>
        <v>0</v>
      </c>
      <c r="DH73" s="776">
        <f t="shared" ca="1" si="77"/>
        <v>0</v>
      </c>
      <c r="DI73" s="776">
        <f t="shared" ca="1" si="77"/>
        <v>0</v>
      </c>
      <c r="DJ73" s="776">
        <f t="shared" ca="1" si="77"/>
        <v>0</v>
      </c>
      <c r="DK73" s="776">
        <f t="shared" ca="1" si="77"/>
        <v>0</v>
      </c>
      <c r="DL73" s="776">
        <f t="shared" ca="1" si="77"/>
        <v>0</v>
      </c>
      <c r="DM73" s="776">
        <f t="shared" ca="1" si="77"/>
        <v>0</v>
      </c>
      <c r="DN73" s="776">
        <f t="shared" ca="1" si="77"/>
        <v>0</v>
      </c>
      <c r="DO73" s="776">
        <f t="shared" ca="1" si="77"/>
        <v>0</v>
      </c>
      <c r="DP73" s="776">
        <f t="shared" ca="1" si="77"/>
        <v>0</v>
      </c>
      <c r="DQ73" s="776">
        <f t="shared" ca="1" si="77"/>
        <v>0</v>
      </c>
      <c r="DR73" s="776">
        <f t="shared" ca="1" si="77"/>
        <v>0</v>
      </c>
      <c r="DS73" s="776">
        <f t="shared" ca="1" si="77"/>
        <v>0</v>
      </c>
      <c r="DT73" s="776">
        <f t="shared" ca="1" si="77"/>
        <v>0</v>
      </c>
      <c r="DU73" s="776">
        <f t="shared" ca="1" si="77"/>
        <v>0</v>
      </c>
      <c r="DV73" s="776">
        <f t="shared" ca="1" si="77"/>
        <v>0</v>
      </c>
      <c r="DW73" s="776">
        <f t="shared" ca="1" si="77"/>
        <v>0</v>
      </c>
      <c r="DX73" s="776">
        <f t="shared" ca="1" si="77"/>
        <v>0</v>
      </c>
      <c r="DY73" s="776">
        <f t="shared" ca="1" si="77"/>
        <v>0</v>
      </c>
      <c r="DZ73" s="776">
        <f t="shared" ca="1" si="77"/>
        <v>0</v>
      </c>
      <c r="EA73" s="776">
        <f t="shared" ca="1" si="77"/>
        <v>0</v>
      </c>
      <c r="EB73" s="389"/>
      <c r="EC73" s="392" t="s">
        <v>65</v>
      </c>
    </row>
    <row r="74" spans="1:133" s="390" customFormat="1" ht="15" customHeight="1" outlineLevel="1">
      <c r="A74" s="389"/>
      <c r="B74" s="389"/>
      <c r="C74" s="389"/>
      <c r="D74" s="769" t="s">
        <v>80</v>
      </c>
      <c r="E74" s="780">
        <f ca="1">-'Budget Detail'!K23</f>
        <v>-2474291.488284226</v>
      </c>
      <c r="F74" s="770">
        <v>8</v>
      </c>
      <c r="G74" s="770">
        <v>18</v>
      </c>
      <c r="H74" s="771">
        <f>F74+G74</f>
        <v>26</v>
      </c>
      <c r="I74" s="802">
        <f t="shared" ca="1" si="74"/>
        <v>-2474291.488284226</v>
      </c>
      <c r="J74" s="389"/>
      <c r="K74" s="776"/>
      <c r="L74" s="776">
        <f>IF(AND(L$10&gt;='Monthly-CF'!$F74,L$10&lt;='Monthly-CF'!$H74),'Monthly-CF'!$E74/('Monthly-CF'!$G74+1),0)</f>
        <v>0</v>
      </c>
      <c r="M74" s="776">
        <f>IF(AND(M$10&gt;='Monthly-CF'!$F74,M$10&lt;='Monthly-CF'!$H74),'Monthly-CF'!$E74/('Monthly-CF'!$G74+1),0)</f>
        <v>0</v>
      </c>
      <c r="N74" s="776">
        <f>IF(AND(N$10&gt;='Monthly-CF'!$F74,N$10&lt;='Monthly-CF'!$H74),'Monthly-CF'!$E74/('Monthly-CF'!$G74+1),0)</f>
        <v>0</v>
      </c>
      <c r="O74" s="776">
        <f>IF(AND(O$10&gt;='Monthly-CF'!$F74,O$10&lt;='Monthly-CF'!$H74),'Monthly-CF'!$E74/('Monthly-CF'!$G74+1),0)</f>
        <v>0</v>
      </c>
      <c r="P74" s="776">
        <f>IF(AND(P$10&gt;='Monthly-CF'!$F74,P$10&lt;='Monthly-CF'!$H74),'Monthly-CF'!$E74/('Monthly-CF'!$G74+1),0)</f>
        <v>0</v>
      </c>
      <c r="Q74" s="776">
        <f>IF(AND(Q$10&gt;='Monthly-CF'!$F74,Q$10&lt;='Monthly-CF'!$H74),'Monthly-CF'!$E74/('Monthly-CF'!$G74+1),0)</f>
        <v>0</v>
      </c>
      <c r="R74" s="776">
        <f>IF(AND(R$10&gt;='Monthly-CF'!$F74,R$10&lt;='Monthly-CF'!$H74),'Monthly-CF'!$E74/('Monthly-CF'!$G74+1),0)</f>
        <v>0</v>
      </c>
      <c r="S74" s="776">
        <f ca="1">IF(AND(S$10&gt;='Monthly-CF'!$F74,S$10&lt;='Monthly-CF'!$H74),'Monthly-CF'!$E74/('Monthly-CF'!$G74+1),0)</f>
        <v>-130225.86780443294</v>
      </c>
      <c r="T74" s="776">
        <f ca="1">IF(AND(T$10&gt;='Monthly-CF'!$F74,T$10&lt;='Monthly-CF'!$H74),'Monthly-CF'!$E74/('Monthly-CF'!$G74+1),0)</f>
        <v>-130225.86780443294</v>
      </c>
      <c r="U74" s="776">
        <f ca="1">IF(AND(U$10&gt;='Monthly-CF'!$F74,U$10&lt;='Monthly-CF'!$H74),'Monthly-CF'!$E74/('Monthly-CF'!$G74+1),0)</f>
        <v>-130225.86780443294</v>
      </c>
      <c r="V74" s="776">
        <f ca="1">IF(AND(V$10&gt;='Monthly-CF'!$F74,V$10&lt;='Monthly-CF'!$H74),'Monthly-CF'!$E74/('Monthly-CF'!$G74+1),0)</f>
        <v>-130225.86780443294</v>
      </c>
      <c r="W74" s="776">
        <f ca="1">IF(AND(W$10&gt;='Monthly-CF'!$F74,W$10&lt;='Monthly-CF'!$H74),'Monthly-CF'!$E74/('Monthly-CF'!$G74+1),0)</f>
        <v>-130225.86780443294</v>
      </c>
      <c r="X74" s="776">
        <f ca="1">IF(AND(X$10&gt;='Monthly-CF'!$F74,X$10&lt;='Monthly-CF'!$H74),'Monthly-CF'!$E74/('Monthly-CF'!$G74+1),0)</f>
        <v>-130225.86780443294</v>
      </c>
      <c r="Y74" s="776">
        <f ca="1">IF(AND(Y$10&gt;='Monthly-CF'!$F74,Y$10&lt;='Monthly-CF'!$H74),'Monthly-CF'!$E74/('Monthly-CF'!$G74+1),0)</f>
        <v>-130225.86780443294</v>
      </c>
      <c r="Z74" s="776">
        <f ca="1">IF(AND(Z$10&gt;='Monthly-CF'!$F74,Z$10&lt;='Monthly-CF'!$H74),'Monthly-CF'!$E74/('Monthly-CF'!$G74+1),0)</f>
        <v>-130225.86780443294</v>
      </c>
      <c r="AA74" s="776">
        <f ca="1">IF(AND(AA$10&gt;='Monthly-CF'!$F74,AA$10&lt;='Monthly-CF'!$H74),'Monthly-CF'!$E74/('Monthly-CF'!$G74+1),0)</f>
        <v>-130225.86780443294</v>
      </c>
      <c r="AB74" s="776">
        <f ca="1">IF(AND(AB$10&gt;='Monthly-CF'!$F74,AB$10&lt;='Monthly-CF'!$H74),'Monthly-CF'!$E74/('Monthly-CF'!$G74+1),0)</f>
        <v>-130225.86780443294</v>
      </c>
      <c r="AC74" s="776">
        <f ca="1">IF(AND(AC$10&gt;='Monthly-CF'!$F74,AC$10&lt;='Monthly-CF'!$H74),'Monthly-CF'!$E74/('Monthly-CF'!$G74+1),0)</f>
        <v>-130225.86780443294</v>
      </c>
      <c r="AD74" s="776">
        <f ca="1">IF(AND(AD$10&gt;='Monthly-CF'!$F74,AD$10&lt;='Monthly-CF'!$H74),'Monthly-CF'!$E74/('Monthly-CF'!$G74+1),0)</f>
        <v>-130225.86780443294</v>
      </c>
      <c r="AE74" s="776">
        <f ca="1">IF(AND(AE$10&gt;='Monthly-CF'!$F74,AE$10&lt;='Monthly-CF'!$H74),'Monthly-CF'!$E74/('Monthly-CF'!$G74+1),0)</f>
        <v>-130225.86780443294</v>
      </c>
      <c r="AF74" s="776">
        <f ca="1">IF(AND(AF$10&gt;='Monthly-CF'!$F74,AF$10&lt;='Monthly-CF'!$H74),'Monthly-CF'!$E74/('Monthly-CF'!$G74+1),0)</f>
        <v>-130225.86780443294</v>
      </c>
      <c r="AG74" s="776">
        <f ca="1">IF(AND(AG$10&gt;='Monthly-CF'!$F74,AG$10&lt;='Monthly-CF'!$H74),'Monthly-CF'!$E74/('Monthly-CF'!$G74+1),0)</f>
        <v>-130225.86780443294</v>
      </c>
      <c r="AH74" s="776">
        <f ca="1">IF(AND(AH$10&gt;='Monthly-CF'!$F74,AH$10&lt;='Monthly-CF'!$H74),'Monthly-CF'!$E74/('Monthly-CF'!$G74+1),0)</f>
        <v>-130225.86780443294</v>
      </c>
      <c r="AI74" s="776">
        <f ca="1">IF(AND(AI$10&gt;='Monthly-CF'!$F74,AI$10&lt;='Monthly-CF'!$H74),'Monthly-CF'!$E74/('Monthly-CF'!$G74+1),0)</f>
        <v>-130225.86780443294</v>
      </c>
      <c r="AJ74" s="776">
        <f ca="1">IF(AND(AJ$10&gt;='Monthly-CF'!$F74,AJ$10&lt;='Monthly-CF'!$H74),'Monthly-CF'!$E74/('Monthly-CF'!$G74+1),0)</f>
        <v>-130225.86780443294</v>
      </c>
      <c r="AK74" s="776">
        <f ca="1">IF(AND(AK$10&gt;='Monthly-CF'!$F74,AK$10&lt;='Monthly-CF'!$H74),'Monthly-CF'!$E74/('Monthly-CF'!$G74+1),0)</f>
        <v>-130225.86780443294</v>
      </c>
      <c r="AL74" s="776">
        <f>IF(AND(AL$10&gt;='Monthly-CF'!$F74,AL$10&lt;='Monthly-CF'!$H74),'Monthly-CF'!$E74/('Monthly-CF'!$G74+1),0)</f>
        <v>0</v>
      </c>
      <c r="AM74" s="776">
        <f>IF(AND(AM$10&gt;='Monthly-CF'!$F74,AM$10&lt;='Monthly-CF'!$H74),'Monthly-CF'!$E74/('Monthly-CF'!$G74+1),0)</f>
        <v>0</v>
      </c>
      <c r="AN74" s="776">
        <f>IF(AND(AN$10&gt;='Monthly-CF'!$F74,AN$10&lt;='Monthly-CF'!$H74),'Monthly-CF'!$E74/('Monthly-CF'!$G74+1),0)</f>
        <v>0</v>
      </c>
      <c r="AO74" s="776">
        <f>IF(AND(AO$10&gt;='Monthly-CF'!$F74,AO$10&lt;='Monthly-CF'!$H74),'Monthly-CF'!$E74/('Monthly-CF'!$G74+1),0)</f>
        <v>0</v>
      </c>
      <c r="AP74" s="776">
        <f>IF(AND(AP$10&gt;='Monthly-CF'!$F74,AP$10&lt;='Monthly-CF'!$H74),'Monthly-CF'!$E74/('Monthly-CF'!$G74+1),0)</f>
        <v>0</v>
      </c>
      <c r="AQ74" s="776">
        <f>IF(AND(AQ$10&gt;='Monthly-CF'!$F74,AQ$10&lt;='Monthly-CF'!$H74),'Monthly-CF'!$E74/('Monthly-CF'!$G74+1),0)</f>
        <v>0</v>
      </c>
      <c r="AR74" s="776">
        <f>IF(AND(AR$10&gt;='Monthly-CF'!$F74,AR$10&lt;='Monthly-CF'!$H74),'Monthly-CF'!$E74/('Monthly-CF'!$G74+1),0)</f>
        <v>0</v>
      </c>
      <c r="AS74" s="776">
        <f>IF(AND(AS$10&gt;='Monthly-CF'!$F74,AS$10&lt;='Monthly-CF'!$H74),'Monthly-CF'!$E74/('Monthly-CF'!$G74+1),0)</f>
        <v>0</v>
      </c>
      <c r="AT74" s="776">
        <f>IF(AND(AT$10&gt;='Monthly-CF'!$F74,AT$10&lt;='Monthly-CF'!$H74),'Monthly-CF'!$E74/('Monthly-CF'!$G74+1),0)</f>
        <v>0</v>
      </c>
      <c r="AU74" s="776">
        <f>IF(AND(AU$10&gt;='Monthly-CF'!$F74,AU$10&lt;='Monthly-CF'!$H74),'Monthly-CF'!$E74/('Monthly-CF'!$G74+1),0)</f>
        <v>0</v>
      </c>
      <c r="AV74" s="776">
        <f>IF(AND(AV$10&gt;='Monthly-CF'!$F74,AV$10&lt;='Monthly-CF'!$H74),'Monthly-CF'!$E74/('Monthly-CF'!$G74+1),0)</f>
        <v>0</v>
      </c>
      <c r="AW74" s="776">
        <f>IF(AND(AW$10&gt;='Monthly-CF'!$F74,AW$10&lt;='Monthly-CF'!$H74),'Monthly-CF'!$E74/('Monthly-CF'!$G74+1),0)</f>
        <v>0</v>
      </c>
      <c r="AX74" s="776">
        <f>IF(AND(AX$10&gt;='Monthly-CF'!$F74,AX$10&lt;='Monthly-CF'!$H74),'Monthly-CF'!$E74/('Monthly-CF'!$G74+1),0)</f>
        <v>0</v>
      </c>
      <c r="AY74" s="776">
        <f>IF(AND(AY$10&gt;='Monthly-CF'!$F74,AY$10&lt;='Monthly-CF'!$H74),'Monthly-CF'!$E74/('Monthly-CF'!$G74+1),0)</f>
        <v>0</v>
      </c>
      <c r="AZ74" s="776">
        <f>IF(AND(AZ$10&gt;='Monthly-CF'!$F74,AZ$10&lt;='Monthly-CF'!$H74),'Monthly-CF'!$E74/('Monthly-CF'!$G74+1),0)</f>
        <v>0</v>
      </c>
      <c r="BA74" s="776">
        <f>IF(AND(BA$10&gt;='Monthly-CF'!$F74,BA$10&lt;='Monthly-CF'!$H74),'Monthly-CF'!$E74/('Monthly-CF'!$G74+1),0)</f>
        <v>0</v>
      </c>
      <c r="BB74" s="776">
        <f>IF(AND(BB$10&gt;='Monthly-CF'!$F74,BB$10&lt;='Monthly-CF'!$H74),'Monthly-CF'!$E74/('Monthly-CF'!$G74+1),0)</f>
        <v>0</v>
      </c>
      <c r="BC74" s="776">
        <f>IF(AND(BC$10&gt;='Monthly-CF'!$F74,BC$10&lt;='Monthly-CF'!$H74),'Monthly-CF'!$E74/('Monthly-CF'!$G74+1),0)</f>
        <v>0</v>
      </c>
      <c r="BD74" s="776">
        <f>IF(AND(BD$10&gt;='Monthly-CF'!$F74,BD$10&lt;='Monthly-CF'!$H74),'Monthly-CF'!$E74/('Monthly-CF'!$G74+1),0)</f>
        <v>0</v>
      </c>
      <c r="BE74" s="776">
        <f>IF(AND(BE$10&gt;='Monthly-CF'!$F74,BE$10&lt;='Monthly-CF'!$H74),'Monthly-CF'!$E74/('Monthly-CF'!$G74+1),0)</f>
        <v>0</v>
      </c>
      <c r="BF74" s="776">
        <f>IF(AND(BF$10&gt;='Monthly-CF'!$F74,BF$10&lt;='Monthly-CF'!$H74),'Monthly-CF'!$E74/('Monthly-CF'!$G74+1),0)</f>
        <v>0</v>
      </c>
      <c r="BG74" s="776">
        <f>IF(AND(BG$10&gt;='Monthly-CF'!$F74,BG$10&lt;='Monthly-CF'!$H74),'Monthly-CF'!$E74/('Monthly-CF'!$G74+1),0)</f>
        <v>0</v>
      </c>
      <c r="BH74" s="776">
        <f>IF(AND(BH$10&gt;='Monthly-CF'!$F74,BH$10&lt;='Monthly-CF'!$H74),'Monthly-CF'!$E74/('Monthly-CF'!$G74+1),0)</f>
        <v>0</v>
      </c>
      <c r="BI74" s="776">
        <f>IF(AND(BI$10&gt;='Monthly-CF'!$F74,BI$10&lt;='Monthly-CF'!$H74),'Monthly-CF'!$E74/('Monthly-CF'!$G74+1),0)</f>
        <v>0</v>
      </c>
      <c r="BJ74" s="776">
        <f>IF(AND(BJ$10&gt;='Monthly-CF'!$F74,BJ$10&lt;='Monthly-CF'!$H74),'Monthly-CF'!$E74/('Monthly-CF'!$G74+1),0)</f>
        <v>0</v>
      </c>
      <c r="BK74" s="776">
        <f>IF(AND(BK$10&gt;='Monthly-CF'!$F74,BK$10&lt;='Monthly-CF'!$H74),'Monthly-CF'!$E74/('Monthly-CF'!$G74+1),0)</f>
        <v>0</v>
      </c>
      <c r="BL74" s="776">
        <f>IF(AND(BL$10&gt;='Monthly-CF'!$F74,BL$10&lt;='Monthly-CF'!$H74),'Monthly-CF'!$E74/('Monthly-CF'!$G74+1),0)</f>
        <v>0</v>
      </c>
      <c r="BM74" s="776">
        <f>IF(AND(BM$10&gt;='Monthly-CF'!$F74,BM$10&lt;='Monthly-CF'!$H74),'Monthly-CF'!$E74/('Monthly-CF'!$G74+1),0)</f>
        <v>0</v>
      </c>
      <c r="BN74" s="776">
        <f>IF(AND(BN$10&gt;='Monthly-CF'!$F74,BN$10&lt;='Monthly-CF'!$H74),'Monthly-CF'!$E74/('Monthly-CF'!$G74+1),0)</f>
        <v>0</v>
      </c>
      <c r="BO74" s="776">
        <f>IF(AND(BO$10&gt;='Monthly-CF'!$F74,BO$10&lt;='Monthly-CF'!$H74),'Monthly-CF'!$E74/('Monthly-CF'!$G74+1),0)</f>
        <v>0</v>
      </c>
      <c r="BP74" s="776">
        <f>IF(AND(BP$10&gt;='Monthly-CF'!$F74,BP$10&lt;='Monthly-CF'!$H74),'Monthly-CF'!$E74/('Monthly-CF'!$G74+1),0)</f>
        <v>0</v>
      </c>
      <c r="BQ74" s="776">
        <f>IF(AND(BQ$10&gt;='Monthly-CF'!$F74,BQ$10&lt;='Monthly-CF'!$H74),'Monthly-CF'!$E74/('Monthly-CF'!$G74+1),0)</f>
        <v>0</v>
      </c>
      <c r="BR74" s="776">
        <f>IF(AND(BR$10&gt;='Monthly-CF'!$F74,BR$10&lt;='Monthly-CF'!$H74),'Monthly-CF'!$E74/('Monthly-CF'!$G74+1),0)</f>
        <v>0</v>
      </c>
      <c r="BS74" s="776">
        <f>IF(AND(BS$10&gt;='Monthly-CF'!$F74,BS$10&lt;='Monthly-CF'!$H74),'Monthly-CF'!$E74/('Monthly-CF'!$G74+1),0)</f>
        <v>0</v>
      </c>
      <c r="BT74" s="776">
        <f>IF(AND(BT$10&gt;='Monthly-CF'!$F74,BT$10&lt;='Monthly-CF'!$H74),'Monthly-CF'!$E74/('Monthly-CF'!$G74+1),0)</f>
        <v>0</v>
      </c>
      <c r="BU74" s="776">
        <f>IF(AND(BU$10&gt;='Monthly-CF'!$F74,BU$10&lt;='Monthly-CF'!$H74),'Monthly-CF'!$E74/('Monthly-CF'!$G74+1),0)</f>
        <v>0</v>
      </c>
      <c r="BV74" s="776">
        <f>IF(AND(BV$10&gt;='Monthly-CF'!$F74,BV$10&lt;='Monthly-CF'!$H74),'Monthly-CF'!$E74/('Monthly-CF'!$G74+1),0)</f>
        <v>0</v>
      </c>
      <c r="BW74" s="776">
        <f>IF(AND(BW$10&gt;='Monthly-CF'!$F74,BW$10&lt;='Monthly-CF'!$H74),'Monthly-CF'!$E74/('Monthly-CF'!$G74+1),0)</f>
        <v>0</v>
      </c>
      <c r="BX74" s="776">
        <f>IF(AND(BX$10&gt;='Monthly-CF'!$F74,BX$10&lt;='Monthly-CF'!$H74),'Monthly-CF'!$E74/('Monthly-CF'!$G74+1),0)</f>
        <v>0</v>
      </c>
      <c r="BY74" s="776">
        <f>IF(AND(BY$10&gt;='Monthly-CF'!$F74,BY$10&lt;='Monthly-CF'!$H74),'Monthly-CF'!$E74/('Monthly-CF'!$G74+1),0)</f>
        <v>0</v>
      </c>
      <c r="BZ74" s="776">
        <f>IF(AND(BZ$10&gt;='Monthly-CF'!$F74,BZ$10&lt;='Monthly-CF'!$H74),'Monthly-CF'!$E74/('Monthly-CF'!$G74+1),0)</f>
        <v>0</v>
      </c>
      <c r="CA74" s="776">
        <f>IF(AND(CA$10&gt;='Monthly-CF'!$F74,CA$10&lt;='Monthly-CF'!$H74),'Monthly-CF'!$E74/('Monthly-CF'!$G74+1),0)</f>
        <v>0</v>
      </c>
      <c r="CB74" s="776">
        <f>IF(AND(CB$10&gt;='Monthly-CF'!$F74,CB$10&lt;='Monthly-CF'!$H74),'Monthly-CF'!$E74/('Monthly-CF'!$G74+1),0)</f>
        <v>0</v>
      </c>
      <c r="CC74" s="776">
        <f>IF(AND(CC$10&gt;='Monthly-CF'!$F74,CC$10&lt;='Monthly-CF'!$H74),'Monthly-CF'!$E74/('Monthly-CF'!$G74+1),0)</f>
        <v>0</v>
      </c>
      <c r="CD74" s="776">
        <f>IF(AND(CD$10&gt;='Monthly-CF'!$F74,CD$10&lt;='Monthly-CF'!$H74),'Monthly-CF'!$E74/('Monthly-CF'!$G74+1),0)</f>
        <v>0</v>
      </c>
      <c r="CE74" s="776">
        <f>IF(AND(CE$10&gt;='Monthly-CF'!$F74,CE$10&lt;='Monthly-CF'!$H74),'Monthly-CF'!$E74/('Monthly-CF'!$G74+1),0)</f>
        <v>0</v>
      </c>
      <c r="CF74" s="776">
        <f>IF(AND(CF$10&gt;='Monthly-CF'!$F74,CF$10&lt;='Monthly-CF'!$H74),'Monthly-CF'!$E74/('Monthly-CF'!$G74+1),0)</f>
        <v>0</v>
      </c>
      <c r="CG74" s="776">
        <f>IF(AND(CG$10&gt;='Monthly-CF'!$F74,CG$10&lt;='Monthly-CF'!$H74),'Monthly-CF'!$E74/('Monthly-CF'!$G74+1),0)</f>
        <v>0</v>
      </c>
      <c r="CH74" s="776">
        <f>IF(AND(CH$10&gt;='Monthly-CF'!$F74,CH$10&lt;='Monthly-CF'!$H74),'Monthly-CF'!$E74/('Monthly-CF'!$G74+1),0)</f>
        <v>0</v>
      </c>
      <c r="CI74" s="776">
        <f>IF(AND(CI$10&gt;='Monthly-CF'!$F74,CI$10&lt;='Monthly-CF'!$H74),'Monthly-CF'!$E74/('Monthly-CF'!$G74+1),0)</f>
        <v>0</v>
      </c>
      <c r="CJ74" s="776">
        <f>IF(AND(CJ$10&gt;='Monthly-CF'!$F74,CJ$10&lt;='Monthly-CF'!$H74),'Monthly-CF'!$E74/('Monthly-CF'!$G74+1),0)</f>
        <v>0</v>
      </c>
      <c r="CK74" s="776">
        <f>IF(AND(CK$10&gt;='Monthly-CF'!$F74,CK$10&lt;='Monthly-CF'!$H74),'Monthly-CF'!$E74/('Monthly-CF'!$G74+1),0)</f>
        <v>0</v>
      </c>
      <c r="CL74" s="776">
        <f>IF(AND(CL$10&gt;='Monthly-CF'!$F74,CL$10&lt;='Monthly-CF'!$H74),'Monthly-CF'!$E74/('Monthly-CF'!$G74+1),0)</f>
        <v>0</v>
      </c>
      <c r="CM74" s="776">
        <f>IF(AND(CM$10&gt;='Monthly-CF'!$F74,CM$10&lt;='Monthly-CF'!$H74),'Monthly-CF'!$E74/('Monthly-CF'!$G74+1),0)</f>
        <v>0</v>
      </c>
      <c r="CN74" s="776">
        <f>IF(AND(CN$10&gt;='Monthly-CF'!$F74,CN$10&lt;='Monthly-CF'!$H74),'Monthly-CF'!$E74/('Monthly-CF'!$G74+1),0)</f>
        <v>0</v>
      </c>
      <c r="CO74" s="776">
        <f>IF(AND(CO$10&gt;='Monthly-CF'!$F74,CO$10&lt;='Monthly-CF'!$H74),'Monthly-CF'!$E74/('Monthly-CF'!$G74+1),0)</f>
        <v>0</v>
      </c>
      <c r="CP74" s="776">
        <f>IF(AND(CP$10&gt;='Monthly-CF'!$F74,CP$10&lt;='Monthly-CF'!$H74),'Monthly-CF'!$E74/('Monthly-CF'!$G74+1),0)</f>
        <v>0</v>
      </c>
      <c r="CQ74" s="776">
        <f>IF(AND(CQ$10&gt;='Monthly-CF'!$F74,CQ$10&lt;='Monthly-CF'!$H74),'Monthly-CF'!$E74/('Monthly-CF'!$G74+1),0)</f>
        <v>0</v>
      </c>
      <c r="CR74" s="776">
        <f>IF(AND(CR$10&gt;='Monthly-CF'!$F74,CR$10&lt;='Monthly-CF'!$H74),'Monthly-CF'!$E74/('Monthly-CF'!$G74+1),0)</f>
        <v>0</v>
      </c>
      <c r="CS74" s="776">
        <f>IF(AND(CS$10&gt;='Monthly-CF'!$F74,CS$10&lt;='Monthly-CF'!$H74),'Monthly-CF'!$E74/('Monthly-CF'!$G74+1),0)</f>
        <v>0</v>
      </c>
      <c r="CT74" s="776">
        <f>IF(AND(CT$10&gt;='Monthly-CF'!$F74,CT$10&lt;='Monthly-CF'!$H74),'Monthly-CF'!$E74/('Monthly-CF'!$G74+1),0)</f>
        <v>0</v>
      </c>
      <c r="CU74" s="776">
        <f>IF(AND(CU$10&gt;='Monthly-CF'!$F74,CU$10&lt;='Monthly-CF'!$H74),'Monthly-CF'!$E74/('Monthly-CF'!$G74+1),0)</f>
        <v>0</v>
      </c>
      <c r="CV74" s="776">
        <f>IF(AND(CV$10&gt;='Monthly-CF'!$F74,CV$10&lt;='Monthly-CF'!$H74),'Monthly-CF'!$E74/('Monthly-CF'!$G74+1),0)</f>
        <v>0</v>
      </c>
      <c r="CW74" s="776">
        <f>IF(AND(CW$10&gt;='Monthly-CF'!$F74,CW$10&lt;='Monthly-CF'!$H74),'Monthly-CF'!$E74/('Monthly-CF'!$G74+1),0)</f>
        <v>0</v>
      </c>
      <c r="CX74" s="776">
        <f>IF(AND(CX$10&gt;='Monthly-CF'!$F74,CX$10&lt;='Monthly-CF'!$H74),'Monthly-CF'!$E74/('Monthly-CF'!$G74+1),0)</f>
        <v>0</v>
      </c>
      <c r="CY74" s="776">
        <f>IF(AND(CY$10&gt;='Monthly-CF'!$F74,CY$10&lt;='Monthly-CF'!$H74),'Monthly-CF'!$E74/('Monthly-CF'!$G74+1),0)</f>
        <v>0</v>
      </c>
      <c r="CZ74" s="776">
        <f>IF(AND(CZ$10&gt;='Monthly-CF'!$F74,CZ$10&lt;='Monthly-CF'!$H74),'Monthly-CF'!$E74/('Monthly-CF'!$G74+1),0)</f>
        <v>0</v>
      </c>
      <c r="DA74" s="776">
        <f>IF(AND(DA$10&gt;='Monthly-CF'!$F74,DA$10&lt;='Monthly-CF'!$H74),'Monthly-CF'!$E74/('Monthly-CF'!$G74+1),0)</f>
        <v>0</v>
      </c>
      <c r="DB74" s="776">
        <f>IF(AND(DB$10&gt;='Monthly-CF'!$F74,DB$10&lt;='Monthly-CF'!$H74),'Monthly-CF'!$E74/('Monthly-CF'!$G74+1),0)</f>
        <v>0</v>
      </c>
      <c r="DC74" s="776">
        <f>IF(AND(DC$10&gt;='Monthly-CF'!$F74,DC$10&lt;='Monthly-CF'!$H74),'Monthly-CF'!$E74/('Monthly-CF'!$G74+1),0)</f>
        <v>0</v>
      </c>
      <c r="DD74" s="776">
        <f>IF(AND(DD$10&gt;='Monthly-CF'!$F74,DD$10&lt;='Monthly-CF'!$H74),'Monthly-CF'!$E74/('Monthly-CF'!$G74+1),0)</f>
        <v>0</v>
      </c>
      <c r="DE74" s="776">
        <f>IF(AND(DE$10&gt;='Monthly-CF'!$F74,DE$10&lt;='Monthly-CF'!$H74),'Monthly-CF'!$E74/('Monthly-CF'!$G74+1),0)</f>
        <v>0</v>
      </c>
      <c r="DF74" s="776">
        <f>IF(AND(DF$10&gt;='Monthly-CF'!$F74,DF$10&lt;='Monthly-CF'!$H74),'Monthly-CF'!$E74/('Monthly-CF'!$G74+1),0)</f>
        <v>0</v>
      </c>
      <c r="DG74" s="776">
        <f>IF(AND(DG$10&gt;='Monthly-CF'!$F74,DG$10&lt;='Monthly-CF'!$H74),'Monthly-CF'!$E74/('Monthly-CF'!$G74+1),0)</f>
        <v>0</v>
      </c>
      <c r="DH74" s="776">
        <f>IF(AND(DH$10&gt;='Monthly-CF'!$F74,DH$10&lt;='Monthly-CF'!$H74),'Monthly-CF'!$E74/('Monthly-CF'!$G74+1),0)</f>
        <v>0</v>
      </c>
      <c r="DI74" s="776">
        <f>IF(AND(DI$10&gt;='Monthly-CF'!$F74,DI$10&lt;='Monthly-CF'!$H74),'Monthly-CF'!$E74/('Monthly-CF'!$G74+1),0)</f>
        <v>0</v>
      </c>
      <c r="DJ74" s="776">
        <f>IF(AND(DJ$10&gt;='Monthly-CF'!$F74,DJ$10&lt;='Monthly-CF'!$H74),'Monthly-CF'!$E74/('Monthly-CF'!$G74+1),0)</f>
        <v>0</v>
      </c>
      <c r="DK74" s="776">
        <f>IF(AND(DK$10&gt;='Monthly-CF'!$F74,DK$10&lt;='Monthly-CF'!$H74),'Monthly-CF'!$E74/('Monthly-CF'!$G74+1),0)</f>
        <v>0</v>
      </c>
      <c r="DL74" s="776">
        <f>IF(AND(DL$10&gt;='Monthly-CF'!$F74,DL$10&lt;='Monthly-CF'!$H74),'Monthly-CF'!$E74/('Monthly-CF'!$G74+1),0)</f>
        <v>0</v>
      </c>
      <c r="DM74" s="776">
        <f>IF(AND(DM$10&gt;='Monthly-CF'!$F74,DM$10&lt;='Monthly-CF'!$H74),'Monthly-CF'!$E74/('Monthly-CF'!$G74+1),0)</f>
        <v>0</v>
      </c>
      <c r="DN74" s="776">
        <f>IF(AND(DN$10&gt;='Monthly-CF'!$F74,DN$10&lt;='Monthly-CF'!$H74),'Monthly-CF'!$E74/('Monthly-CF'!$G74+1),0)</f>
        <v>0</v>
      </c>
      <c r="DO74" s="776">
        <f>IF(AND(DO$10&gt;='Monthly-CF'!$F74,DO$10&lt;='Monthly-CF'!$H74),'Monthly-CF'!$E74/('Monthly-CF'!$G74+1),0)</f>
        <v>0</v>
      </c>
      <c r="DP74" s="776">
        <f>IF(AND(DP$10&gt;='Monthly-CF'!$F74,DP$10&lt;='Monthly-CF'!$H74),'Monthly-CF'!$E74/('Monthly-CF'!$G74+1),0)</f>
        <v>0</v>
      </c>
      <c r="DQ74" s="776">
        <f>IF(AND(DQ$10&gt;='Monthly-CF'!$F74,DQ$10&lt;='Monthly-CF'!$H74),'Monthly-CF'!$E74/('Monthly-CF'!$G74+1),0)</f>
        <v>0</v>
      </c>
      <c r="DR74" s="776">
        <f>IF(AND(DR$10&gt;='Monthly-CF'!$F74,DR$10&lt;='Monthly-CF'!$H74),'Monthly-CF'!$E74/('Monthly-CF'!$G74+1),0)</f>
        <v>0</v>
      </c>
      <c r="DS74" s="776">
        <f>IF(AND(DS$10&gt;='Monthly-CF'!$F74,DS$10&lt;='Monthly-CF'!$H74),'Monthly-CF'!$E74/('Monthly-CF'!$G74+1),0)</f>
        <v>0</v>
      </c>
      <c r="DT74" s="776">
        <f>IF(AND(DT$10&gt;='Monthly-CF'!$F74,DT$10&lt;='Monthly-CF'!$H74),'Monthly-CF'!$E74/('Monthly-CF'!$G74+1),0)</f>
        <v>0</v>
      </c>
      <c r="DU74" s="776">
        <f>IF(AND(DU$10&gt;='Monthly-CF'!$F74,DU$10&lt;='Monthly-CF'!$H74),'Monthly-CF'!$E74/('Monthly-CF'!$G74+1),0)</f>
        <v>0</v>
      </c>
      <c r="DV74" s="776">
        <f>IF(AND(DV$10&gt;='Monthly-CF'!$F74,DV$10&lt;='Monthly-CF'!$H74),'Monthly-CF'!$E74/('Monthly-CF'!$G74+1),0)</f>
        <v>0</v>
      </c>
      <c r="DW74" s="776">
        <f>IF(AND(DW$10&gt;='Monthly-CF'!$F74,DW$10&lt;='Monthly-CF'!$H74),'Monthly-CF'!$E74/('Monthly-CF'!$G74+1),0)</f>
        <v>0</v>
      </c>
      <c r="DX74" s="776">
        <f>IF(AND(DX$10&gt;='Monthly-CF'!$F74,DX$10&lt;='Monthly-CF'!$H74),'Monthly-CF'!$E74/('Monthly-CF'!$G74+1),0)</f>
        <v>0</v>
      </c>
      <c r="DY74" s="776">
        <f>IF(AND(DY$10&gt;='Monthly-CF'!$F74,DY$10&lt;='Monthly-CF'!$H74),'Monthly-CF'!$E74/('Monthly-CF'!$G74+1),0)</f>
        <v>0</v>
      </c>
      <c r="DZ74" s="776">
        <f>IF(AND(DZ$10&gt;='Monthly-CF'!$F74,DZ$10&lt;='Monthly-CF'!$H74),'Monthly-CF'!$E74/('Monthly-CF'!$G74+1),0)</f>
        <v>0</v>
      </c>
      <c r="EA74" s="776">
        <f>IF(AND(EA$10&gt;='Monthly-CF'!$F74,EA$10&lt;='Monthly-CF'!$H74),'Monthly-CF'!$E74/('Monthly-CF'!$G74+1),0)</f>
        <v>0</v>
      </c>
      <c r="EB74" s="389"/>
      <c r="EC74" s="392" t="s">
        <v>65</v>
      </c>
    </row>
    <row r="75" spans="1:133" s="390" customFormat="1" ht="15" customHeight="1" outlineLevel="1">
      <c r="A75" s="389"/>
      <c r="B75" s="389"/>
      <c r="C75" s="389"/>
      <c r="D75" s="772" t="s">
        <v>196</v>
      </c>
      <c r="E75" s="781">
        <f>-'Budget Detail'!K28</f>
        <v>-300000</v>
      </c>
      <c r="F75" s="2003">
        <v>16</v>
      </c>
      <c r="G75" s="2003">
        <v>3</v>
      </c>
      <c r="H75" s="2004">
        <f>F75+G75</f>
        <v>19</v>
      </c>
      <c r="I75" s="802">
        <f t="shared" si="74"/>
        <v>-300000</v>
      </c>
      <c r="J75" s="389"/>
      <c r="K75" s="776"/>
      <c r="L75" s="776">
        <f>IF(AND(L$10&gt;='Monthly-CF'!$F75,L$10&lt;='Monthly-CF'!$H75),'Monthly-CF'!$E75/('Monthly-CF'!$G75+1),0)</f>
        <v>0</v>
      </c>
      <c r="M75" s="776">
        <f>IF(AND(M$10&gt;='Monthly-CF'!$F75,M$10&lt;='Monthly-CF'!$H75),'Monthly-CF'!$E75/('Monthly-CF'!$G75+1),0)</f>
        <v>0</v>
      </c>
      <c r="N75" s="776">
        <f>IF(AND(N$10&gt;='Monthly-CF'!$F75,N$10&lt;='Monthly-CF'!$H75),'Monthly-CF'!$E75/('Monthly-CF'!$G75+1),0)</f>
        <v>0</v>
      </c>
      <c r="O75" s="776">
        <f>IF(AND(O$10&gt;='Monthly-CF'!$F75,O$10&lt;='Monthly-CF'!$H75),'Monthly-CF'!$E75/('Monthly-CF'!$G75+1),0)</f>
        <v>0</v>
      </c>
      <c r="P75" s="776">
        <f>IF(AND(P$10&gt;='Monthly-CF'!$F75,P$10&lt;='Monthly-CF'!$H75),'Monthly-CF'!$E75/('Monthly-CF'!$G75+1),0)</f>
        <v>0</v>
      </c>
      <c r="Q75" s="776">
        <f>IF(AND(Q$10&gt;='Monthly-CF'!$F75,Q$10&lt;='Monthly-CF'!$H75),'Monthly-CF'!$E75/('Monthly-CF'!$G75+1),0)</f>
        <v>0</v>
      </c>
      <c r="R75" s="776">
        <f>IF(AND(R$10&gt;='Monthly-CF'!$F75,R$10&lt;='Monthly-CF'!$H75),'Monthly-CF'!$E75/('Monthly-CF'!$G75+1),0)</f>
        <v>0</v>
      </c>
      <c r="S75" s="776">
        <f>IF(AND(S$10&gt;='Monthly-CF'!$F75,S$10&lt;='Monthly-CF'!$H75),'Monthly-CF'!$E75/('Monthly-CF'!$G75+1),0)</f>
        <v>0</v>
      </c>
      <c r="T75" s="776">
        <f>IF(AND(T$10&gt;='Monthly-CF'!$F75,T$10&lt;='Monthly-CF'!$H75),'Monthly-CF'!$E75/('Monthly-CF'!$G75+1),0)</f>
        <v>0</v>
      </c>
      <c r="U75" s="776">
        <f>IF(AND(U$10&gt;='Monthly-CF'!$F75,U$10&lt;='Monthly-CF'!$H75),'Monthly-CF'!$E75/('Monthly-CF'!$G75+1),0)</f>
        <v>0</v>
      </c>
      <c r="V75" s="776">
        <f>IF(AND(V$10&gt;='Monthly-CF'!$F75,V$10&lt;='Monthly-CF'!$H75),'Monthly-CF'!$E75/('Monthly-CF'!$G75+1),0)</f>
        <v>0</v>
      </c>
      <c r="W75" s="776">
        <f>IF(AND(W$10&gt;='Monthly-CF'!$F75,W$10&lt;='Monthly-CF'!$H75),'Monthly-CF'!$E75/('Monthly-CF'!$G75+1),0)</f>
        <v>0</v>
      </c>
      <c r="X75" s="776">
        <f>IF(AND(X$10&gt;='Monthly-CF'!$F75,X$10&lt;='Monthly-CF'!$H75),'Monthly-CF'!$E75/('Monthly-CF'!$G75+1),0)</f>
        <v>0</v>
      </c>
      <c r="Y75" s="776">
        <f>IF(AND(Y$10&gt;='Monthly-CF'!$F75,Y$10&lt;='Monthly-CF'!$H75),'Monthly-CF'!$E75/('Monthly-CF'!$G75+1),0)</f>
        <v>0</v>
      </c>
      <c r="Z75" s="776">
        <f>IF(AND(Z$10&gt;='Monthly-CF'!$F75,Z$10&lt;='Monthly-CF'!$H75),'Monthly-CF'!$E75/('Monthly-CF'!$G75+1),0)</f>
        <v>0</v>
      </c>
      <c r="AA75" s="776">
        <f>IF(AND(AA$10&gt;='Monthly-CF'!$F75,AA$10&lt;='Monthly-CF'!$H75),'Monthly-CF'!$E75/('Monthly-CF'!$G75+1),0)</f>
        <v>-75000</v>
      </c>
      <c r="AB75" s="776">
        <f>IF(AND(AB$10&gt;='Monthly-CF'!$F75,AB$10&lt;='Monthly-CF'!$H75),'Monthly-CF'!$E75/('Monthly-CF'!$G75+1),0)</f>
        <v>-75000</v>
      </c>
      <c r="AC75" s="776">
        <f>IF(AND(AC$10&gt;='Monthly-CF'!$F75,AC$10&lt;='Monthly-CF'!$H75),'Monthly-CF'!$E75/('Monthly-CF'!$G75+1),0)</f>
        <v>-75000</v>
      </c>
      <c r="AD75" s="776">
        <f>IF(AND(AD$10&gt;='Monthly-CF'!$F75,AD$10&lt;='Monthly-CF'!$H75),'Monthly-CF'!$E75/('Monthly-CF'!$G75+1),0)</f>
        <v>-75000</v>
      </c>
      <c r="AE75" s="776">
        <f>IF(AND(AE$10&gt;='Monthly-CF'!$F75,AE$10&lt;='Monthly-CF'!$H75),'Monthly-CF'!$E75/('Monthly-CF'!$G75+1),0)</f>
        <v>0</v>
      </c>
      <c r="AF75" s="776">
        <f>IF(AND(AF$10&gt;='Monthly-CF'!$F75,AF$10&lt;='Monthly-CF'!$H75),'Monthly-CF'!$E75/('Monthly-CF'!$G75+1),0)</f>
        <v>0</v>
      </c>
      <c r="AG75" s="776">
        <f>IF(AND(AG$10&gt;='Monthly-CF'!$F75,AG$10&lt;='Monthly-CF'!$H75),'Monthly-CF'!$E75/('Monthly-CF'!$G75+1),0)</f>
        <v>0</v>
      </c>
      <c r="AH75" s="776">
        <f>IF(AND(AH$10&gt;='Monthly-CF'!$F75,AH$10&lt;='Monthly-CF'!$H75),'Monthly-CF'!$E75/('Monthly-CF'!$G75+1),0)</f>
        <v>0</v>
      </c>
      <c r="AI75" s="776">
        <f>IF(AND(AI$10&gt;='Monthly-CF'!$F75,AI$10&lt;='Monthly-CF'!$H75),'Monthly-CF'!$E75/('Monthly-CF'!$G75+1),0)</f>
        <v>0</v>
      </c>
      <c r="AJ75" s="776">
        <f>IF(AND(AJ$10&gt;='Monthly-CF'!$F75,AJ$10&lt;='Monthly-CF'!$H75),'Monthly-CF'!$E75/('Monthly-CF'!$G75+1),0)</f>
        <v>0</v>
      </c>
      <c r="AK75" s="776">
        <f>IF(AND(AK$10&gt;='Monthly-CF'!$F75,AK$10&lt;='Monthly-CF'!$H75),'Monthly-CF'!$E75/('Monthly-CF'!$G75+1),0)</f>
        <v>0</v>
      </c>
      <c r="AL75" s="776">
        <f>IF(AND(AL$10&gt;='Monthly-CF'!$F75,AL$10&lt;='Monthly-CF'!$H75),'Monthly-CF'!$E75/('Monthly-CF'!$G75+1),0)</f>
        <v>0</v>
      </c>
      <c r="AM75" s="776">
        <f>IF(AND(AM$10&gt;='Monthly-CF'!$F75,AM$10&lt;='Monthly-CF'!$H75),'Monthly-CF'!$E75/('Monthly-CF'!$G75+1),0)</f>
        <v>0</v>
      </c>
      <c r="AN75" s="776">
        <f>IF(AND(AN$10&gt;='Monthly-CF'!$F75,AN$10&lt;='Monthly-CF'!$H75),'Monthly-CF'!$E75/('Monthly-CF'!$G75+1),0)</f>
        <v>0</v>
      </c>
      <c r="AO75" s="776">
        <f>IF(AND(AO$10&gt;='Monthly-CF'!$F75,AO$10&lt;='Monthly-CF'!$H75),'Monthly-CF'!$E75/('Monthly-CF'!$G75+1),0)</f>
        <v>0</v>
      </c>
      <c r="AP75" s="776">
        <f>IF(AND(AP$10&gt;='Monthly-CF'!$F75,AP$10&lt;='Monthly-CF'!$H75),'Monthly-CF'!$E75/('Monthly-CF'!$G75+1),0)</f>
        <v>0</v>
      </c>
      <c r="AQ75" s="776">
        <f>IF(AND(AQ$10&gt;='Monthly-CF'!$F75,AQ$10&lt;='Monthly-CF'!$H75),'Monthly-CF'!$E75/('Monthly-CF'!$G75+1),0)</f>
        <v>0</v>
      </c>
      <c r="AR75" s="776">
        <f>IF(AND(AR$10&gt;='Monthly-CF'!$F75,AR$10&lt;='Monthly-CF'!$H75),'Monthly-CF'!$E75/('Monthly-CF'!$G75+1),0)</f>
        <v>0</v>
      </c>
      <c r="AS75" s="776">
        <f>IF(AND(AS$10&gt;='Monthly-CF'!$F75,AS$10&lt;='Monthly-CF'!$H75),'Monthly-CF'!$E75/('Monthly-CF'!$G75+1),0)</f>
        <v>0</v>
      </c>
      <c r="AT75" s="776">
        <f>IF(AND(AT$10&gt;='Monthly-CF'!$F75,AT$10&lt;='Monthly-CF'!$H75),'Monthly-CF'!$E75/('Monthly-CF'!$G75+1),0)</f>
        <v>0</v>
      </c>
      <c r="AU75" s="776">
        <f>IF(AND(AU$10&gt;='Monthly-CF'!$F75,AU$10&lt;='Monthly-CF'!$H75),'Monthly-CF'!$E75/('Monthly-CF'!$G75+1),0)</f>
        <v>0</v>
      </c>
      <c r="AV75" s="776">
        <f>IF(AND(AV$10&gt;='Monthly-CF'!$F75,AV$10&lt;='Monthly-CF'!$H75),'Monthly-CF'!$E75/('Monthly-CF'!$G75+1),0)</f>
        <v>0</v>
      </c>
      <c r="AW75" s="776">
        <f>IF(AND(AW$10&gt;='Monthly-CF'!$F75,AW$10&lt;='Monthly-CF'!$H75),'Monthly-CF'!$E75/('Monthly-CF'!$G75+1),0)</f>
        <v>0</v>
      </c>
      <c r="AX75" s="776">
        <f>IF(AND(AX$10&gt;='Monthly-CF'!$F75,AX$10&lt;='Monthly-CF'!$H75),'Monthly-CF'!$E75/('Monthly-CF'!$G75+1),0)</f>
        <v>0</v>
      </c>
      <c r="AY75" s="776">
        <f>IF(AND(AY$10&gt;='Monthly-CF'!$F75,AY$10&lt;='Monthly-CF'!$H75),'Monthly-CF'!$E75/('Monthly-CF'!$G75+1),0)</f>
        <v>0</v>
      </c>
      <c r="AZ75" s="776">
        <f>IF(AND(AZ$10&gt;='Monthly-CF'!$F75,AZ$10&lt;='Monthly-CF'!$H75),'Monthly-CF'!$E75/('Monthly-CF'!$G75+1),0)</f>
        <v>0</v>
      </c>
      <c r="BA75" s="776">
        <f>IF(AND(BA$10&gt;='Monthly-CF'!$F75,BA$10&lt;='Monthly-CF'!$H75),'Monthly-CF'!$E75/('Monthly-CF'!$G75+1),0)</f>
        <v>0</v>
      </c>
      <c r="BB75" s="776">
        <f>IF(AND(BB$10&gt;='Monthly-CF'!$F75,BB$10&lt;='Monthly-CF'!$H75),'Monthly-CF'!$E75/('Monthly-CF'!$G75+1),0)</f>
        <v>0</v>
      </c>
      <c r="BC75" s="776">
        <f>IF(AND(BC$10&gt;='Monthly-CF'!$F75,BC$10&lt;='Monthly-CF'!$H75),'Monthly-CF'!$E75/('Monthly-CF'!$G75+1),0)</f>
        <v>0</v>
      </c>
      <c r="BD75" s="776">
        <f>IF(AND(BD$10&gt;='Monthly-CF'!$F75,BD$10&lt;='Monthly-CF'!$H75),'Monthly-CF'!$E75/('Monthly-CF'!$G75+1),0)</f>
        <v>0</v>
      </c>
      <c r="BE75" s="776">
        <f>IF(AND(BE$10&gt;='Monthly-CF'!$F75,BE$10&lt;='Monthly-CF'!$H75),'Monthly-CF'!$E75/('Monthly-CF'!$G75+1),0)</f>
        <v>0</v>
      </c>
      <c r="BF75" s="776">
        <f>IF(AND(BF$10&gt;='Monthly-CF'!$F75,BF$10&lt;='Monthly-CF'!$H75),'Monthly-CF'!$E75/('Monthly-CF'!$G75+1),0)</f>
        <v>0</v>
      </c>
      <c r="BG75" s="776">
        <f>IF(AND(BG$10&gt;='Monthly-CF'!$F75,BG$10&lt;='Monthly-CF'!$H75),'Monthly-CF'!$E75/('Monthly-CF'!$G75+1),0)</f>
        <v>0</v>
      </c>
      <c r="BH75" s="776">
        <f>IF(AND(BH$10&gt;='Monthly-CF'!$F75,BH$10&lt;='Monthly-CF'!$H75),'Monthly-CF'!$E75/('Monthly-CF'!$G75+1),0)</f>
        <v>0</v>
      </c>
      <c r="BI75" s="776">
        <f>IF(AND(BI$10&gt;='Monthly-CF'!$F75,BI$10&lt;='Monthly-CF'!$H75),'Monthly-CF'!$E75/('Monthly-CF'!$G75+1),0)</f>
        <v>0</v>
      </c>
      <c r="BJ75" s="776">
        <f>IF(AND(BJ$10&gt;='Monthly-CF'!$F75,BJ$10&lt;='Monthly-CF'!$H75),'Monthly-CF'!$E75/('Monthly-CF'!$G75+1),0)</f>
        <v>0</v>
      </c>
      <c r="BK75" s="776">
        <f>IF(AND(BK$10&gt;='Monthly-CF'!$F75,BK$10&lt;='Monthly-CF'!$H75),'Monthly-CF'!$E75/('Monthly-CF'!$G75+1),0)</f>
        <v>0</v>
      </c>
      <c r="BL75" s="776">
        <f>IF(AND(BL$10&gt;='Monthly-CF'!$F75,BL$10&lt;='Monthly-CF'!$H75),'Monthly-CF'!$E75/('Monthly-CF'!$G75+1),0)</f>
        <v>0</v>
      </c>
      <c r="BM75" s="776">
        <f>IF(AND(BM$10&gt;='Monthly-CF'!$F75,BM$10&lt;='Monthly-CF'!$H75),'Monthly-CF'!$E75/('Monthly-CF'!$G75+1),0)</f>
        <v>0</v>
      </c>
      <c r="BN75" s="776">
        <f>IF(AND(BN$10&gt;='Monthly-CF'!$F75,BN$10&lt;='Monthly-CF'!$H75),'Monthly-CF'!$E75/('Monthly-CF'!$G75+1),0)</f>
        <v>0</v>
      </c>
      <c r="BO75" s="776">
        <f>IF(AND(BO$10&gt;='Monthly-CF'!$F75,BO$10&lt;='Monthly-CF'!$H75),'Monthly-CF'!$E75/('Monthly-CF'!$G75+1),0)</f>
        <v>0</v>
      </c>
      <c r="BP75" s="776">
        <f>IF(AND(BP$10&gt;='Monthly-CF'!$F75,BP$10&lt;='Monthly-CF'!$H75),'Monthly-CF'!$E75/('Monthly-CF'!$G75+1),0)</f>
        <v>0</v>
      </c>
      <c r="BQ75" s="776">
        <f>IF(AND(BQ$10&gt;='Monthly-CF'!$F75,BQ$10&lt;='Monthly-CF'!$H75),'Monthly-CF'!$E75/('Monthly-CF'!$G75+1),0)</f>
        <v>0</v>
      </c>
      <c r="BR75" s="776">
        <f>IF(AND(BR$10&gt;='Monthly-CF'!$F75,BR$10&lt;='Monthly-CF'!$H75),'Monthly-CF'!$E75/('Monthly-CF'!$G75+1),0)</f>
        <v>0</v>
      </c>
      <c r="BS75" s="776">
        <f>IF(AND(BS$10&gt;='Monthly-CF'!$F75,BS$10&lt;='Monthly-CF'!$H75),'Monthly-CF'!$E75/('Monthly-CF'!$G75+1),0)</f>
        <v>0</v>
      </c>
      <c r="BT75" s="776">
        <f>IF(AND(BT$10&gt;='Monthly-CF'!$F75,BT$10&lt;='Monthly-CF'!$H75),'Monthly-CF'!$E75/('Monthly-CF'!$G75+1),0)</f>
        <v>0</v>
      </c>
      <c r="BU75" s="776">
        <f>IF(AND(BU$10&gt;='Monthly-CF'!$F75,BU$10&lt;='Monthly-CF'!$H75),'Monthly-CF'!$E75/('Monthly-CF'!$G75+1),0)</f>
        <v>0</v>
      </c>
      <c r="BV75" s="776">
        <f>IF(AND(BV$10&gt;='Monthly-CF'!$F75,BV$10&lt;='Monthly-CF'!$H75),'Monthly-CF'!$E75/('Monthly-CF'!$G75+1),0)</f>
        <v>0</v>
      </c>
      <c r="BW75" s="776">
        <f>IF(AND(BW$10&gt;='Monthly-CF'!$F75,BW$10&lt;='Monthly-CF'!$H75),'Monthly-CF'!$E75/('Monthly-CF'!$G75+1),0)</f>
        <v>0</v>
      </c>
      <c r="BX75" s="776">
        <f>IF(AND(BX$10&gt;='Monthly-CF'!$F75,BX$10&lt;='Monthly-CF'!$H75),'Monthly-CF'!$E75/('Monthly-CF'!$G75+1),0)</f>
        <v>0</v>
      </c>
      <c r="BY75" s="776">
        <f>IF(AND(BY$10&gt;='Monthly-CF'!$F75,BY$10&lt;='Monthly-CF'!$H75),'Monthly-CF'!$E75/('Monthly-CF'!$G75+1),0)</f>
        <v>0</v>
      </c>
      <c r="BZ75" s="776">
        <f>IF(AND(BZ$10&gt;='Monthly-CF'!$F75,BZ$10&lt;='Monthly-CF'!$H75),'Monthly-CF'!$E75/('Monthly-CF'!$G75+1),0)</f>
        <v>0</v>
      </c>
      <c r="CA75" s="776">
        <f>IF(AND(CA$10&gt;='Monthly-CF'!$F75,CA$10&lt;='Monthly-CF'!$H75),'Monthly-CF'!$E75/('Monthly-CF'!$G75+1),0)</f>
        <v>0</v>
      </c>
      <c r="CB75" s="776">
        <f>IF(AND(CB$10&gt;='Monthly-CF'!$F75,CB$10&lt;='Monthly-CF'!$H75),'Monthly-CF'!$E75/('Monthly-CF'!$G75+1),0)</f>
        <v>0</v>
      </c>
      <c r="CC75" s="776">
        <f>IF(AND(CC$10&gt;='Monthly-CF'!$F75,CC$10&lt;='Monthly-CF'!$H75),'Monthly-CF'!$E75/('Monthly-CF'!$G75+1),0)</f>
        <v>0</v>
      </c>
      <c r="CD75" s="776">
        <f>IF(AND(CD$10&gt;='Monthly-CF'!$F75,CD$10&lt;='Monthly-CF'!$H75),'Monthly-CF'!$E75/('Monthly-CF'!$G75+1),0)</f>
        <v>0</v>
      </c>
      <c r="CE75" s="776">
        <f>IF(AND(CE$10&gt;='Monthly-CF'!$F75,CE$10&lt;='Monthly-CF'!$H75),'Monthly-CF'!$E75/('Monthly-CF'!$G75+1),0)</f>
        <v>0</v>
      </c>
      <c r="CF75" s="776">
        <f>IF(AND(CF$10&gt;='Monthly-CF'!$F75,CF$10&lt;='Monthly-CF'!$H75),'Monthly-CF'!$E75/('Monthly-CF'!$G75+1),0)</f>
        <v>0</v>
      </c>
      <c r="CG75" s="776">
        <f>IF(AND(CG$10&gt;='Monthly-CF'!$F75,CG$10&lt;='Monthly-CF'!$H75),'Monthly-CF'!$E75/('Monthly-CF'!$G75+1),0)</f>
        <v>0</v>
      </c>
      <c r="CH75" s="776">
        <f>IF(AND(CH$10&gt;='Monthly-CF'!$F75,CH$10&lt;='Monthly-CF'!$H75),'Monthly-CF'!$E75/('Monthly-CF'!$G75+1),0)</f>
        <v>0</v>
      </c>
      <c r="CI75" s="776">
        <f>IF(AND(CI$10&gt;='Monthly-CF'!$F75,CI$10&lt;='Monthly-CF'!$H75),'Monthly-CF'!$E75/('Monthly-CF'!$G75+1),0)</f>
        <v>0</v>
      </c>
      <c r="CJ75" s="776">
        <f>IF(AND(CJ$10&gt;='Monthly-CF'!$F75,CJ$10&lt;='Monthly-CF'!$H75),'Monthly-CF'!$E75/('Monthly-CF'!$G75+1),0)</f>
        <v>0</v>
      </c>
      <c r="CK75" s="776">
        <f>IF(AND(CK$10&gt;='Monthly-CF'!$F75,CK$10&lt;='Monthly-CF'!$H75),'Monthly-CF'!$E75/('Monthly-CF'!$G75+1),0)</f>
        <v>0</v>
      </c>
      <c r="CL75" s="776">
        <f>IF(AND(CL$10&gt;='Monthly-CF'!$F75,CL$10&lt;='Monthly-CF'!$H75),'Monthly-CF'!$E75/('Monthly-CF'!$G75+1),0)</f>
        <v>0</v>
      </c>
      <c r="CM75" s="776">
        <f>IF(AND(CM$10&gt;='Monthly-CF'!$F75,CM$10&lt;='Monthly-CF'!$H75),'Monthly-CF'!$E75/('Monthly-CF'!$G75+1),0)</f>
        <v>0</v>
      </c>
      <c r="CN75" s="776">
        <f>IF(AND(CN$10&gt;='Monthly-CF'!$F75,CN$10&lt;='Monthly-CF'!$H75),'Monthly-CF'!$E75/('Monthly-CF'!$G75+1),0)</f>
        <v>0</v>
      </c>
      <c r="CO75" s="776">
        <f>IF(AND(CO$10&gt;='Monthly-CF'!$F75,CO$10&lt;='Monthly-CF'!$H75),'Monthly-CF'!$E75/('Monthly-CF'!$G75+1),0)</f>
        <v>0</v>
      </c>
      <c r="CP75" s="776">
        <f>IF(AND(CP$10&gt;='Monthly-CF'!$F75,CP$10&lt;='Monthly-CF'!$H75),'Monthly-CF'!$E75/('Monthly-CF'!$G75+1),0)</f>
        <v>0</v>
      </c>
      <c r="CQ75" s="776">
        <f>IF(AND(CQ$10&gt;='Monthly-CF'!$F75,CQ$10&lt;='Monthly-CF'!$H75),'Monthly-CF'!$E75/('Monthly-CF'!$G75+1),0)</f>
        <v>0</v>
      </c>
      <c r="CR75" s="776">
        <f>IF(AND(CR$10&gt;='Monthly-CF'!$F75,CR$10&lt;='Monthly-CF'!$H75),'Monthly-CF'!$E75/('Monthly-CF'!$G75+1),0)</f>
        <v>0</v>
      </c>
      <c r="CS75" s="776">
        <f>IF(AND(CS$10&gt;='Monthly-CF'!$F75,CS$10&lt;='Monthly-CF'!$H75),'Monthly-CF'!$E75/('Monthly-CF'!$G75+1),0)</f>
        <v>0</v>
      </c>
      <c r="CT75" s="776">
        <f>IF(AND(CT$10&gt;='Monthly-CF'!$F75,CT$10&lt;='Monthly-CF'!$H75),'Monthly-CF'!$E75/('Monthly-CF'!$G75+1),0)</f>
        <v>0</v>
      </c>
      <c r="CU75" s="776">
        <f>IF(AND(CU$10&gt;='Monthly-CF'!$F75,CU$10&lt;='Monthly-CF'!$H75),'Monthly-CF'!$E75/('Monthly-CF'!$G75+1),0)</f>
        <v>0</v>
      </c>
      <c r="CV75" s="776">
        <f>IF(AND(CV$10&gt;='Monthly-CF'!$F75,CV$10&lt;='Monthly-CF'!$H75),'Monthly-CF'!$E75/('Monthly-CF'!$G75+1),0)</f>
        <v>0</v>
      </c>
      <c r="CW75" s="776">
        <f>IF(AND(CW$10&gt;='Monthly-CF'!$F75,CW$10&lt;='Monthly-CF'!$H75),'Monthly-CF'!$E75/('Monthly-CF'!$G75+1),0)</f>
        <v>0</v>
      </c>
      <c r="CX75" s="776">
        <f>IF(AND(CX$10&gt;='Monthly-CF'!$F75,CX$10&lt;='Monthly-CF'!$H75),'Monthly-CF'!$E75/('Monthly-CF'!$G75+1),0)</f>
        <v>0</v>
      </c>
      <c r="CY75" s="776">
        <f>IF(AND(CY$10&gt;='Monthly-CF'!$F75,CY$10&lt;='Monthly-CF'!$H75),'Monthly-CF'!$E75/('Monthly-CF'!$G75+1),0)</f>
        <v>0</v>
      </c>
      <c r="CZ75" s="776">
        <f>IF(AND(CZ$10&gt;='Monthly-CF'!$F75,CZ$10&lt;='Monthly-CF'!$H75),'Monthly-CF'!$E75/('Monthly-CF'!$G75+1),0)</f>
        <v>0</v>
      </c>
      <c r="DA75" s="776">
        <f>IF(AND(DA$10&gt;='Monthly-CF'!$F75,DA$10&lt;='Monthly-CF'!$H75),'Monthly-CF'!$E75/('Monthly-CF'!$G75+1),0)</f>
        <v>0</v>
      </c>
      <c r="DB75" s="776">
        <f>IF(AND(DB$10&gt;='Monthly-CF'!$F75,DB$10&lt;='Monthly-CF'!$H75),'Monthly-CF'!$E75/('Monthly-CF'!$G75+1),0)</f>
        <v>0</v>
      </c>
      <c r="DC75" s="776">
        <f>IF(AND(DC$10&gt;='Monthly-CF'!$F75,DC$10&lt;='Monthly-CF'!$H75),'Monthly-CF'!$E75/('Monthly-CF'!$G75+1),0)</f>
        <v>0</v>
      </c>
      <c r="DD75" s="776">
        <f>IF(AND(DD$10&gt;='Monthly-CF'!$F75,DD$10&lt;='Monthly-CF'!$H75),'Monthly-CF'!$E75/('Monthly-CF'!$G75+1),0)</f>
        <v>0</v>
      </c>
      <c r="DE75" s="776">
        <f>IF(AND(DE$10&gt;='Monthly-CF'!$F75,DE$10&lt;='Monthly-CF'!$H75),'Monthly-CF'!$E75/('Monthly-CF'!$G75+1),0)</f>
        <v>0</v>
      </c>
      <c r="DF75" s="776">
        <f>IF(AND(DF$10&gt;='Monthly-CF'!$F75,DF$10&lt;='Monthly-CF'!$H75),'Monthly-CF'!$E75/('Monthly-CF'!$G75+1),0)</f>
        <v>0</v>
      </c>
      <c r="DG75" s="776">
        <f>IF(AND(DG$10&gt;='Monthly-CF'!$F75,DG$10&lt;='Monthly-CF'!$H75),'Monthly-CF'!$E75/('Monthly-CF'!$G75+1),0)</f>
        <v>0</v>
      </c>
      <c r="DH75" s="776">
        <f>IF(AND(DH$10&gt;='Monthly-CF'!$F75,DH$10&lt;='Monthly-CF'!$H75),'Monthly-CF'!$E75/('Monthly-CF'!$G75+1),0)</f>
        <v>0</v>
      </c>
      <c r="DI75" s="776">
        <f>IF(AND(DI$10&gt;='Monthly-CF'!$F75,DI$10&lt;='Monthly-CF'!$H75),'Monthly-CF'!$E75/('Monthly-CF'!$G75+1),0)</f>
        <v>0</v>
      </c>
      <c r="DJ75" s="776">
        <f>IF(AND(DJ$10&gt;='Monthly-CF'!$F75,DJ$10&lt;='Monthly-CF'!$H75),'Monthly-CF'!$E75/('Monthly-CF'!$G75+1),0)</f>
        <v>0</v>
      </c>
      <c r="DK75" s="776">
        <f>IF(AND(DK$10&gt;='Monthly-CF'!$F75,DK$10&lt;='Monthly-CF'!$H75),'Monthly-CF'!$E75/('Monthly-CF'!$G75+1),0)</f>
        <v>0</v>
      </c>
      <c r="DL75" s="776">
        <f>IF(AND(DL$10&gt;='Monthly-CF'!$F75,DL$10&lt;='Monthly-CF'!$H75),'Monthly-CF'!$E75/('Monthly-CF'!$G75+1),0)</f>
        <v>0</v>
      </c>
      <c r="DM75" s="776">
        <f>IF(AND(DM$10&gt;='Monthly-CF'!$F75,DM$10&lt;='Monthly-CF'!$H75),'Monthly-CF'!$E75/('Monthly-CF'!$G75+1),0)</f>
        <v>0</v>
      </c>
      <c r="DN75" s="776">
        <f>IF(AND(DN$10&gt;='Monthly-CF'!$F75,DN$10&lt;='Monthly-CF'!$H75),'Monthly-CF'!$E75/('Monthly-CF'!$G75+1),0)</f>
        <v>0</v>
      </c>
      <c r="DO75" s="776">
        <f>IF(AND(DO$10&gt;='Monthly-CF'!$F75,DO$10&lt;='Monthly-CF'!$H75),'Monthly-CF'!$E75/('Monthly-CF'!$G75+1),0)</f>
        <v>0</v>
      </c>
      <c r="DP75" s="776">
        <f>IF(AND(DP$10&gt;='Monthly-CF'!$F75,DP$10&lt;='Monthly-CF'!$H75),'Monthly-CF'!$E75/('Monthly-CF'!$G75+1),0)</f>
        <v>0</v>
      </c>
      <c r="DQ75" s="776">
        <f>IF(AND(DQ$10&gt;='Monthly-CF'!$F75,DQ$10&lt;='Monthly-CF'!$H75),'Monthly-CF'!$E75/('Monthly-CF'!$G75+1),0)</f>
        <v>0</v>
      </c>
      <c r="DR75" s="776">
        <f>IF(AND(DR$10&gt;='Monthly-CF'!$F75,DR$10&lt;='Monthly-CF'!$H75),'Monthly-CF'!$E75/('Monthly-CF'!$G75+1),0)</f>
        <v>0</v>
      </c>
      <c r="DS75" s="776">
        <f>IF(AND(DS$10&gt;='Monthly-CF'!$F75,DS$10&lt;='Monthly-CF'!$H75),'Monthly-CF'!$E75/('Monthly-CF'!$G75+1),0)</f>
        <v>0</v>
      </c>
      <c r="DT75" s="776">
        <f>IF(AND(DT$10&gt;='Monthly-CF'!$F75,DT$10&lt;='Monthly-CF'!$H75),'Monthly-CF'!$E75/('Monthly-CF'!$G75+1),0)</f>
        <v>0</v>
      </c>
      <c r="DU75" s="776">
        <f>IF(AND(DU$10&gt;='Monthly-CF'!$F75,DU$10&lt;='Monthly-CF'!$H75),'Monthly-CF'!$E75/('Monthly-CF'!$G75+1),0)</f>
        <v>0</v>
      </c>
      <c r="DV75" s="776">
        <f>IF(AND(DV$10&gt;='Monthly-CF'!$F75,DV$10&lt;='Monthly-CF'!$H75),'Monthly-CF'!$E75/('Monthly-CF'!$G75+1),0)</f>
        <v>0</v>
      </c>
      <c r="DW75" s="776">
        <f>IF(AND(DW$10&gt;='Monthly-CF'!$F75,DW$10&lt;='Monthly-CF'!$H75),'Monthly-CF'!$E75/('Monthly-CF'!$G75+1),0)</f>
        <v>0</v>
      </c>
      <c r="DX75" s="776">
        <f>IF(AND(DX$10&gt;='Monthly-CF'!$F75,DX$10&lt;='Monthly-CF'!$H75),'Monthly-CF'!$E75/('Monthly-CF'!$G75+1),0)</f>
        <v>0</v>
      </c>
      <c r="DY75" s="776">
        <f>IF(AND(DY$10&gt;='Monthly-CF'!$F75,DY$10&lt;='Monthly-CF'!$H75),'Monthly-CF'!$E75/('Monthly-CF'!$G75+1),0)</f>
        <v>0</v>
      </c>
      <c r="DZ75" s="776">
        <f>IF(AND(DZ$10&gt;='Monthly-CF'!$F75,DZ$10&lt;='Monthly-CF'!$H75),'Monthly-CF'!$E75/('Monthly-CF'!$G75+1),0)</f>
        <v>0</v>
      </c>
      <c r="EA75" s="776">
        <f>IF(AND(EA$10&gt;='Monthly-CF'!$F75,EA$10&lt;='Monthly-CF'!$H75),'Monthly-CF'!$E75/('Monthly-CF'!$G75+1),0)</f>
        <v>0</v>
      </c>
      <c r="EB75" s="389"/>
      <c r="EC75" s="392" t="s">
        <v>65</v>
      </c>
    </row>
    <row r="76" spans="1:133" s="390" customFormat="1" ht="15" customHeight="1" outlineLevel="1">
      <c r="A76" s="389"/>
      <c r="B76" s="389"/>
      <c r="C76" s="389"/>
      <c r="D76" s="775" t="s">
        <v>479</v>
      </c>
      <c r="E76" s="782"/>
      <c r="F76" s="776"/>
      <c r="G76" s="776"/>
      <c r="H76" s="777"/>
      <c r="I76" s="803">
        <f t="shared" ca="1" si="74"/>
        <v>-54984255.295205027</v>
      </c>
      <c r="J76" s="389"/>
      <c r="K76" s="779"/>
      <c r="L76" s="779">
        <f ca="1">SUM(L69:L75)</f>
        <v>-5200000</v>
      </c>
      <c r="M76" s="779">
        <f t="shared" ref="M76:BX76" ca="1" si="78">SUM(M69:M75)</f>
        <v>-391153.00715178321</v>
      </c>
      <c r="N76" s="779">
        <f t="shared" ca="1" si="78"/>
        <v>-2750737.3328289636</v>
      </c>
      <c r="O76" s="779">
        <f t="shared" ca="1" si="78"/>
        <v>-2750737.3328289636</v>
      </c>
      <c r="P76" s="779">
        <f t="shared" ca="1" si="78"/>
        <v>-2750737.3328289636</v>
      </c>
      <c r="Q76" s="779">
        <f t="shared" ca="1" si="78"/>
        <v>-2750737.3328289636</v>
      </c>
      <c r="R76" s="779">
        <f t="shared" ca="1" si="78"/>
        <v>-2750737.3328289636</v>
      </c>
      <c r="S76" s="779">
        <f t="shared" ca="1" si="78"/>
        <v>-3128392.349461819</v>
      </c>
      <c r="T76" s="779">
        <f t="shared" ca="1" si="78"/>
        <v>-2880963.2006333964</v>
      </c>
      <c r="U76" s="779">
        <f t="shared" ca="1" si="78"/>
        <v>-2880963.2006333964</v>
      </c>
      <c r="V76" s="779">
        <f t="shared" ca="1" si="78"/>
        <v>-2880963.2006333964</v>
      </c>
      <c r="W76" s="779">
        <f t="shared" ca="1" si="78"/>
        <v>-2880963.2006333964</v>
      </c>
      <c r="X76" s="779">
        <f t="shared" ca="1" si="78"/>
        <v>-2880963.2006333964</v>
      </c>
      <c r="Y76" s="779">
        <f t="shared" ca="1" si="78"/>
        <v>-2880963.2006333964</v>
      </c>
      <c r="Z76" s="779">
        <f t="shared" ca="1" si="78"/>
        <v>-2880963.2006333964</v>
      </c>
      <c r="AA76" s="779">
        <f t="shared" ca="1" si="78"/>
        <v>-2955963.2006333964</v>
      </c>
      <c r="AB76" s="779">
        <f t="shared" ca="1" si="78"/>
        <v>-2955963.2006333964</v>
      </c>
      <c r="AC76" s="779">
        <f t="shared" ca="1" si="78"/>
        <v>-2955963.2006333964</v>
      </c>
      <c r="AD76" s="779">
        <f t="shared" ca="1" si="78"/>
        <v>-2564810.1934816134</v>
      </c>
      <c r="AE76" s="779">
        <f t="shared" ca="1" si="78"/>
        <v>-130225.86780443294</v>
      </c>
      <c r="AF76" s="779">
        <f t="shared" ca="1" si="78"/>
        <v>-130225.86780443294</v>
      </c>
      <c r="AG76" s="779">
        <f t="shared" ca="1" si="78"/>
        <v>-130225.86780443294</v>
      </c>
      <c r="AH76" s="779">
        <f t="shared" ca="1" si="78"/>
        <v>-130225.86780443294</v>
      </c>
      <c r="AI76" s="779">
        <f t="shared" ca="1" si="78"/>
        <v>-130225.86780443294</v>
      </c>
      <c r="AJ76" s="779">
        <f t="shared" ca="1" si="78"/>
        <v>-130225.86780443294</v>
      </c>
      <c r="AK76" s="779">
        <f t="shared" ca="1" si="78"/>
        <v>-130225.86780443294</v>
      </c>
      <c r="AL76" s="779">
        <f t="shared" ca="1" si="78"/>
        <v>0</v>
      </c>
      <c r="AM76" s="779">
        <f t="shared" ca="1" si="78"/>
        <v>0</v>
      </c>
      <c r="AN76" s="779">
        <f t="shared" ca="1" si="78"/>
        <v>0</v>
      </c>
      <c r="AO76" s="779">
        <f t="shared" ca="1" si="78"/>
        <v>0</v>
      </c>
      <c r="AP76" s="779">
        <f t="shared" ca="1" si="78"/>
        <v>0</v>
      </c>
      <c r="AQ76" s="779">
        <f t="shared" ca="1" si="78"/>
        <v>0</v>
      </c>
      <c r="AR76" s="779">
        <f t="shared" ca="1" si="78"/>
        <v>0</v>
      </c>
      <c r="AS76" s="779">
        <f t="shared" ca="1" si="78"/>
        <v>0</v>
      </c>
      <c r="AT76" s="779">
        <f t="shared" ca="1" si="78"/>
        <v>0</v>
      </c>
      <c r="AU76" s="779">
        <f t="shared" ca="1" si="78"/>
        <v>0</v>
      </c>
      <c r="AV76" s="779">
        <f t="shared" ca="1" si="78"/>
        <v>0</v>
      </c>
      <c r="AW76" s="779">
        <f t="shared" ca="1" si="78"/>
        <v>0</v>
      </c>
      <c r="AX76" s="779">
        <f t="shared" ca="1" si="78"/>
        <v>0</v>
      </c>
      <c r="AY76" s="779">
        <f t="shared" ca="1" si="78"/>
        <v>0</v>
      </c>
      <c r="AZ76" s="779">
        <f t="shared" ca="1" si="78"/>
        <v>0</v>
      </c>
      <c r="BA76" s="779">
        <f t="shared" ca="1" si="78"/>
        <v>0</v>
      </c>
      <c r="BB76" s="779">
        <f t="shared" ca="1" si="78"/>
        <v>0</v>
      </c>
      <c r="BC76" s="779">
        <f t="shared" ca="1" si="78"/>
        <v>0</v>
      </c>
      <c r="BD76" s="779">
        <f t="shared" ca="1" si="78"/>
        <v>0</v>
      </c>
      <c r="BE76" s="779">
        <f t="shared" ca="1" si="78"/>
        <v>0</v>
      </c>
      <c r="BF76" s="779">
        <f t="shared" ca="1" si="78"/>
        <v>0</v>
      </c>
      <c r="BG76" s="779">
        <f t="shared" ca="1" si="78"/>
        <v>0</v>
      </c>
      <c r="BH76" s="779">
        <f t="shared" ca="1" si="78"/>
        <v>0</v>
      </c>
      <c r="BI76" s="779">
        <f t="shared" ca="1" si="78"/>
        <v>0</v>
      </c>
      <c r="BJ76" s="779">
        <f t="shared" ca="1" si="78"/>
        <v>0</v>
      </c>
      <c r="BK76" s="779">
        <f t="shared" ca="1" si="78"/>
        <v>0</v>
      </c>
      <c r="BL76" s="779">
        <f t="shared" ca="1" si="78"/>
        <v>0</v>
      </c>
      <c r="BM76" s="779">
        <f t="shared" ca="1" si="78"/>
        <v>0</v>
      </c>
      <c r="BN76" s="779">
        <f t="shared" ca="1" si="78"/>
        <v>0</v>
      </c>
      <c r="BO76" s="779">
        <f t="shared" ca="1" si="78"/>
        <v>0</v>
      </c>
      <c r="BP76" s="779">
        <f t="shared" ca="1" si="78"/>
        <v>0</v>
      </c>
      <c r="BQ76" s="779">
        <f t="shared" ca="1" si="78"/>
        <v>0</v>
      </c>
      <c r="BR76" s="779">
        <f t="shared" ca="1" si="78"/>
        <v>0</v>
      </c>
      <c r="BS76" s="779">
        <f t="shared" ca="1" si="78"/>
        <v>0</v>
      </c>
      <c r="BT76" s="779">
        <f t="shared" ca="1" si="78"/>
        <v>0</v>
      </c>
      <c r="BU76" s="779">
        <f t="shared" ca="1" si="78"/>
        <v>0</v>
      </c>
      <c r="BV76" s="779">
        <f t="shared" ca="1" si="78"/>
        <v>0</v>
      </c>
      <c r="BW76" s="779">
        <f t="shared" ca="1" si="78"/>
        <v>0</v>
      </c>
      <c r="BX76" s="779">
        <f t="shared" ca="1" si="78"/>
        <v>0</v>
      </c>
      <c r="BY76" s="779">
        <f t="shared" ref="BY76:EA76" ca="1" si="79">SUM(BY69:BY75)</f>
        <v>0</v>
      </c>
      <c r="BZ76" s="779">
        <f t="shared" ca="1" si="79"/>
        <v>0</v>
      </c>
      <c r="CA76" s="779">
        <f t="shared" ca="1" si="79"/>
        <v>0</v>
      </c>
      <c r="CB76" s="779">
        <f t="shared" ca="1" si="79"/>
        <v>0</v>
      </c>
      <c r="CC76" s="779">
        <f t="shared" ca="1" si="79"/>
        <v>0</v>
      </c>
      <c r="CD76" s="779">
        <f t="shared" ca="1" si="79"/>
        <v>0</v>
      </c>
      <c r="CE76" s="779">
        <f t="shared" ca="1" si="79"/>
        <v>0</v>
      </c>
      <c r="CF76" s="779">
        <f t="shared" ca="1" si="79"/>
        <v>0</v>
      </c>
      <c r="CG76" s="779">
        <f t="shared" ca="1" si="79"/>
        <v>0</v>
      </c>
      <c r="CH76" s="779">
        <f t="shared" ca="1" si="79"/>
        <v>0</v>
      </c>
      <c r="CI76" s="779">
        <f t="shared" ca="1" si="79"/>
        <v>0</v>
      </c>
      <c r="CJ76" s="779">
        <f t="shared" ca="1" si="79"/>
        <v>0</v>
      </c>
      <c r="CK76" s="779">
        <f t="shared" ca="1" si="79"/>
        <v>0</v>
      </c>
      <c r="CL76" s="779">
        <f t="shared" ca="1" si="79"/>
        <v>0</v>
      </c>
      <c r="CM76" s="779">
        <f t="shared" ca="1" si="79"/>
        <v>0</v>
      </c>
      <c r="CN76" s="779">
        <f t="shared" ca="1" si="79"/>
        <v>0</v>
      </c>
      <c r="CO76" s="779">
        <f t="shared" ca="1" si="79"/>
        <v>0</v>
      </c>
      <c r="CP76" s="779">
        <f t="shared" ca="1" si="79"/>
        <v>0</v>
      </c>
      <c r="CQ76" s="779">
        <f t="shared" ca="1" si="79"/>
        <v>0</v>
      </c>
      <c r="CR76" s="779">
        <f t="shared" ca="1" si="79"/>
        <v>0</v>
      </c>
      <c r="CS76" s="779">
        <f t="shared" ca="1" si="79"/>
        <v>0</v>
      </c>
      <c r="CT76" s="779">
        <f t="shared" ca="1" si="79"/>
        <v>0</v>
      </c>
      <c r="CU76" s="779">
        <f t="shared" ca="1" si="79"/>
        <v>0</v>
      </c>
      <c r="CV76" s="779">
        <f t="shared" ca="1" si="79"/>
        <v>0</v>
      </c>
      <c r="CW76" s="779">
        <f t="shared" ca="1" si="79"/>
        <v>0</v>
      </c>
      <c r="CX76" s="779">
        <f t="shared" ca="1" si="79"/>
        <v>0</v>
      </c>
      <c r="CY76" s="779">
        <f t="shared" ca="1" si="79"/>
        <v>0</v>
      </c>
      <c r="CZ76" s="779">
        <f t="shared" ca="1" si="79"/>
        <v>0</v>
      </c>
      <c r="DA76" s="779">
        <f t="shared" ca="1" si="79"/>
        <v>0</v>
      </c>
      <c r="DB76" s="779">
        <f t="shared" ca="1" si="79"/>
        <v>0</v>
      </c>
      <c r="DC76" s="779">
        <f t="shared" ca="1" si="79"/>
        <v>0</v>
      </c>
      <c r="DD76" s="779">
        <f t="shared" ca="1" si="79"/>
        <v>0</v>
      </c>
      <c r="DE76" s="779">
        <f t="shared" ca="1" si="79"/>
        <v>0</v>
      </c>
      <c r="DF76" s="779">
        <f t="shared" ca="1" si="79"/>
        <v>0</v>
      </c>
      <c r="DG76" s="779">
        <f t="shared" ca="1" si="79"/>
        <v>0</v>
      </c>
      <c r="DH76" s="779">
        <f t="shared" ca="1" si="79"/>
        <v>0</v>
      </c>
      <c r="DI76" s="779">
        <f t="shared" ca="1" si="79"/>
        <v>0</v>
      </c>
      <c r="DJ76" s="779">
        <f t="shared" ca="1" si="79"/>
        <v>0</v>
      </c>
      <c r="DK76" s="779">
        <f t="shared" ca="1" si="79"/>
        <v>0</v>
      </c>
      <c r="DL76" s="779">
        <f t="shared" ca="1" si="79"/>
        <v>0</v>
      </c>
      <c r="DM76" s="779">
        <f t="shared" ca="1" si="79"/>
        <v>0</v>
      </c>
      <c r="DN76" s="779">
        <f t="shared" ca="1" si="79"/>
        <v>0</v>
      </c>
      <c r="DO76" s="779">
        <f t="shared" ca="1" si="79"/>
        <v>0</v>
      </c>
      <c r="DP76" s="779">
        <f t="shared" ca="1" si="79"/>
        <v>0</v>
      </c>
      <c r="DQ76" s="779">
        <f t="shared" ca="1" si="79"/>
        <v>0</v>
      </c>
      <c r="DR76" s="779">
        <f t="shared" ca="1" si="79"/>
        <v>0</v>
      </c>
      <c r="DS76" s="779">
        <f t="shared" ca="1" si="79"/>
        <v>0</v>
      </c>
      <c r="DT76" s="779">
        <f t="shared" ca="1" si="79"/>
        <v>0</v>
      </c>
      <c r="DU76" s="779">
        <f t="shared" ca="1" si="79"/>
        <v>0</v>
      </c>
      <c r="DV76" s="779">
        <f t="shared" ca="1" si="79"/>
        <v>0</v>
      </c>
      <c r="DW76" s="779">
        <f t="shared" ca="1" si="79"/>
        <v>0</v>
      </c>
      <c r="DX76" s="779">
        <f t="shared" ca="1" si="79"/>
        <v>0</v>
      </c>
      <c r="DY76" s="779">
        <f t="shared" ca="1" si="79"/>
        <v>0</v>
      </c>
      <c r="DZ76" s="779">
        <f t="shared" ca="1" si="79"/>
        <v>0</v>
      </c>
      <c r="EA76" s="779">
        <f t="shared" ca="1" si="79"/>
        <v>0</v>
      </c>
      <c r="EB76" s="389"/>
      <c r="EC76" s="392" t="s">
        <v>65</v>
      </c>
    </row>
    <row r="77" spans="1:133" s="390" customFormat="1" ht="15" customHeight="1" outlineLevel="1">
      <c r="A77" s="389"/>
      <c r="B77" s="389"/>
      <c r="C77" s="389"/>
      <c r="D77" s="778"/>
      <c r="E77" s="783"/>
      <c r="F77" s="777"/>
      <c r="G77" s="777"/>
      <c r="H77" s="777"/>
      <c r="I77" s="801"/>
      <c r="J77" s="389"/>
      <c r="K77" s="777"/>
      <c r="L77" s="776"/>
      <c r="M77" s="776"/>
      <c r="N77" s="776"/>
      <c r="O77" s="776"/>
      <c r="P77" s="776"/>
      <c r="Q77" s="776"/>
      <c r="R77" s="776"/>
      <c r="S77" s="776"/>
      <c r="T77" s="776"/>
      <c r="U77" s="776"/>
      <c r="V77" s="776"/>
      <c r="W77" s="776"/>
      <c r="X77" s="776"/>
      <c r="Y77" s="776"/>
      <c r="Z77" s="776"/>
      <c r="AA77" s="776"/>
      <c r="AB77" s="776"/>
      <c r="AC77" s="776"/>
      <c r="AD77" s="776"/>
      <c r="AE77" s="776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6"/>
      <c r="AS77" s="776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6"/>
      <c r="BG77" s="776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6"/>
      <c r="BV77" s="776"/>
      <c r="BW77" s="776"/>
      <c r="BX77" s="776"/>
      <c r="BY77" s="776"/>
      <c r="BZ77" s="776"/>
      <c r="CA77" s="776"/>
      <c r="CB77" s="776"/>
      <c r="CC77" s="776"/>
      <c r="CD77" s="776"/>
      <c r="CE77" s="776"/>
      <c r="CF77" s="776"/>
      <c r="CG77" s="776"/>
      <c r="CH77" s="776"/>
      <c r="CI77" s="776"/>
      <c r="CJ77" s="776"/>
      <c r="CK77" s="776"/>
      <c r="CL77" s="776"/>
      <c r="CM77" s="776"/>
      <c r="CN77" s="776"/>
      <c r="CO77" s="776"/>
      <c r="CP77" s="776"/>
      <c r="CQ77" s="776"/>
      <c r="CR77" s="776"/>
      <c r="CS77" s="776"/>
      <c r="CT77" s="776"/>
      <c r="CU77" s="776"/>
      <c r="CV77" s="776"/>
      <c r="CW77" s="776"/>
      <c r="CX77" s="776"/>
      <c r="CY77" s="776"/>
      <c r="CZ77" s="776"/>
      <c r="DA77" s="776"/>
      <c r="DB77" s="776"/>
      <c r="DC77" s="776"/>
      <c r="DD77" s="776"/>
      <c r="DE77" s="776"/>
      <c r="DF77" s="776"/>
      <c r="DG77" s="776"/>
      <c r="DH77" s="776"/>
      <c r="DI77" s="776"/>
      <c r="DJ77" s="776"/>
      <c r="DK77" s="776"/>
      <c r="DL77" s="776"/>
      <c r="DM77" s="776"/>
      <c r="DN77" s="776"/>
      <c r="DO77" s="776"/>
      <c r="DP77" s="776"/>
      <c r="DQ77" s="776"/>
      <c r="DR77" s="776"/>
      <c r="DS77" s="776"/>
      <c r="DT77" s="776"/>
      <c r="DU77" s="776"/>
      <c r="DV77" s="776"/>
      <c r="DW77" s="776"/>
      <c r="DX77" s="776"/>
      <c r="DY77" s="776"/>
      <c r="DZ77" s="776"/>
      <c r="EA77" s="776"/>
      <c r="EB77" s="389"/>
      <c r="EC77" s="392" t="s">
        <v>65</v>
      </c>
    </row>
    <row r="78" spans="1:133" s="390" customFormat="1" ht="15" hidden="1" customHeight="1" outlineLevel="1">
      <c r="A78" s="389"/>
      <c r="B78" s="389"/>
      <c r="C78" s="389"/>
      <c r="D78" s="767" t="s">
        <v>492</v>
      </c>
      <c r="E78" s="784"/>
      <c r="F78" s="768" t="s">
        <v>41</v>
      </c>
      <c r="G78" s="768" t="s">
        <v>476</v>
      </c>
      <c r="H78" s="768" t="s">
        <v>42</v>
      </c>
      <c r="I78" s="801"/>
      <c r="J78" s="389"/>
      <c r="K78" s="777"/>
      <c r="L78" s="776"/>
      <c r="M78" s="776"/>
      <c r="N78" s="776"/>
      <c r="O78" s="776"/>
      <c r="P78" s="776"/>
      <c r="Q78" s="776"/>
      <c r="R78" s="776"/>
      <c r="S78" s="776"/>
      <c r="T78" s="776"/>
      <c r="U78" s="776"/>
      <c r="V78" s="776"/>
      <c r="W78" s="776"/>
      <c r="X78" s="776"/>
      <c r="Y78" s="776"/>
      <c r="Z78" s="776"/>
      <c r="AA78" s="776"/>
      <c r="AB78" s="776"/>
      <c r="AC78" s="776"/>
      <c r="AD78" s="776"/>
      <c r="AE78" s="776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6"/>
      <c r="AS78" s="776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6"/>
      <c r="BG78" s="776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6"/>
      <c r="BV78" s="776"/>
      <c r="BW78" s="776"/>
      <c r="BX78" s="776"/>
      <c r="BY78" s="776"/>
      <c r="BZ78" s="776"/>
      <c r="CA78" s="776"/>
      <c r="CB78" s="776"/>
      <c r="CC78" s="776"/>
      <c r="CD78" s="776"/>
      <c r="CE78" s="776"/>
      <c r="CF78" s="776"/>
      <c r="CG78" s="776"/>
      <c r="CH78" s="776"/>
      <c r="CI78" s="776"/>
      <c r="CJ78" s="776"/>
      <c r="CK78" s="776"/>
      <c r="CL78" s="776"/>
      <c r="CM78" s="776"/>
      <c r="CN78" s="776"/>
      <c r="CO78" s="776"/>
      <c r="CP78" s="776"/>
      <c r="CQ78" s="776"/>
      <c r="CR78" s="776"/>
      <c r="CS78" s="776"/>
      <c r="CT78" s="776"/>
      <c r="CU78" s="776"/>
      <c r="CV78" s="776"/>
      <c r="CW78" s="776"/>
      <c r="CX78" s="776"/>
      <c r="CY78" s="776"/>
      <c r="CZ78" s="776"/>
      <c r="DA78" s="776"/>
      <c r="DB78" s="776"/>
      <c r="DC78" s="776"/>
      <c r="DD78" s="776"/>
      <c r="DE78" s="776"/>
      <c r="DF78" s="776"/>
      <c r="DG78" s="776"/>
      <c r="DH78" s="776"/>
      <c r="DI78" s="776"/>
      <c r="DJ78" s="776"/>
      <c r="DK78" s="776"/>
      <c r="DL78" s="776"/>
      <c r="DM78" s="776"/>
      <c r="DN78" s="776"/>
      <c r="DO78" s="776"/>
      <c r="DP78" s="776"/>
      <c r="DQ78" s="776"/>
      <c r="DR78" s="776"/>
      <c r="DS78" s="776"/>
      <c r="DT78" s="776"/>
      <c r="DU78" s="776"/>
      <c r="DV78" s="776"/>
      <c r="DW78" s="776"/>
      <c r="DX78" s="776"/>
      <c r="DY78" s="776"/>
      <c r="DZ78" s="776"/>
      <c r="EA78" s="776"/>
      <c r="EB78" s="389"/>
      <c r="EC78" s="392" t="s">
        <v>65</v>
      </c>
    </row>
    <row r="79" spans="1:133" s="390" customFormat="1" ht="15" hidden="1" customHeight="1" outlineLevel="1">
      <c r="A79" s="389"/>
      <c r="B79" s="389"/>
      <c r="C79" s="389"/>
      <c r="D79" s="769" t="s">
        <v>43</v>
      </c>
      <c r="E79" s="780">
        <f>-SUMIFS('Budget Detail'!$J$9:$J$77,'Budget Detail'!$D$9:$D$77,'Monthly-CF'!D79)</f>
        <v>0</v>
      </c>
      <c r="F79" s="770">
        <v>0</v>
      </c>
      <c r="G79" s="770">
        <v>0</v>
      </c>
      <c r="H79" s="771">
        <f>F79+G79</f>
        <v>0</v>
      </c>
      <c r="I79" s="801">
        <f t="shared" ref="I79:I86" si="80">SUM(K79:EA79)</f>
        <v>0</v>
      </c>
      <c r="J79" s="389"/>
      <c r="K79" s="776"/>
      <c r="L79" s="776">
        <f>IF(AND(L$10&gt;='Monthly-CF'!$F79,L$10&lt;='Monthly-CF'!$H79),'Monthly-CF'!$E79/('Monthly-CF'!$G79),0)</f>
        <v>0</v>
      </c>
      <c r="M79" s="776">
        <f>IF(AND(M$10&gt;='Monthly-CF'!$F79,M$10&lt;='Monthly-CF'!$H79),'Monthly-CF'!$E79/('Monthly-CF'!$G79),0)</f>
        <v>0</v>
      </c>
      <c r="N79" s="776">
        <f>IF(AND(N$10&gt;='Monthly-CF'!$F79,N$10&lt;='Monthly-CF'!$H79),'Monthly-CF'!$E79/('Monthly-CF'!$G79),0)</f>
        <v>0</v>
      </c>
      <c r="O79" s="776">
        <f>IF(AND(O$10&gt;='Monthly-CF'!$F79,O$10&lt;='Monthly-CF'!$H79),'Monthly-CF'!$E79/('Monthly-CF'!$G79),0)</f>
        <v>0</v>
      </c>
      <c r="P79" s="776">
        <f>IF(AND(P$10&gt;='Monthly-CF'!$F79,P$10&lt;='Monthly-CF'!$H79),'Monthly-CF'!$E79/('Monthly-CF'!$G79),0)</f>
        <v>0</v>
      </c>
      <c r="Q79" s="776">
        <f>IF(AND(Q$10&gt;='Monthly-CF'!$F79,Q$10&lt;='Monthly-CF'!$H79),'Monthly-CF'!$E79/('Monthly-CF'!$G79),0)</f>
        <v>0</v>
      </c>
      <c r="R79" s="776">
        <f>IF(AND(R$10&gt;='Monthly-CF'!$F79,R$10&lt;='Monthly-CF'!$H79),'Monthly-CF'!$E79/('Monthly-CF'!$G79),0)</f>
        <v>0</v>
      </c>
      <c r="S79" s="776">
        <f>IF(AND(S$10&gt;='Monthly-CF'!$F79,S$10&lt;='Monthly-CF'!$H79),'Monthly-CF'!$E79/('Monthly-CF'!$G79),0)</f>
        <v>0</v>
      </c>
      <c r="T79" s="776">
        <f>IF(AND(T$10&gt;='Monthly-CF'!$F79,T$10&lt;='Monthly-CF'!$H79),'Monthly-CF'!$E79/('Monthly-CF'!$G79),0)</f>
        <v>0</v>
      </c>
      <c r="U79" s="776">
        <f>IF(AND(U$10&gt;='Monthly-CF'!$F79,U$10&lt;='Monthly-CF'!$H79),'Monthly-CF'!$E79/('Monthly-CF'!$G79),0)</f>
        <v>0</v>
      </c>
      <c r="V79" s="776">
        <f>IF(AND(V$10&gt;='Monthly-CF'!$F79,V$10&lt;='Monthly-CF'!$H79),'Monthly-CF'!$E79/('Monthly-CF'!$G79),0)</f>
        <v>0</v>
      </c>
      <c r="W79" s="776">
        <f>IF(AND(W$10&gt;='Monthly-CF'!$F79,W$10&lt;='Monthly-CF'!$H79),'Monthly-CF'!$E79/('Monthly-CF'!$G79),0)</f>
        <v>0</v>
      </c>
      <c r="X79" s="776">
        <f>IF(AND(X$10&gt;='Monthly-CF'!$F79,X$10&lt;='Monthly-CF'!$H79),'Monthly-CF'!$E79/('Monthly-CF'!$G79),0)</f>
        <v>0</v>
      </c>
      <c r="Y79" s="776">
        <f>IF(AND(Y$10&gt;='Monthly-CF'!$F79,Y$10&lt;='Monthly-CF'!$H79),'Monthly-CF'!$E79/('Monthly-CF'!$G79),0)</f>
        <v>0</v>
      </c>
      <c r="Z79" s="776">
        <f>IF(AND(Z$10&gt;='Monthly-CF'!$F79,Z$10&lt;='Monthly-CF'!$H79),'Monthly-CF'!$E79/('Monthly-CF'!$G79),0)</f>
        <v>0</v>
      </c>
      <c r="AA79" s="776">
        <f>IF(AND(AA$10&gt;='Monthly-CF'!$F79,AA$10&lt;='Monthly-CF'!$H79),'Monthly-CF'!$E79/('Monthly-CF'!$G79),0)</f>
        <v>0</v>
      </c>
      <c r="AB79" s="776">
        <f>IF(AND(AB$10&gt;='Monthly-CF'!$F79,AB$10&lt;='Monthly-CF'!$H79),'Monthly-CF'!$E79/('Monthly-CF'!$G79),0)</f>
        <v>0</v>
      </c>
      <c r="AC79" s="776">
        <f>IF(AND(AC$10&gt;='Monthly-CF'!$F79,AC$10&lt;='Monthly-CF'!$H79),'Monthly-CF'!$E79/('Monthly-CF'!$G79),0)</f>
        <v>0</v>
      </c>
      <c r="AD79" s="776">
        <f>IF(AND(AD$10&gt;='Monthly-CF'!$F79,AD$10&lt;='Monthly-CF'!$H79),'Monthly-CF'!$E79/('Monthly-CF'!$G79),0)</f>
        <v>0</v>
      </c>
      <c r="AE79" s="776">
        <f>IF(AND(AE$10&gt;='Monthly-CF'!$F79,AE$10&lt;='Monthly-CF'!$H79),'Monthly-CF'!$E79/('Monthly-CF'!$G79),0)</f>
        <v>0</v>
      </c>
      <c r="AF79" s="776">
        <f>IF(AND(AF$10&gt;='Monthly-CF'!$F79,AF$10&lt;='Monthly-CF'!$H79),'Monthly-CF'!$E79/('Monthly-CF'!$G79),0)</f>
        <v>0</v>
      </c>
      <c r="AG79" s="776">
        <f>IF(AND(AG$10&gt;='Monthly-CF'!$F79,AG$10&lt;='Monthly-CF'!$H79),'Monthly-CF'!$E79/('Monthly-CF'!$G79),0)</f>
        <v>0</v>
      </c>
      <c r="AH79" s="776">
        <f>IF(AND(AH$10&gt;='Monthly-CF'!$F79,AH$10&lt;='Monthly-CF'!$H79),'Monthly-CF'!$E79/('Monthly-CF'!$G79),0)</f>
        <v>0</v>
      </c>
      <c r="AI79" s="776">
        <f>IF(AND(AI$10&gt;='Monthly-CF'!$F79,AI$10&lt;='Monthly-CF'!$H79),'Monthly-CF'!$E79/('Monthly-CF'!$G79),0)</f>
        <v>0</v>
      </c>
      <c r="AJ79" s="776">
        <f>IF(AND(AJ$10&gt;='Monthly-CF'!$F79,AJ$10&lt;='Monthly-CF'!$H79),'Monthly-CF'!$E79/('Monthly-CF'!$G79),0)</f>
        <v>0</v>
      </c>
      <c r="AK79" s="776">
        <f>IF(AND(AK$10&gt;='Monthly-CF'!$F79,AK$10&lt;='Monthly-CF'!$H79),'Monthly-CF'!$E79/('Monthly-CF'!$G79),0)</f>
        <v>0</v>
      </c>
      <c r="AL79" s="776">
        <f>IF(AND(AL$10&gt;='Monthly-CF'!$F79,AL$10&lt;='Monthly-CF'!$H79),'Monthly-CF'!$E79/('Monthly-CF'!$G79),0)</f>
        <v>0</v>
      </c>
      <c r="AM79" s="776">
        <f>IF(AND(AM$10&gt;='Monthly-CF'!$F79,AM$10&lt;='Monthly-CF'!$H79),'Monthly-CF'!$E79/('Monthly-CF'!$G79),0)</f>
        <v>0</v>
      </c>
      <c r="AN79" s="776">
        <f>IF(AND(AN$10&gt;='Monthly-CF'!$F79,AN$10&lt;='Monthly-CF'!$H79),'Monthly-CF'!$E79/('Monthly-CF'!$G79),0)</f>
        <v>0</v>
      </c>
      <c r="AO79" s="776">
        <f>IF(AND(AO$10&gt;='Monthly-CF'!$F79,AO$10&lt;='Monthly-CF'!$H79),'Monthly-CF'!$E79/('Monthly-CF'!$G79),0)</f>
        <v>0</v>
      </c>
      <c r="AP79" s="776">
        <f>IF(AND(AP$10&gt;='Monthly-CF'!$F79,AP$10&lt;='Monthly-CF'!$H79),'Monthly-CF'!$E79/('Monthly-CF'!$G79),0)</f>
        <v>0</v>
      </c>
      <c r="AQ79" s="776">
        <f>IF(AND(AQ$10&gt;='Monthly-CF'!$F79,AQ$10&lt;='Monthly-CF'!$H79),'Monthly-CF'!$E79/('Monthly-CF'!$G79),0)</f>
        <v>0</v>
      </c>
      <c r="AR79" s="776">
        <f>IF(AND(AR$10&gt;='Monthly-CF'!$F79,AR$10&lt;='Monthly-CF'!$H79),'Monthly-CF'!$E79/('Monthly-CF'!$G79),0)</f>
        <v>0</v>
      </c>
      <c r="AS79" s="776">
        <f>IF(AND(AS$10&gt;='Monthly-CF'!$F79,AS$10&lt;='Monthly-CF'!$H79),'Monthly-CF'!$E79/('Monthly-CF'!$G79),0)</f>
        <v>0</v>
      </c>
      <c r="AT79" s="776">
        <f>IF(AND(AT$10&gt;='Monthly-CF'!$F79,AT$10&lt;='Monthly-CF'!$H79),'Monthly-CF'!$E79/('Monthly-CF'!$G79),0)</f>
        <v>0</v>
      </c>
      <c r="AU79" s="776">
        <f>IF(AND(AU$10&gt;='Monthly-CF'!$F79,AU$10&lt;='Monthly-CF'!$H79),'Monthly-CF'!$E79/('Monthly-CF'!$G79),0)</f>
        <v>0</v>
      </c>
      <c r="AV79" s="776">
        <f>IF(AND(AV$10&gt;='Monthly-CF'!$F79,AV$10&lt;='Monthly-CF'!$H79),'Monthly-CF'!$E79/('Monthly-CF'!$G79),0)</f>
        <v>0</v>
      </c>
      <c r="AW79" s="776">
        <f>IF(AND(AW$10&gt;='Monthly-CF'!$F79,AW$10&lt;='Monthly-CF'!$H79),'Monthly-CF'!$E79/('Monthly-CF'!$G79),0)</f>
        <v>0</v>
      </c>
      <c r="AX79" s="776">
        <f>IF(AND(AX$10&gt;='Monthly-CF'!$F79,AX$10&lt;='Monthly-CF'!$H79),'Monthly-CF'!$E79/('Monthly-CF'!$G79),0)</f>
        <v>0</v>
      </c>
      <c r="AY79" s="776">
        <f>IF(AND(AY$10&gt;='Monthly-CF'!$F79,AY$10&lt;='Monthly-CF'!$H79),'Monthly-CF'!$E79/('Monthly-CF'!$G79),0)</f>
        <v>0</v>
      </c>
      <c r="AZ79" s="776">
        <f>IF(AND(AZ$10&gt;='Monthly-CF'!$F79,AZ$10&lt;='Monthly-CF'!$H79),'Monthly-CF'!$E79/('Monthly-CF'!$G79),0)</f>
        <v>0</v>
      </c>
      <c r="BA79" s="776">
        <f>IF(AND(BA$10&gt;='Monthly-CF'!$F79,BA$10&lt;='Monthly-CF'!$H79),'Monthly-CF'!$E79/('Monthly-CF'!$G79),0)</f>
        <v>0</v>
      </c>
      <c r="BB79" s="776">
        <f>IF(AND(BB$10&gt;='Monthly-CF'!$F79,BB$10&lt;='Monthly-CF'!$H79),'Monthly-CF'!$E79/('Monthly-CF'!$G79),0)</f>
        <v>0</v>
      </c>
      <c r="BC79" s="776">
        <f>IF(AND(BC$10&gt;='Monthly-CF'!$F79,BC$10&lt;='Monthly-CF'!$H79),'Monthly-CF'!$E79/('Monthly-CF'!$G79),0)</f>
        <v>0</v>
      </c>
      <c r="BD79" s="776">
        <f>IF(AND(BD$10&gt;='Monthly-CF'!$F79,BD$10&lt;='Monthly-CF'!$H79),'Monthly-CF'!$E79/('Monthly-CF'!$G79),0)</f>
        <v>0</v>
      </c>
      <c r="BE79" s="776">
        <f>IF(AND(BE$10&gt;='Monthly-CF'!$F79,BE$10&lt;='Monthly-CF'!$H79),'Monthly-CF'!$E79/('Monthly-CF'!$G79),0)</f>
        <v>0</v>
      </c>
      <c r="BF79" s="776">
        <f>IF(AND(BF$10&gt;='Monthly-CF'!$F79,BF$10&lt;='Monthly-CF'!$H79),'Monthly-CF'!$E79/('Monthly-CF'!$G79),0)</f>
        <v>0</v>
      </c>
      <c r="BG79" s="776">
        <f>IF(AND(BG$10&gt;='Monthly-CF'!$F79,BG$10&lt;='Monthly-CF'!$H79),'Monthly-CF'!$E79/('Monthly-CF'!$G79),0)</f>
        <v>0</v>
      </c>
      <c r="BH79" s="776">
        <f>IF(AND(BH$10&gt;='Monthly-CF'!$F79,BH$10&lt;='Monthly-CF'!$H79),'Monthly-CF'!$E79/('Monthly-CF'!$G79),0)</f>
        <v>0</v>
      </c>
      <c r="BI79" s="776">
        <f>IF(AND(BI$10&gt;='Monthly-CF'!$F79,BI$10&lt;='Monthly-CF'!$H79),'Monthly-CF'!$E79/('Monthly-CF'!$G79),0)</f>
        <v>0</v>
      </c>
      <c r="BJ79" s="776">
        <f>IF(AND(BJ$10&gt;='Monthly-CF'!$F79,BJ$10&lt;='Monthly-CF'!$H79),'Monthly-CF'!$E79/('Monthly-CF'!$G79),0)</f>
        <v>0</v>
      </c>
      <c r="BK79" s="776">
        <f>IF(AND(BK$10&gt;='Monthly-CF'!$F79,BK$10&lt;='Monthly-CF'!$H79),'Monthly-CF'!$E79/('Monthly-CF'!$G79),0)</f>
        <v>0</v>
      </c>
      <c r="BL79" s="776">
        <f>IF(AND(BL$10&gt;='Monthly-CF'!$F79,BL$10&lt;='Monthly-CF'!$H79),'Monthly-CF'!$E79/('Monthly-CF'!$G79),0)</f>
        <v>0</v>
      </c>
      <c r="BM79" s="776">
        <f>IF(AND(BM$10&gt;='Monthly-CF'!$F79,BM$10&lt;='Monthly-CF'!$H79),'Monthly-CF'!$E79/('Monthly-CF'!$G79),0)</f>
        <v>0</v>
      </c>
      <c r="BN79" s="776">
        <f>IF(AND(BN$10&gt;='Monthly-CF'!$F79,BN$10&lt;='Monthly-CF'!$H79),'Monthly-CF'!$E79/('Monthly-CF'!$G79),0)</f>
        <v>0</v>
      </c>
      <c r="BO79" s="776">
        <f>IF(AND(BO$10&gt;='Monthly-CF'!$F79,BO$10&lt;='Monthly-CF'!$H79),'Monthly-CF'!$E79/('Monthly-CF'!$G79),0)</f>
        <v>0</v>
      </c>
      <c r="BP79" s="776">
        <f>IF(AND(BP$10&gt;='Monthly-CF'!$F79,BP$10&lt;='Monthly-CF'!$H79),'Monthly-CF'!$E79/('Monthly-CF'!$G79),0)</f>
        <v>0</v>
      </c>
      <c r="BQ79" s="776">
        <f>IF(AND(BQ$10&gt;='Monthly-CF'!$F79,BQ$10&lt;='Monthly-CF'!$H79),'Monthly-CF'!$E79/('Monthly-CF'!$G79),0)</f>
        <v>0</v>
      </c>
      <c r="BR79" s="776">
        <f>IF(AND(BR$10&gt;='Monthly-CF'!$F79,BR$10&lt;='Monthly-CF'!$H79),'Monthly-CF'!$E79/('Monthly-CF'!$G79),0)</f>
        <v>0</v>
      </c>
      <c r="BS79" s="776">
        <f>IF(AND(BS$10&gt;='Monthly-CF'!$F79,BS$10&lt;='Monthly-CF'!$H79),'Monthly-CF'!$E79/('Monthly-CF'!$G79),0)</f>
        <v>0</v>
      </c>
      <c r="BT79" s="776">
        <f>IF(AND(BT$10&gt;='Monthly-CF'!$F79,BT$10&lt;='Monthly-CF'!$H79),'Monthly-CF'!$E79/('Monthly-CF'!$G79),0)</f>
        <v>0</v>
      </c>
      <c r="BU79" s="776">
        <f>IF(AND(BU$10&gt;='Monthly-CF'!$F79,BU$10&lt;='Monthly-CF'!$H79),'Monthly-CF'!$E79/('Monthly-CF'!$G79),0)</f>
        <v>0</v>
      </c>
      <c r="BV79" s="776">
        <f>IF(AND(BV$10&gt;='Monthly-CF'!$F79,BV$10&lt;='Monthly-CF'!$H79),'Monthly-CF'!$E79/('Monthly-CF'!$G79),0)</f>
        <v>0</v>
      </c>
      <c r="BW79" s="776">
        <f>IF(AND(BW$10&gt;='Monthly-CF'!$F79,BW$10&lt;='Monthly-CF'!$H79),'Monthly-CF'!$E79/('Monthly-CF'!$G79),0)</f>
        <v>0</v>
      </c>
      <c r="BX79" s="776">
        <f>IF(AND(BX$10&gt;='Monthly-CF'!$F79,BX$10&lt;='Monthly-CF'!$H79),'Monthly-CF'!$E79/('Monthly-CF'!$G79),0)</f>
        <v>0</v>
      </c>
      <c r="BY79" s="776">
        <f>IF(AND(BY$10&gt;='Monthly-CF'!$F79,BY$10&lt;='Monthly-CF'!$H79),'Monthly-CF'!$E79/('Monthly-CF'!$G79),0)</f>
        <v>0</v>
      </c>
      <c r="BZ79" s="776">
        <f>IF(AND(BZ$10&gt;='Monthly-CF'!$F79,BZ$10&lt;='Monthly-CF'!$H79),'Monthly-CF'!$E79/('Monthly-CF'!$G79),0)</f>
        <v>0</v>
      </c>
      <c r="CA79" s="776">
        <f>IF(AND(CA$10&gt;='Monthly-CF'!$F79,CA$10&lt;='Monthly-CF'!$H79),'Monthly-CF'!$E79/('Monthly-CF'!$G79),0)</f>
        <v>0</v>
      </c>
      <c r="CB79" s="776">
        <f>IF(AND(CB$10&gt;='Monthly-CF'!$F79,CB$10&lt;='Monthly-CF'!$H79),'Monthly-CF'!$E79/('Monthly-CF'!$G79),0)</f>
        <v>0</v>
      </c>
      <c r="CC79" s="776">
        <f>IF(AND(CC$10&gt;='Monthly-CF'!$F79,CC$10&lt;='Monthly-CF'!$H79),'Monthly-CF'!$E79/('Monthly-CF'!$G79),0)</f>
        <v>0</v>
      </c>
      <c r="CD79" s="776">
        <f>IF(AND(CD$10&gt;='Monthly-CF'!$F79,CD$10&lt;='Monthly-CF'!$H79),'Monthly-CF'!$E79/('Monthly-CF'!$G79),0)</f>
        <v>0</v>
      </c>
      <c r="CE79" s="776">
        <f>IF(AND(CE$10&gt;='Monthly-CF'!$F79,CE$10&lt;='Monthly-CF'!$H79),'Monthly-CF'!$E79/('Monthly-CF'!$G79),0)</f>
        <v>0</v>
      </c>
      <c r="CF79" s="776">
        <f>IF(AND(CF$10&gt;='Monthly-CF'!$F79,CF$10&lt;='Monthly-CF'!$H79),'Monthly-CF'!$E79/('Monthly-CF'!$G79),0)</f>
        <v>0</v>
      </c>
      <c r="CG79" s="776">
        <f>IF(AND(CG$10&gt;='Monthly-CF'!$F79,CG$10&lt;='Monthly-CF'!$H79),'Monthly-CF'!$E79/('Monthly-CF'!$G79),0)</f>
        <v>0</v>
      </c>
      <c r="CH79" s="776">
        <f>IF(AND(CH$10&gt;='Monthly-CF'!$F79,CH$10&lt;='Monthly-CF'!$H79),'Monthly-CF'!$E79/('Monthly-CF'!$G79),0)</f>
        <v>0</v>
      </c>
      <c r="CI79" s="776">
        <f>IF(AND(CI$10&gt;='Monthly-CF'!$F79,CI$10&lt;='Monthly-CF'!$H79),'Monthly-CF'!$E79/('Monthly-CF'!$G79),0)</f>
        <v>0</v>
      </c>
      <c r="CJ79" s="776">
        <f>IF(AND(CJ$10&gt;='Monthly-CF'!$F79,CJ$10&lt;='Monthly-CF'!$H79),'Monthly-CF'!$E79/('Monthly-CF'!$G79),0)</f>
        <v>0</v>
      </c>
      <c r="CK79" s="776">
        <f>IF(AND(CK$10&gt;='Monthly-CF'!$F79,CK$10&lt;='Monthly-CF'!$H79),'Monthly-CF'!$E79/('Monthly-CF'!$G79),0)</f>
        <v>0</v>
      </c>
      <c r="CL79" s="776">
        <f>IF(AND(CL$10&gt;='Monthly-CF'!$F79,CL$10&lt;='Monthly-CF'!$H79),'Monthly-CF'!$E79/('Monthly-CF'!$G79),0)</f>
        <v>0</v>
      </c>
      <c r="CM79" s="776">
        <f>IF(AND(CM$10&gt;='Monthly-CF'!$F79,CM$10&lt;='Monthly-CF'!$H79),'Monthly-CF'!$E79/('Monthly-CF'!$G79),0)</f>
        <v>0</v>
      </c>
      <c r="CN79" s="776">
        <f>IF(AND(CN$10&gt;='Monthly-CF'!$F79,CN$10&lt;='Monthly-CF'!$H79),'Monthly-CF'!$E79/('Monthly-CF'!$G79),0)</f>
        <v>0</v>
      </c>
      <c r="CO79" s="776">
        <f>IF(AND(CO$10&gt;='Monthly-CF'!$F79,CO$10&lt;='Monthly-CF'!$H79),'Monthly-CF'!$E79/('Monthly-CF'!$G79),0)</f>
        <v>0</v>
      </c>
      <c r="CP79" s="776">
        <f>IF(AND(CP$10&gt;='Monthly-CF'!$F79,CP$10&lt;='Monthly-CF'!$H79),'Monthly-CF'!$E79/('Monthly-CF'!$G79),0)</f>
        <v>0</v>
      </c>
      <c r="CQ79" s="776">
        <f>IF(AND(CQ$10&gt;='Monthly-CF'!$F79,CQ$10&lt;='Monthly-CF'!$H79),'Monthly-CF'!$E79/('Monthly-CF'!$G79),0)</f>
        <v>0</v>
      </c>
      <c r="CR79" s="776">
        <f>IF(AND(CR$10&gt;='Monthly-CF'!$F79,CR$10&lt;='Monthly-CF'!$H79),'Monthly-CF'!$E79/('Monthly-CF'!$G79),0)</f>
        <v>0</v>
      </c>
      <c r="CS79" s="776">
        <f>IF(AND(CS$10&gt;='Monthly-CF'!$F79,CS$10&lt;='Monthly-CF'!$H79),'Monthly-CF'!$E79/('Monthly-CF'!$G79),0)</f>
        <v>0</v>
      </c>
      <c r="CT79" s="776">
        <f>IF(AND(CT$10&gt;='Monthly-CF'!$F79,CT$10&lt;='Monthly-CF'!$H79),'Monthly-CF'!$E79/('Monthly-CF'!$G79),0)</f>
        <v>0</v>
      </c>
      <c r="CU79" s="776">
        <f>IF(AND(CU$10&gt;='Monthly-CF'!$F79,CU$10&lt;='Monthly-CF'!$H79),'Monthly-CF'!$E79/('Monthly-CF'!$G79),0)</f>
        <v>0</v>
      </c>
      <c r="CV79" s="776">
        <f>IF(AND(CV$10&gt;='Monthly-CF'!$F79,CV$10&lt;='Monthly-CF'!$H79),'Monthly-CF'!$E79/('Monthly-CF'!$G79),0)</f>
        <v>0</v>
      </c>
      <c r="CW79" s="776">
        <f>IF(AND(CW$10&gt;='Monthly-CF'!$F79,CW$10&lt;='Monthly-CF'!$H79),'Monthly-CF'!$E79/('Monthly-CF'!$G79),0)</f>
        <v>0</v>
      </c>
      <c r="CX79" s="776">
        <f>IF(AND(CX$10&gt;='Monthly-CF'!$F79,CX$10&lt;='Monthly-CF'!$H79),'Monthly-CF'!$E79/('Monthly-CF'!$G79),0)</f>
        <v>0</v>
      </c>
      <c r="CY79" s="776">
        <f>IF(AND(CY$10&gt;='Monthly-CF'!$F79,CY$10&lt;='Monthly-CF'!$H79),'Monthly-CF'!$E79/('Monthly-CF'!$G79),0)</f>
        <v>0</v>
      </c>
      <c r="CZ79" s="776">
        <f>IF(AND(CZ$10&gt;='Monthly-CF'!$F79,CZ$10&lt;='Monthly-CF'!$H79),'Monthly-CF'!$E79/('Monthly-CF'!$G79),0)</f>
        <v>0</v>
      </c>
      <c r="DA79" s="776">
        <f>IF(AND(DA$10&gt;='Monthly-CF'!$F79,DA$10&lt;='Monthly-CF'!$H79),'Monthly-CF'!$E79/('Monthly-CF'!$G79),0)</f>
        <v>0</v>
      </c>
      <c r="DB79" s="776">
        <f>IF(AND(DB$10&gt;='Monthly-CF'!$F79,DB$10&lt;='Monthly-CF'!$H79),'Monthly-CF'!$E79/('Monthly-CF'!$G79),0)</f>
        <v>0</v>
      </c>
      <c r="DC79" s="776">
        <f>IF(AND(DC$10&gt;='Monthly-CF'!$F79,DC$10&lt;='Monthly-CF'!$H79),'Monthly-CF'!$E79/('Monthly-CF'!$G79),0)</f>
        <v>0</v>
      </c>
      <c r="DD79" s="776">
        <f>IF(AND(DD$10&gt;='Monthly-CF'!$F79,DD$10&lt;='Monthly-CF'!$H79),'Monthly-CF'!$E79/('Monthly-CF'!$G79),0)</f>
        <v>0</v>
      </c>
      <c r="DE79" s="776">
        <f>IF(AND(DE$10&gt;='Monthly-CF'!$F79,DE$10&lt;='Monthly-CF'!$H79),'Monthly-CF'!$E79/('Monthly-CF'!$G79),0)</f>
        <v>0</v>
      </c>
      <c r="DF79" s="776">
        <f>IF(AND(DF$10&gt;='Monthly-CF'!$F79,DF$10&lt;='Monthly-CF'!$H79),'Monthly-CF'!$E79/('Monthly-CF'!$G79),0)</f>
        <v>0</v>
      </c>
      <c r="DG79" s="776">
        <f>IF(AND(DG$10&gt;='Monthly-CF'!$F79,DG$10&lt;='Monthly-CF'!$H79),'Monthly-CF'!$E79/('Monthly-CF'!$G79),0)</f>
        <v>0</v>
      </c>
      <c r="DH79" s="776">
        <f>IF(AND(DH$10&gt;='Monthly-CF'!$F79,DH$10&lt;='Monthly-CF'!$H79),'Monthly-CF'!$E79/('Monthly-CF'!$G79),0)</f>
        <v>0</v>
      </c>
      <c r="DI79" s="776">
        <f>IF(AND(DI$10&gt;='Monthly-CF'!$F79,DI$10&lt;='Monthly-CF'!$H79),'Monthly-CF'!$E79/('Monthly-CF'!$G79),0)</f>
        <v>0</v>
      </c>
      <c r="DJ79" s="776">
        <f>IF(AND(DJ$10&gt;='Monthly-CF'!$F79,DJ$10&lt;='Monthly-CF'!$H79),'Monthly-CF'!$E79/('Monthly-CF'!$G79),0)</f>
        <v>0</v>
      </c>
      <c r="DK79" s="776">
        <f>IF(AND(DK$10&gt;='Monthly-CF'!$F79,DK$10&lt;='Monthly-CF'!$H79),'Monthly-CF'!$E79/('Monthly-CF'!$G79),0)</f>
        <v>0</v>
      </c>
      <c r="DL79" s="776">
        <f>IF(AND(DL$10&gt;='Monthly-CF'!$F79,DL$10&lt;='Monthly-CF'!$H79),'Monthly-CF'!$E79/('Monthly-CF'!$G79),0)</f>
        <v>0</v>
      </c>
      <c r="DM79" s="776">
        <f>IF(AND(DM$10&gt;='Monthly-CF'!$F79,DM$10&lt;='Monthly-CF'!$H79),'Monthly-CF'!$E79/('Monthly-CF'!$G79),0)</f>
        <v>0</v>
      </c>
      <c r="DN79" s="776">
        <f>IF(AND(DN$10&gt;='Monthly-CF'!$F79,DN$10&lt;='Monthly-CF'!$H79),'Monthly-CF'!$E79/('Monthly-CF'!$G79),0)</f>
        <v>0</v>
      </c>
      <c r="DO79" s="776">
        <f>IF(AND(DO$10&gt;='Monthly-CF'!$F79,DO$10&lt;='Monthly-CF'!$H79),'Monthly-CF'!$E79/('Monthly-CF'!$G79),0)</f>
        <v>0</v>
      </c>
      <c r="DP79" s="776">
        <f>IF(AND(DP$10&gt;='Monthly-CF'!$F79,DP$10&lt;='Monthly-CF'!$H79),'Monthly-CF'!$E79/('Monthly-CF'!$G79),0)</f>
        <v>0</v>
      </c>
      <c r="DQ79" s="776">
        <f>IF(AND(DQ$10&gt;='Monthly-CF'!$F79,DQ$10&lt;='Monthly-CF'!$H79),'Monthly-CF'!$E79/('Monthly-CF'!$G79),0)</f>
        <v>0</v>
      </c>
      <c r="DR79" s="776">
        <f>IF(AND(DR$10&gt;='Monthly-CF'!$F79,DR$10&lt;='Monthly-CF'!$H79),'Monthly-CF'!$E79/('Monthly-CF'!$G79),0)</f>
        <v>0</v>
      </c>
      <c r="DS79" s="776">
        <f>IF(AND(DS$10&gt;='Monthly-CF'!$F79,DS$10&lt;='Monthly-CF'!$H79),'Monthly-CF'!$E79/('Monthly-CF'!$G79),0)</f>
        <v>0</v>
      </c>
      <c r="DT79" s="776">
        <f>IF(AND(DT$10&gt;='Monthly-CF'!$F79,DT$10&lt;='Monthly-CF'!$H79),'Monthly-CF'!$E79/('Monthly-CF'!$G79),0)</f>
        <v>0</v>
      </c>
      <c r="DU79" s="776">
        <f>IF(AND(DU$10&gt;='Monthly-CF'!$F79,DU$10&lt;='Monthly-CF'!$H79),'Monthly-CF'!$E79/('Monthly-CF'!$G79),0)</f>
        <v>0</v>
      </c>
      <c r="DV79" s="776">
        <f>IF(AND(DV$10&gt;='Monthly-CF'!$F79,DV$10&lt;='Monthly-CF'!$H79),'Monthly-CF'!$E79/('Monthly-CF'!$G79),0)</f>
        <v>0</v>
      </c>
      <c r="DW79" s="776">
        <f>IF(AND(DW$10&gt;='Monthly-CF'!$F79,DW$10&lt;='Monthly-CF'!$H79),'Monthly-CF'!$E79/('Monthly-CF'!$G79),0)</f>
        <v>0</v>
      </c>
      <c r="DX79" s="776">
        <f>IF(AND(DX$10&gt;='Monthly-CF'!$F79,DX$10&lt;='Monthly-CF'!$H79),'Monthly-CF'!$E79/('Monthly-CF'!$G79),0)</f>
        <v>0</v>
      </c>
      <c r="DY79" s="776">
        <f>IF(AND(DY$10&gt;='Monthly-CF'!$F79,DY$10&lt;='Monthly-CF'!$H79),'Monthly-CF'!$E79/('Monthly-CF'!$G79),0)</f>
        <v>0</v>
      </c>
      <c r="DZ79" s="776">
        <f>IF(AND(DZ$10&gt;='Monthly-CF'!$F79,DZ$10&lt;='Monthly-CF'!$H79),'Monthly-CF'!$E79/('Monthly-CF'!$G79),0)</f>
        <v>0</v>
      </c>
      <c r="EA79" s="776">
        <f>IF(AND(EA$10&gt;='Monthly-CF'!$F79,EA$10&lt;='Monthly-CF'!$H79),'Monthly-CF'!$E79/('Monthly-CF'!$G79),0)</f>
        <v>0</v>
      </c>
      <c r="EB79" s="389"/>
      <c r="EC79" s="392" t="s">
        <v>65</v>
      </c>
    </row>
    <row r="80" spans="1:133" s="390" customFormat="1" ht="15" hidden="1" customHeight="1" outlineLevel="1">
      <c r="A80" s="389"/>
      <c r="B80" s="389"/>
      <c r="C80" s="389"/>
      <c r="D80" s="769" t="s">
        <v>21</v>
      </c>
      <c r="E80" s="780">
        <f>-SUMIFS('Budget Detail'!$J$9:$J$77,'Budget Detail'!$D$9:$D$77,'Monthly-CF'!D80)</f>
        <v>0</v>
      </c>
      <c r="F80" s="770">
        <v>0</v>
      </c>
      <c r="G80" s="770">
        <v>0</v>
      </c>
      <c r="H80" s="771">
        <f>F80+G80</f>
        <v>0</v>
      </c>
      <c r="I80" s="802">
        <f t="shared" si="80"/>
        <v>0</v>
      </c>
      <c r="J80" s="389"/>
      <c r="K80" s="776"/>
      <c r="L80" s="776">
        <f>IF(AND(L$10&gt;='Monthly-CF'!$F80,L$10&lt;='Monthly-CF'!$H80),'Monthly-CF'!$E80/('Monthly-CF'!$G80+1),0)</f>
        <v>0</v>
      </c>
      <c r="M80" s="776">
        <f>IF(AND(M$10&gt;='Monthly-CF'!$F80,M$10&lt;='Monthly-CF'!$H80),'Monthly-CF'!$E80/('Monthly-CF'!$G80+1),0)</f>
        <v>0</v>
      </c>
      <c r="N80" s="776">
        <f>IF(AND(N$10&gt;='Monthly-CF'!$F80,N$10&lt;='Monthly-CF'!$H80),'Monthly-CF'!$E80/('Monthly-CF'!$G80+1),0)</f>
        <v>0</v>
      </c>
      <c r="O80" s="776">
        <f>IF(AND(O$10&gt;='Monthly-CF'!$F80,O$10&lt;='Monthly-CF'!$H80),'Monthly-CF'!$E80/('Monthly-CF'!$G80+1),0)</f>
        <v>0</v>
      </c>
      <c r="P80" s="776">
        <f>IF(AND(P$10&gt;='Monthly-CF'!$F80,P$10&lt;='Monthly-CF'!$H80),'Monthly-CF'!$E80/('Monthly-CF'!$G80+1),0)</f>
        <v>0</v>
      </c>
      <c r="Q80" s="776">
        <f>IF(AND(Q$10&gt;='Monthly-CF'!$F80,Q$10&lt;='Monthly-CF'!$H80),'Monthly-CF'!$E80/('Monthly-CF'!$G80+1),0)</f>
        <v>0</v>
      </c>
      <c r="R80" s="776">
        <f>IF(AND(R$10&gt;='Monthly-CF'!$F80,R$10&lt;='Monthly-CF'!$H80),'Monthly-CF'!$E80/('Monthly-CF'!$G80+1),0)</f>
        <v>0</v>
      </c>
      <c r="S80" s="776">
        <f>IF(AND(S$10&gt;='Monthly-CF'!$F80,S$10&lt;='Monthly-CF'!$H80),'Monthly-CF'!$E80/('Monthly-CF'!$G80+1),0)</f>
        <v>0</v>
      </c>
      <c r="T80" s="776">
        <f>IF(AND(T$10&gt;='Monthly-CF'!$F80,T$10&lt;='Monthly-CF'!$H80),'Monthly-CF'!$E80/('Monthly-CF'!$G80+1),0)</f>
        <v>0</v>
      </c>
      <c r="U80" s="776">
        <f>IF(AND(U$10&gt;='Monthly-CF'!$F80,U$10&lt;='Monthly-CF'!$H80),'Monthly-CF'!$E80/('Monthly-CF'!$G80+1),0)</f>
        <v>0</v>
      </c>
      <c r="V80" s="776">
        <f>IF(AND(V$10&gt;='Monthly-CF'!$F80,V$10&lt;='Monthly-CF'!$H80),'Monthly-CF'!$E80/('Monthly-CF'!$G80+1),0)</f>
        <v>0</v>
      </c>
      <c r="W80" s="776">
        <f>IF(AND(W$10&gt;='Monthly-CF'!$F80,W$10&lt;='Monthly-CF'!$H80),'Monthly-CF'!$E80/('Monthly-CF'!$G80+1),0)</f>
        <v>0</v>
      </c>
      <c r="X80" s="776">
        <f>IF(AND(X$10&gt;='Monthly-CF'!$F80,X$10&lt;='Monthly-CF'!$H80),'Monthly-CF'!$E80/('Monthly-CF'!$G80+1),0)</f>
        <v>0</v>
      </c>
      <c r="Y80" s="776">
        <f>IF(AND(Y$10&gt;='Monthly-CF'!$F80,Y$10&lt;='Monthly-CF'!$H80),'Monthly-CF'!$E80/('Monthly-CF'!$G80+1),0)</f>
        <v>0</v>
      </c>
      <c r="Z80" s="776">
        <f>IF(AND(Z$10&gt;='Monthly-CF'!$F80,Z$10&lt;='Monthly-CF'!$H80),'Monthly-CF'!$E80/('Monthly-CF'!$G80+1),0)</f>
        <v>0</v>
      </c>
      <c r="AA80" s="776">
        <f>IF(AND(AA$10&gt;='Monthly-CF'!$F80,AA$10&lt;='Monthly-CF'!$H80),'Monthly-CF'!$E80/('Monthly-CF'!$G80+1),0)</f>
        <v>0</v>
      </c>
      <c r="AB80" s="776">
        <f>IF(AND(AB$10&gt;='Monthly-CF'!$F80,AB$10&lt;='Monthly-CF'!$H80),'Monthly-CF'!$E80/('Monthly-CF'!$G80+1),0)</f>
        <v>0</v>
      </c>
      <c r="AC80" s="776">
        <f>IF(AND(AC$10&gt;='Monthly-CF'!$F80,AC$10&lt;='Monthly-CF'!$H80),'Monthly-CF'!$E80/('Monthly-CF'!$G80+1),0)</f>
        <v>0</v>
      </c>
      <c r="AD80" s="776">
        <f>IF(AND(AD$10&gt;='Monthly-CF'!$F80,AD$10&lt;='Monthly-CF'!$H80),'Monthly-CF'!$E80/('Monthly-CF'!$G80+1),0)</f>
        <v>0</v>
      </c>
      <c r="AE80" s="776">
        <f>IF(AND(AE$10&gt;='Monthly-CF'!$F80,AE$10&lt;='Monthly-CF'!$H80),'Monthly-CF'!$E80/('Monthly-CF'!$G80+1),0)</f>
        <v>0</v>
      </c>
      <c r="AF80" s="776">
        <f>IF(AND(AF$10&gt;='Monthly-CF'!$F80,AF$10&lt;='Monthly-CF'!$H80),'Monthly-CF'!$E80/('Monthly-CF'!$G80+1),0)</f>
        <v>0</v>
      </c>
      <c r="AG80" s="776">
        <f>IF(AND(AG$10&gt;='Monthly-CF'!$F80,AG$10&lt;='Monthly-CF'!$H80),'Monthly-CF'!$E80/('Monthly-CF'!$G80+1),0)</f>
        <v>0</v>
      </c>
      <c r="AH80" s="776">
        <f>IF(AND(AH$10&gt;='Monthly-CF'!$F80,AH$10&lt;='Monthly-CF'!$H80),'Monthly-CF'!$E80/('Monthly-CF'!$G80+1),0)</f>
        <v>0</v>
      </c>
      <c r="AI80" s="776">
        <f>IF(AND(AI$10&gt;='Monthly-CF'!$F80,AI$10&lt;='Monthly-CF'!$H80),'Monthly-CF'!$E80/('Monthly-CF'!$G80+1),0)</f>
        <v>0</v>
      </c>
      <c r="AJ80" s="776">
        <f>IF(AND(AJ$10&gt;='Monthly-CF'!$F80,AJ$10&lt;='Monthly-CF'!$H80),'Monthly-CF'!$E80/('Monthly-CF'!$G80+1),0)</f>
        <v>0</v>
      </c>
      <c r="AK80" s="776">
        <f>IF(AND(AK$10&gt;='Monthly-CF'!$F80,AK$10&lt;='Monthly-CF'!$H80),'Monthly-CF'!$E80/('Monthly-CF'!$G80+1),0)</f>
        <v>0</v>
      </c>
      <c r="AL80" s="776">
        <f>IF(AND(AL$10&gt;='Monthly-CF'!$F80,AL$10&lt;='Monthly-CF'!$H80),'Monthly-CF'!$E80/('Monthly-CF'!$G80+1),0)</f>
        <v>0</v>
      </c>
      <c r="AM80" s="776">
        <f>IF(AND(AM$10&gt;='Monthly-CF'!$F80,AM$10&lt;='Monthly-CF'!$H80),'Monthly-CF'!$E80/('Monthly-CF'!$G80+1),0)</f>
        <v>0</v>
      </c>
      <c r="AN80" s="776">
        <f>IF(AND(AN$10&gt;='Monthly-CF'!$F80,AN$10&lt;='Monthly-CF'!$H80),'Monthly-CF'!$E80/('Monthly-CF'!$G80+1),0)</f>
        <v>0</v>
      </c>
      <c r="AO80" s="776">
        <f>IF(AND(AO$10&gt;='Monthly-CF'!$F80,AO$10&lt;='Monthly-CF'!$H80),'Monthly-CF'!$E80/('Monthly-CF'!$G80+1),0)</f>
        <v>0</v>
      </c>
      <c r="AP80" s="776">
        <f>IF(AND(AP$10&gt;='Monthly-CF'!$F80,AP$10&lt;='Monthly-CF'!$H80),'Monthly-CF'!$E80/('Monthly-CF'!$G80+1),0)</f>
        <v>0</v>
      </c>
      <c r="AQ80" s="776">
        <f>IF(AND(AQ$10&gt;='Monthly-CF'!$F80,AQ$10&lt;='Monthly-CF'!$H80),'Monthly-CF'!$E80/('Monthly-CF'!$G80+1),0)</f>
        <v>0</v>
      </c>
      <c r="AR80" s="776">
        <f>IF(AND(AR$10&gt;='Monthly-CF'!$F80,AR$10&lt;='Monthly-CF'!$H80),'Monthly-CF'!$E80/('Monthly-CF'!$G80+1),0)</f>
        <v>0</v>
      </c>
      <c r="AS80" s="776">
        <f>IF(AND(AS$10&gt;='Monthly-CF'!$F80,AS$10&lt;='Monthly-CF'!$H80),'Monthly-CF'!$E80/('Monthly-CF'!$G80+1),0)</f>
        <v>0</v>
      </c>
      <c r="AT80" s="776">
        <f>IF(AND(AT$10&gt;='Monthly-CF'!$F80,AT$10&lt;='Monthly-CF'!$H80),'Monthly-CF'!$E80/('Monthly-CF'!$G80+1),0)</f>
        <v>0</v>
      </c>
      <c r="AU80" s="776">
        <f>IF(AND(AU$10&gt;='Monthly-CF'!$F80,AU$10&lt;='Monthly-CF'!$H80),'Monthly-CF'!$E80/('Monthly-CF'!$G80+1),0)</f>
        <v>0</v>
      </c>
      <c r="AV80" s="776">
        <f>IF(AND(AV$10&gt;='Monthly-CF'!$F80,AV$10&lt;='Monthly-CF'!$H80),'Monthly-CF'!$E80/('Monthly-CF'!$G80+1),0)</f>
        <v>0</v>
      </c>
      <c r="AW80" s="776">
        <f>IF(AND(AW$10&gt;='Monthly-CF'!$F80,AW$10&lt;='Monthly-CF'!$H80),'Monthly-CF'!$E80/('Monthly-CF'!$G80+1),0)</f>
        <v>0</v>
      </c>
      <c r="AX80" s="776">
        <f>IF(AND(AX$10&gt;='Monthly-CF'!$F80,AX$10&lt;='Monthly-CF'!$H80),'Monthly-CF'!$E80/('Monthly-CF'!$G80+1),0)</f>
        <v>0</v>
      </c>
      <c r="AY80" s="776">
        <f>IF(AND(AY$10&gt;='Monthly-CF'!$F80,AY$10&lt;='Monthly-CF'!$H80),'Monthly-CF'!$E80/('Monthly-CF'!$G80+1),0)</f>
        <v>0</v>
      </c>
      <c r="AZ80" s="776">
        <f>IF(AND(AZ$10&gt;='Monthly-CF'!$F80,AZ$10&lt;='Monthly-CF'!$H80),'Monthly-CF'!$E80/('Monthly-CF'!$G80+1),0)</f>
        <v>0</v>
      </c>
      <c r="BA80" s="776">
        <f>IF(AND(BA$10&gt;='Monthly-CF'!$F80,BA$10&lt;='Monthly-CF'!$H80),'Monthly-CF'!$E80/('Monthly-CF'!$G80+1),0)</f>
        <v>0</v>
      </c>
      <c r="BB80" s="776">
        <f>IF(AND(BB$10&gt;='Monthly-CF'!$F80,BB$10&lt;='Monthly-CF'!$H80),'Monthly-CF'!$E80/('Monthly-CF'!$G80+1),0)</f>
        <v>0</v>
      </c>
      <c r="BC80" s="776">
        <f>IF(AND(BC$10&gt;='Monthly-CF'!$F80,BC$10&lt;='Monthly-CF'!$H80),'Monthly-CF'!$E80/('Monthly-CF'!$G80+1),0)</f>
        <v>0</v>
      </c>
      <c r="BD80" s="776">
        <f>IF(AND(BD$10&gt;='Monthly-CF'!$F80,BD$10&lt;='Monthly-CF'!$H80),'Monthly-CF'!$E80/('Monthly-CF'!$G80+1),0)</f>
        <v>0</v>
      </c>
      <c r="BE80" s="776">
        <f>IF(AND(BE$10&gt;='Monthly-CF'!$F80,BE$10&lt;='Monthly-CF'!$H80),'Monthly-CF'!$E80/('Monthly-CF'!$G80+1),0)</f>
        <v>0</v>
      </c>
      <c r="BF80" s="776">
        <f>IF(AND(BF$10&gt;='Monthly-CF'!$F80,BF$10&lt;='Monthly-CF'!$H80),'Monthly-CF'!$E80/('Monthly-CF'!$G80+1),0)</f>
        <v>0</v>
      </c>
      <c r="BG80" s="776">
        <f>IF(AND(BG$10&gt;='Monthly-CF'!$F80,BG$10&lt;='Monthly-CF'!$H80),'Monthly-CF'!$E80/('Monthly-CF'!$G80+1),0)</f>
        <v>0</v>
      </c>
      <c r="BH80" s="776">
        <f>IF(AND(BH$10&gt;='Monthly-CF'!$F80,BH$10&lt;='Monthly-CF'!$H80),'Monthly-CF'!$E80/('Monthly-CF'!$G80+1),0)</f>
        <v>0</v>
      </c>
      <c r="BI80" s="776">
        <f>IF(AND(BI$10&gt;='Monthly-CF'!$F80,BI$10&lt;='Monthly-CF'!$H80),'Monthly-CF'!$E80/('Monthly-CF'!$G80+1),0)</f>
        <v>0</v>
      </c>
      <c r="BJ80" s="776">
        <f>IF(AND(BJ$10&gt;='Monthly-CF'!$F80,BJ$10&lt;='Monthly-CF'!$H80),'Monthly-CF'!$E80/('Monthly-CF'!$G80+1),0)</f>
        <v>0</v>
      </c>
      <c r="BK80" s="776">
        <f>IF(AND(BK$10&gt;='Monthly-CF'!$F80,BK$10&lt;='Monthly-CF'!$H80),'Monthly-CF'!$E80/('Monthly-CF'!$G80+1),0)</f>
        <v>0</v>
      </c>
      <c r="BL80" s="776">
        <f>IF(AND(BL$10&gt;='Monthly-CF'!$F80,BL$10&lt;='Monthly-CF'!$H80),'Monthly-CF'!$E80/('Monthly-CF'!$G80+1),0)</f>
        <v>0</v>
      </c>
      <c r="BM80" s="776">
        <f>IF(AND(BM$10&gt;='Monthly-CF'!$F80,BM$10&lt;='Monthly-CF'!$H80),'Monthly-CF'!$E80/('Monthly-CF'!$G80+1),0)</f>
        <v>0</v>
      </c>
      <c r="BN80" s="776">
        <f>IF(AND(BN$10&gt;='Monthly-CF'!$F80,BN$10&lt;='Monthly-CF'!$H80),'Monthly-CF'!$E80/('Monthly-CF'!$G80+1),0)</f>
        <v>0</v>
      </c>
      <c r="BO80" s="776">
        <f>IF(AND(BO$10&gt;='Monthly-CF'!$F80,BO$10&lt;='Monthly-CF'!$H80),'Monthly-CF'!$E80/('Monthly-CF'!$G80+1),0)</f>
        <v>0</v>
      </c>
      <c r="BP80" s="776">
        <f>IF(AND(BP$10&gt;='Monthly-CF'!$F80,BP$10&lt;='Monthly-CF'!$H80),'Monthly-CF'!$E80/('Monthly-CF'!$G80+1),0)</f>
        <v>0</v>
      </c>
      <c r="BQ80" s="776">
        <f>IF(AND(BQ$10&gt;='Monthly-CF'!$F80,BQ$10&lt;='Monthly-CF'!$H80),'Monthly-CF'!$E80/('Monthly-CF'!$G80+1),0)</f>
        <v>0</v>
      </c>
      <c r="BR80" s="776">
        <f>IF(AND(BR$10&gt;='Monthly-CF'!$F80,BR$10&lt;='Monthly-CF'!$H80),'Monthly-CF'!$E80/('Monthly-CF'!$G80+1),0)</f>
        <v>0</v>
      </c>
      <c r="BS80" s="776">
        <f>IF(AND(BS$10&gt;='Monthly-CF'!$F80,BS$10&lt;='Monthly-CF'!$H80),'Monthly-CF'!$E80/('Monthly-CF'!$G80+1),0)</f>
        <v>0</v>
      </c>
      <c r="BT80" s="776">
        <f>IF(AND(BT$10&gt;='Monthly-CF'!$F80,BT$10&lt;='Monthly-CF'!$H80),'Monthly-CF'!$E80/('Monthly-CF'!$G80+1),0)</f>
        <v>0</v>
      </c>
      <c r="BU80" s="776">
        <f>IF(AND(BU$10&gt;='Monthly-CF'!$F80,BU$10&lt;='Monthly-CF'!$H80),'Monthly-CF'!$E80/('Monthly-CF'!$G80+1),0)</f>
        <v>0</v>
      </c>
      <c r="BV80" s="776">
        <f>IF(AND(BV$10&gt;='Monthly-CF'!$F80,BV$10&lt;='Monthly-CF'!$H80),'Monthly-CF'!$E80/('Monthly-CF'!$G80+1),0)</f>
        <v>0</v>
      </c>
      <c r="BW80" s="776">
        <f>IF(AND(BW$10&gt;='Monthly-CF'!$F80,BW$10&lt;='Monthly-CF'!$H80),'Monthly-CF'!$E80/('Monthly-CF'!$G80+1),0)</f>
        <v>0</v>
      </c>
      <c r="BX80" s="776">
        <f>IF(AND(BX$10&gt;='Monthly-CF'!$F80,BX$10&lt;='Monthly-CF'!$H80),'Monthly-CF'!$E80/('Monthly-CF'!$G80+1),0)</f>
        <v>0</v>
      </c>
      <c r="BY80" s="776">
        <f>IF(AND(BY$10&gt;='Monthly-CF'!$F80,BY$10&lt;='Monthly-CF'!$H80),'Monthly-CF'!$E80/('Monthly-CF'!$G80+1),0)</f>
        <v>0</v>
      </c>
      <c r="BZ80" s="776">
        <f>IF(AND(BZ$10&gt;='Monthly-CF'!$F80,BZ$10&lt;='Monthly-CF'!$H80),'Monthly-CF'!$E80/('Monthly-CF'!$G80+1),0)</f>
        <v>0</v>
      </c>
      <c r="CA80" s="776">
        <f>IF(AND(CA$10&gt;='Monthly-CF'!$F80,CA$10&lt;='Monthly-CF'!$H80),'Monthly-CF'!$E80/('Monthly-CF'!$G80+1),0)</f>
        <v>0</v>
      </c>
      <c r="CB80" s="776">
        <f>IF(AND(CB$10&gt;='Monthly-CF'!$F80,CB$10&lt;='Monthly-CF'!$H80),'Monthly-CF'!$E80/('Monthly-CF'!$G80+1),0)</f>
        <v>0</v>
      </c>
      <c r="CC80" s="776">
        <f>IF(AND(CC$10&gt;='Monthly-CF'!$F80,CC$10&lt;='Monthly-CF'!$H80),'Monthly-CF'!$E80/('Monthly-CF'!$G80+1),0)</f>
        <v>0</v>
      </c>
      <c r="CD80" s="776">
        <f>IF(AND(CD$10&gt;='Monthly-CF'!$F80,CD$10&lt;='Monthly-CF'!$H80),'Monthly-CF'!$E80/('Monthly-CF'!$G80+1),0)</f>
        <v>0</v>
      </c>
      <c r="CE80" s="776">
        <f>IF(AND(CE$10&gt;='Monthly-CF'!$F80,CE$10&lt;='Monthly-CF'!$H80),'Monthly-CF'!$E80/('Monthly-CF'!$G80+1),0)</f>
        <v>0</v>
      </c>
      <c r="CF80" s="776">
        <f>IF(AND(CF$10&gt;='Monthly-CF'!$F80,CF$10&lt;='Monthly-CF'!$H80),'Monthly-CF'!$E80/('Monthly-CF'!$G80+1),0)</f>
        <v>0</v>
      </c>
      <c r="CG80" s="776">
        <f>IF(AND(CG$10&gt;='Monthly-CF'!$F80,CG$10&lt;='Monthly-CF'!$H80),'Monthly-CF'!$E80/('Monthly-CF'!$G80+1),0)</f>
        <v>0</v>
      </c>
      <c r="CH80" s="776">
        <f>IF(AND(CH$10&gt;='Monthly-CF'!$F80,CH$10&lt;='Monthly-CF'!$H80),'Monthly-CF'!$E80/('Monthly-CF'!$G80+1),0)</f>
        <v>0</v>
      </c>
      <c r="CI80" s="776">
        <f>IF(AND(CI$10&gt;='Monthly-CF'!$F80,CI$10&lt;='Monthly-CF'!$H80),'Monthly-CF'!$E80/('Monthly-CF'!$G80+1),0)</f>
        <v>0</v>
      </c>
      <c r="CJ80" s="776">
        <f>IF(AND(CJ$10&gt;='Monthly-CF'!$F80,CJ$10&lt;='Monthly-CF'!$H80),'Monthly-CF'!$E80/('Monthly-CF'!$G80+1),0)</f>
        <v>0</v>
      </c>
      <c r="CK80" s="776">
        <f>IF(AND(CK$10&gt;='Monthly-CF'!$F80,CK$10&lt;='Monthly-CF'!$H80),'Monthly-CF'!$E80/('Monthly-CF'!$G80+1),0)</f>
        <v>0</v>
      </c>
      <c r="CL80" s="776">
        <f>IF(AND(CL$10&gt;='Monthly-CF'!$F80,CL$10&lt;='Monthly-CF'!$H80),'Monthly-CF'!$E80/('Monthly-CF'!$G80+1),0)</f>
        <v>0</v>
      </c>
      <c r="CM80" s="776">
        <f>IF(AND(CM$10&gt;='Monthly-CF'!$F80,CM$10&lt;='Monthly-CF'!$H80),'Monthly-CF'!$E80/('Monthly-CF'!$G80+1),0)</f>
        <v>0</v>
      </c>
      <c r="CN80" s="776">
        <f>IF(AND(CN$10&gt;='Monthly-CF'!$F80,CN$10&lt;='Monthly-CF'!$H80),'Monthly-CF'!$E80/('Monthly-CF'!$G80+1),0)</f>
        <v>0</v>
      </c>
      <c r="CO80" s="776">
        <f>IF(AND(CO$10&gt;='Monthly-CF'!$F80,CO$10&lt;='Monthly-CF'!$H80),'Monthly-CF'!$E80/('Monthly-CF'!$G80+1),0)</f>
        <v>0</v>
      </c>
      <c r="CP80" s="776">
        <f>IF(AND(CP$10&gt;='Monthly-CF'!$F80,CP$10&lt;='Monthly-CF'!$H80),'Monthly-CF'!$E80/('Monthly-CF'!$G80+1),0)</f>
        <v>0</v>
      </c>
      <c r="CQ80" s="776">
        <f>IF(AND(CQ$10&gt;='Monthly-CF'!$F80,CQ$10&lt;='Monthly-CF'!$H80),'Monthly-CF'!$E80/('Monthly-CF'!$G80+1),0)</f>
        <v>0</v>
      </c>
      <c r="CR80" s="776">
        <f>IF(AND(CR$10&gt;='Monthly-CF'!$F80,CR$10&lt;='Monthly-CF'!$H80),'Monthly-CF'!$E80/('Monthly-CF'!$G80+1),0)</f>
        <v>0</v>
      </c>
      <c r="CS80" s="776">
        <f>IF(AND(CS$10&gt;='Monthly-CF'!$F80,CS$10&lt;='Monthly-CF'!$H80),'Monthly-CF'!$E80/('Monthly-CF'!$G80+1),0)</f>
        <v>0</v>
      </c>
      <c r="CT80" s="776">
        <f>IF(AND(CT$10&gt;='Monthly-CF'!$F80,CT$10&lt;='Monthly-CF'!$H80),'Monthly-CF'!$E80/('Monthly-CF'!$G80+1),0)</f>
        <v>0</v>
      </c>
      <c r="CU80" s="776">
        <f>IF(AND(CU$10&gt;='Monthly-CF'!$F80,CU$10&lt;='Monthly-CF'!$H80),'Monthly-CF'!$E80/('Monthly-CF'!$G80+1),0)</f>
        <v>0</v>
      </c>
      <c r="CV80" s="776">
        <f>IF(AND(CV$10&gt;='Monthly-CF'!$F80,CV$10&lt;='Monthly-CF'!$H80),'Monthly-CF'!$E80/('Monthly-CF'!$G80+1),0)</f>
        <v>0</v>
      </c>
      <c r="CW80" s="776">
        <f>IF(AND(CW$10&gt;='Monthly-CF'!$F80,CW$10&lt;='Monthly-CF'!$H80),'Monthly-CF'!$E80/('Monthly-CF'!$G80+1),0)</f>
        <v>0</v>
      </c>
      <c r="CX80" s="776">
        <f>IF(AND(CX$10&gt;='Monthly-CF'!$F80,CX$10&lt;='Monthly-CF'!$H80),'Monthly-CF'!$E80/('Monthly-CF'!$G80+1),0)</f>
        <v>0</v>
      </c>
      <c r="CY80" s="776">
        <f>IF(AND(CY$10&gt;='Monthly-CF'!$F80,CY$10&lt;='Monthly-CF'!$H80),'Monthly-CF'!$E80/('Monthly-CF'!$G80+1),0)</f>
        <v>0</v>
      </c>
      <c r="CZ80" s="776">
        <f>IF(AND(CZ$10&gt;='Monthly-CF'!$F80,CZ$10&lt;='Monthly-CF'!$H80),'Monthly-CF'!$E80/('Monthly-CF'!$G80+1),0)</f>
        <v>0</v>
      </c>
      <c r="DA80" s="776">
        <f>IF(AND(DA$10&gt;='Monthly-CF'!$F80,DA$10&lt;='Monthly-CF'!$H80),'Monthly-CF'!$E80/('Monthly-CF'!$G80+1),0)</f>
        <v>0</v>
      </c>
      <c r="DB80" s="776">
        <f>IF(AND(DB$10&gt;='Monthly-CF'!$F80,DB$10&lt;='Monthly-CF'!$H80),'Monthly-CF'!$E80/('Monthly-CF'!$G80+1),0)</f>
        <v>0</v>
      </c>
      <c r="DC80" s="776">
        <f>IF(AND(DC$10&gt;='Monthly-CF'!$F80,DC$10&lt;='Monthly-CF'!$H80),'Monthly-CF'!$E80/('Monthly-CF'!$G80+1),0)</f>
        <v>0</v>
      </c>
      <c r="DD80" s="776">
        <f>IF(AND(DD$10&gt;='Monthly-CF'!$F80,DD$10&lt;='Monthly-CF'!$H80),'Monthly-CF'!$E80/('Monthly-CF'!$G80+1),0)</f>
        <v>0</v>
      </c>
      <c r="DE80" s="776">
        <f>IF(AND(DE$10&gt;='Monthly-CF'!$F80,DE$10&lt;='Monthly-CF'!$H80),'Monthly-CF'!$E80/('Monthly-CF'!$G80+1),0)</f>
        <v>0</v>
      </c>
      <c r="DF80" s="776">
        <f>IF(AND(DF$10&gt;='Monthly-CF'!$F80,DF$10&lt;='Monthly-CF'!$H80),'Monthly-CF'!$E80/('Monthly-CF'!$G80+1),0)</f>
        <v>0</v>
      </c>
      <c r="DG80" s="776">
        <f>IF(AND(DG$10&gt;='Monthly-CF'!$F80,DG$10&lt;='Monthly-CF'!$H80),'Monthly-CF'!$E80/('Monthly-CF'!$G80+1),0)</f>
        <v>0</v>
      </c>
      <c r="DH80" s="776">
        <f>IF(AND(DH$10&gt;='Monthly-CF'!$F80,DH$10&lt;='Monthly-CF'!$H80),'Monthly-CF'!$E80/('Monthly-CF'!$G80+1),0)</f>
        <v>0</v>
      </c>
      <c r="DI80" s="776">
        <f>IF(AND(DI$10&gt;='Monthly-CF'!$F80,DI$10&lt;='Monthly-CF'!$H80),'Monthly-CF'!$E80/('Monthly-CF'!$G80+1),0)</f>
        <v>0</v>
      </c>
      <c r="DJ80" s="776">
        <f>IF(AND(DJ$10&gt;='Monthly-CF'!$F80,DJ$10&lt;='Monthly-CF'!$H80),'Monthly-CF'!$E80/('Monthly-CF'!$G80+1),0)</f>
        <v>0</v>
      </c>
      <c r="DK80" s="776">
        <f>IF(AND(DK$10&gt;='Monthly-CF'!$F80,DK$10&lt;='Monthly-CF'!$H80),'Monthly-CF'!$E80/('Monthly-CF'!$G80+1),0)</f>
        <v>0</v>
      </c>
      <c r="DL80" s="776">
        <f>IF(AND(DL$10&gt;='Monthly-CF'!$F80,DL$10&lt;='Monthly-CF'!$H80),'Monthly-CF'!$E80/('Monthly-CF'!$G80+1),0)</f>
        <v>0</v>
      </c>
      <c r="DM80" s="776">
        <f>IF(AND(DM$10&gt;='Monthly-CF'!$F80,DM$10&lt;='Monthly-CF'!$H80),'Monthly-CF'!$E80/('Monthly-CF'!$G80+1),0)</f>
        <v>0</v>
      </c>
      <c r="DN80" s="776">
        <f>IF(AND(DN$10&gt;='Monthly-CF'!$F80,DN$10&lt;='Monthly-CF'!$H80),'Monthly-CF'!$E80/('Monthly-CF'!$G80+1),0)</f>
        <v>0</v>
      </c>
      <c r="DO80" s="776">
        <f>IF(AND(DO$10&gt;='Monthly-CF'!$F80,DO$10&lt;='Monthly-CF'!$H80),'Monthly-CF'!$E80/('Monthly-CF'!$G80+1),0)</f>
        <v>0</v>
      </c>
      <c r="DP80" s="776">
        <f>IF(AND(DP$10&gt;='Monthly-CF'!$F80,DP$10&lt;='Monthly-CF'!$H80),'Monthly-CF'!$E80/('Monthly-CF'!$G80+1),0)</f>
        <v>0</v>
      </c>
      <c r="DQ80" s="776">
        <f>IF(AND(DQ$10&gt;='Monthly-CF'!$F80,DQ$10&lt;='Monthly-CF'!$H80),'Monthly-CF'!$E80/('Monthly-CF'!$G80+1),0)</f>
        <v>0</v>
      </c>
      <c r="DR80" s="776">
        <f>IF(AND(DR$10&gt;='Monthly-CF'!$F80,DR$10&lt;='Monthly-CF'!$H80),'Monthly-CF'!$E80/('Monthly-CF'!$G80+1),0)</f>
        <v>0</v>
      </c>
      <c r="DS80" s="776">
        <f>IF(AND(DS$10&gt;='Monthly-CF'!$F80,DS$10&lt;='Monthly-CF'!$H80),'Monthly-CF'!$E80/('Monthly-CF'!$G80+1),0)</f>
        <v>0</v>
      </c>
      <c r="DT80" s="776">
        <f>IF(AND(DT$10&gt;='Monthly-CF'!$F80,DT$10&lt;='Monthly-CF'!$H80),'Monthly-CF'!$E80/('Monthly-CF'!$G80+1),0)</f>
        <v>0</v>
      </c>
      <c r="DU80" s="776">
        <f>IF(AND(DU$10&gt;='Monthly-CF'!$F80,DU$10&lt;='Monthly-CF'!$H80),'Monthly-CF'!$E80/('Monthly-CF'!$G80+1),0)</f>
        <v>0</v>
      </c>
      <c r="DV80" s="776">
        <f>IF(AND(DV$10&gt;='Monthly-CF'!$F80,DV$10&lt;='Monthly-CF'!$H80),'Monthly-CF'!$E80/('Monthly-CF'!$G80+1),0)</f>
        <v>0</v>
      </c>
      <c r="DW80" s="776">
        <f>IF(AND(DW$10&gt;='Monthly-CF'!$F80,DW$10&lt;='Monthly-CF'!$H80),'Monthly-CF'!$E80/('Monthly-CF'!$G80+1),0)</f>
        <v>0</v>
      </c>
      <c r="DX80" s="776">
        <f>IF(AND(DX$10&gt;='Monthly-CF'!$F80,DX$10&lt;='Monthly-CF'!$H80),'Monthly-CF'!$E80/('Monthly-CF'!$G80+1),0)</f>
        <v>0</v>
      </c>
      <c r="DY80" s="776">
        <f>IF(AND(DY$10&gt;='Monthly-CF'!$F80,DY$10&lt;='Monthly-CF'!$H80),'Monthly-CF'!$E80/('Monthly-CF'!$G80+1),0)</f>
        <v>0</v>
      </c>
      <c r="DZ80" s="776">
        <f>IF(AND(DZ$10&gt;='Monthly-CF'!$F80,DZ$10&lt;='Monthly-CF'!$H80),'Monthly-CF'!$E80/('Monthly-CF'!$G80+1),0)</f>
        <v>0</v>
      </c>
      <c r="EA80" s="776">
        <f>IF(AND(EA$10&gt;='Monthly-CF'!$F80,EA$10&lt;='Monthly-CF'!$H80),'Monthly-CF'!$E80/('Monthly-CF'!$G80+1),0)</f>
        <v>0</v>
      </c>
      <c r="EB80" s="389"/>
      <c r="EC80" s="392" t="s">
        <v>65</v>
      </c>
    </row>
    <row r="81" spans="1:133" s="390" customFormat="1" ht="15" hidden="1" customHeight="1" outlineLevel="1">
      <c r="A81" s="389"/>
      <c r="B81" s="389"/>
      <c r="C81" s="389"/>
      <c r="D81" s="769" t="s">
        <v>511</v>
      </c>
      <c r="E81" s="780">
        <f>-SUMIFS('Budget Detail'!$J$9:$J$77,'Budget Detail'!$D$9:$D$77,'Monthly-CF'!D81)</f>
        <v>0</v>
      </c>
      <c r="F81" s="770">
        <v>0</v>
      </c>
      <c r="G81" s="770">
        <v>0</v>
      </c>
      <c r="H81" s="771">
        <f>F81+G81</f>
        <v>0</v>
      </c>
      <c r="I81" s="802">
        <f t="shared" si="80"/>
        <v>0</v>
      </c>
      <c r="J81" s="389"/>
      <c r="K81" s="776"/>
      <c r="L81" s="776">
        <f>IF(AND(L$10&gt;='Monthly-CF'!$F81,L$10&lt;='Monthly-CF'!$H81),'Monthly-CF'!$E81/('Monthly-CF'!$G81+1),0)</f>
        <v>0</v>
      </c>
      <c r="M81" s="776"/>
      <c r="N81" s="776"/>
      <c r="O81" s="776"/>
      <c r="P81" s="776"/>
      <c r="Q81" s="776"/>
      <c r="R81" s="776"/>
      <c r="S81" s="776"/>
      <c r="T81" s="776"/>
      <c r="U81" s="776"/>
      <c r="V81" s="776"/>
      <c r="W81" s="776"/>
      <c r="X81" s="776"/>
      <c r="Y81" s="776"/>
      <c r="Z81" s="776"/>
      <c r="AA81" s="776"/>
      <c r="AB81" s="776"/>
      <c r="AC81" s="776"/>
      <c r="AD81" s="776"/>
      <c r="AE81" s="776"/>
      <c r="AF81" s="776"/>
      <c r="AG81" s="776"/>
      <c r="AH81" s="776"/>
      <c r="AI81" s="776"/>
      <c r="AJ81" s="776"/>
      <c r="AK81" s="776"/>
      <c r="AL81" s="776"/>
      <c r="AM81" s="776"/>
      <c r="AN81" s="776"/>
      <c r="AO81" s="776"/>
      <c r="AP81" s="776"/>
      <c r="AQ81" s="776"/>
      <c r="AR81" s="776"/>
      <c r="AS81" s="776"/>
      <c r="AT81" s="776"/>
      <c r="AU81" s="776"/>
      <c r="AV81" s="776"/>
      <c r="AW81" s="776"/>
      <c r="AX81" s="776"/>
      <c r="AY81" s="776"/>
      <c r="AZ81" s="776"/>
      <c r="BA81" s="776"/>
      <c r="BB81" s="776"/>
      <c r="BC81" s="776"/>
      <c r="BD81" s="776"/>
      <c r="BE81" s="776"/>
      <c r="BF81" s="776"/>
      <c r="BG81" s="776"/>
      <c r="BH81" s="776"/>
      <c r="BI81" s="776"/>
      <c r="BJ81" s="776"/>
      <c r="BK81" s="776"/>
      <c r="BL81" s="776"/>
      <c r="BM81" s="776"/>
      <c r="BN81" s="776"/>
      <c r="BO81" s="776"/>
      <c r="BP81" s="776"/>
      <c r="BQ81" s="776"/>
      <c r="BR81" s="776"/>
      <c r="BS81" s="776"/>
      <c r="BT81" s="776"/>
      <c r="BU81" s="776"/>
      <c r="BV81" s="776"/>
      <c r="BW81" s="776"/>
      <c r="BX81" s="776"/>
      <c r="BY81" s="776"/>
      <c r="BZ81" s="776"/>
      <c r="CA81" s="776"/>
      <c r="CB81" s="776"/>
      <c r="CC81" s="776"/>
      <c r="CD81" s="776"/>
      <c r="CE81" s="776"/>
      <c r="CF81" s="776"/>
      <c r="CG81" s="776"/>
      <c r="CH81" s="776"/>
      <c r="CI81" s="776"/>
      <c r="CJ81" s="776"/>
      <c r="CK81" s="776"/>
      <c r="CL81" s="776"/>
      <c r="CM81" s="776"/>
      <c r="CN81" s="776"/>
      <c r="CO81" s="776"/>
      <c r="CP81" s="776"/>
      <c r="CQ81" s="776"/>
      <c r="CR81" s="776"/>
      <c r="CS81" s="776"/>
      <c r="CT81" s="776"/>
      <c r="CU81" s="776"/>
      <c r="CV81" s="776"/>
      <c r="CW81" s="776"/>
      <c r="CX81" s="776"/>
      <c r="CY81" s="776"/>
      <c r="CZ81" s="776"/>
      <c r="DA81" s="776"/>
      <c r="DB81" s="776"/>
      <c r="DC81" s="776"/>
      <c r="DD81" s="776"/>
      <c r="DE81" s="776"/>
      <c r="DF81" s="776"/>
      <c r="DG81" s="776"/>
      <c r="DH81" s="776"/>
      <c r="DI81" s="776"/>
      <c r="DJ81" s="776"/>
      <c r="DK81" s="776"/>
      <c r="DL81" s="776"/>
      <c r="DM81" s="776"/>
      <c r="DN81" s="776"/>
      <c r="DO81" s="776"/>
      <c r="DP81" s="776"/>
      <c r="DQ81" s="776"/>
      <c r="DR81" s="776"/>
      <c r="DS81" s="776"/>
      <c r="DT81" s="776"/>
      <c r="DU81" s="776"/>
      <c r="DV81" s="776"/>
      <c r="DW81" s="776"/>
      <c r="DX81" s="776"/>
      <c r="DY81" s="776"/>
      <c r="DZ81" s="776"/>
      <c r="EA81" s="776"/>
      <c r="EB81" s="389"/>
      <c r="EC81" s="392" t="s">
        <v>65</v>
      </c>
    </row>
    <row r="82" spans="1:133" s="390" customFormat="1" ht="15" hidden="1" customHeight="1" outlineLevel="1">
      <c r="A82" s="389"/>
      <c r="B82" s="389"/>
      <c r="C82" s="389"/>
      <c r="D82" s="769" t="s">
        <v>514</v>
      </c>
      <c r="E82" s="780">
        <f>-SUMIFS('Budget Detail'!$J$9:$J$77,'Budget Detail'!$D$9:$D$77,'Monthly-CF'!D82)</f>
        <v>0</v>
      </c>
      <c r="F82" s="771">
        <f>F80</f>
        <v>0</v>
      </c>
      <c r="G82" s="771">
        <f>G80</f>
        <v>0</v>
      </c>
      <c r="H82" s="771">
        <f>F82+G82</f>
        <v>0</v>
      </c>
      <c r="I82" s="802">
        <f t="shared" ref="I82:I84" si="81">SUM(K82:EA82)</f>
        <v>0</v>
      </c>
      <c r="J82" s="389"/>
      <c r="K82" s="776"/>
      <c r="L82" s="776">
        <f>IF(AND(L$10&gt;='Monthly-CF'!$F82,L$10&lt;='Monthly-CF'!$H82),'Monthly-CF'!$E82/('Monthly-CF'!$G82+1),0)</f>
        <v>0</v>
      </c>
      <c r="M82" s="776">
        <f>IF(AND(M$10&gt;='Monthly-CF'!$F82,M$10&lt;='Monthly-CF'!$H82),'Monthly-CF'!$E82/('Monthly-CF'!$G82+1),0)</f>
        <v>0</v>
      </c>
      <c r="N82" s="776">
        <f>IF(AND(N$10&gt;='Monthly-CF'!$F82,N$10&lt;='Monthly-CF'!$H82),'Monthly-CF'!$E82/('Monthly-CF'!$G82+1),0)</f>
        <v>0</v>
      </c>
      <c r="O82" s="776">
        <f>IF(AND(O$10&gt;='Monthly-CF'!$F82,O$10&lt;='Monthly-CF'!$H82),'Monthly-CF'!$E82/('Monthly-CF'!$G82+1),0)</f>
        <v>0</v>
      </c>
      <c r="P82" s="776">
        <f>IF(AND(P$10&gt;='Monthly-CF'!$F82,P$10&lt;='Monthly-CF'!$H82),'Monthly-CF'!$E82/('Monthly-CF'!$G82+1),0)</f>
        <v>0</v>
      </c>
      <c r="Q82" s="776">
        <f>IF(AND(Q$10&gt;='Monthly-CF'!$F82,Q$10&lt;='Monthly-CF'!$H82),'Monthly-CF'!$E82/('Monthly-CF'!$G82+1),0)</f>
        <v>0</v>
      </c>
      <c r="R82" s="776">
        <f>IF(AND(R$10&gt;='Monthly-CF'!$F82,R$10&lt;='Monthly-CF'!$H82),'Monthly-CF'!$E82/('Monthly-CF'!$G82+1),0)</f>
        <v>0</v>
      </c>
      <c r="S82" s="776">
        <f>IF(AND(S$10&gt;='Monthly-CF'!$F82,S$10&lt;='Monthly-CF'!$H82),'Monthly-CF'!$E82/('Monthly-CF'!$G82+1),0)</f>
        <v>0</v>
      </c>
      <c r="T82" s="776">
        <f>IF(AND(T$10&gt;='Monthly-CF'!$F82,T$10&lt;='Monthly-CF'!$H82),'Monthly-CF'!$E82/('Monthly-CF'!$G82+1),0)</f>
        <v>0</v>
      </c>
      <c r="U82" s="776">
        <f>IF(AND(U$10&gt;='Monthly-CF'!$F82,U$10&lt;='Monthly-CF'!$H82),'Monthly-CF'!$E82/('Monthly-CF'!$G82+1),0)</f>
        <v>0</v>
      </c>
      <c r="V82" s="776">
        <f>IF(AND(V$10&gt;='Monthly-CF'!$F82,V$10&lt;='Monthly-CF'!$H82),'Monthly-CF'!$E82/('Monthly-CF'!$G82+1),0)</f>
        <v>0</v>
      </c>
      <c r="W82" s="776">
        <f>IF(AND(W$10&gt;='Monthly-CF'!$F82,W$10&lt;='Monthly-CF'!$H82),'Monthly-CF'!$E82/('Monthly-CF'!$G82+1),0)</f>
        <v>0</v>
      </c>
      <c r="X82" s="776">
        <f>IF(AND(X$10&gt;='Monthly-CF'!$F82,X$10&lt;='Monthly-CF'!$H82),'Monthly-CF'!$E82/('Monthly-CF'!$G82+1),0)</f>
        <v>0</v>
      </c>
      <c r="Y82" s="776">
        <f>IF(AND(Y$10&gt;='Monthly-CF'!$F82,Y$10&lt;='Monthly-CF'!$H82),'Monthly-CF'!$E82/('Monthly-CF'!$G82+1),0)</f>
        <v>0</v>
      </c>
      <c r="Z82" s="776">
        <f>IF(AND(Z$10&gt;='Monthly-CF'!$F82,Z$10&lt;='Monthly-CF'!$H82),'Monthly-CF'!$E82/('Monthly-CF'!$G82+1),0)</f>
        <v>0</v>
      </c>
      <c r="AA82" s="776">
        <f>IF(AND(AA$10&gt;='Monthly-CF'!$F82,AA$10&lt;='Monthly-CF'!$H82),'Monthly-CF'!$E82/('Monthly-CF'!$G82+1),0)</f>
        <v>0</v>
      </c>
      <c r="AB82" s="776">
        <f>IF(AND(AB$10&gt;='Monthly-CF'!$F82,AB$10&lt;='Monthly-CF'!$H82),'Monthly-CF'!$E82/('Monthly-CF'!$G82+1),0)</f>
        <v>0</v>
      </c>
      <c r="AC82" s="776">
        <f>IF(AND(AC$10&gt;='Monthly-CF'!$F82,AC$10&lt;='Monthly-CF'!$H82),'Monthly-CF'!$E82/('Monthly-CF'!$G82+1),0)</f>
        <v>0</v>
      </c>
      <c r="AD82" s="776">
        <f>IF(AND(AD$10&gt;='Monthly-CF'!$F82,AD$10&lt;='Monthly-CF'!$H82),'Monthly-CF'!$E82/('Monthly-CF'!$G82+1),0)</f>
        <v>0</v>
      </c>
      <c r="AE82" s="776">
        <f>IF(AND(AE$10&gt;='Monthly-CF'!$F82,AE$10&lt;='Monthly-CF'!$H82),'Monthly-CF'!$E82/('Monthly-CF'!$G82+1),0)</f>
        <v>0</v>
      </c>
      <c r="AF82" s="776">
        <f>IF(AND(AF$10&gt;='Monthly-CF'!$F82,AF$10&lt;='Monthly-CF'!$H82),'Monthly-CF'!$E82/('Monthly-CF'!$G82+1),0)</f>
        <v>0</v>
      </c>
      <c r="AG82" s="776">
        <f>IF(AND(AG$10&gt;='Monthly-CF'!$F82,AG$10&lt;='Monthly-CF'!$H82),'Monthly-CF'!$E82/('Monthly-CF'!$G82+1),0)</f>
        <v>0</v>
      </c>
      <c r="AH82" s="776">
        <f>IF(AND(AH$10&gt;='Monthly-CF'!$F82,AH$10&lt;='Monthly-CF'!$H82),'Monthly-CF'!$E82/('Monthly-CF'!$G82+1),0)</f>
        <v>0</v>
      </c>
      <c r="AI82" s="776">
        <f>IF(AND(AI$10&gt;='Monthly-CF'!$F82,AI$10&lt;='Monthly-CF'!$H82),'Monthly-CF'!$E82/('Monthly-CF'!$G82+1),0)</f>
        <v>0</v>
      </c>
      <c r="AJ82" s="776">
        <f>IF(AND(AJ$10&gt;='Monthly-CF'!$F82,AJ$10&lt;='Monthly-CF'!$H82),'Monthly-CF'!$E82/('Monthly-CF'!$G82+1),0)</f>
        <v>0</v>
      </c>
      <c r="AK82" s="776">
        <f>IF(AND(AK$10&gt;='Monthly-CF'!$F82,AK$10&lt;='Monthly-CF'!$H82),'Monthly-CF'!$E82/('Monthly-CF'!$G82+1),0)</f>
        <v>0</v>
      </c>
      <c r="AL82" s="776">
        <f>IF(AND(AL$10&gt;='Monthly-CF'!$F82,AL$10&lt;='Monthly-CF'!$H82),'Monthly-CF'!$E82/('Monthly-CF'!$G82+1),0)</f>
        <v>0</v>
      </c>
      <c r="AM82" s="776">
        <f>IF(AND(AM$10&gt;='Monthly-CF'!$F82,AM$10&lt;='Monthly-CF'!$H82),'Monthly-CF'!$E82/('Monthly-CF'!$G82+1),0)</f>
        <v>0</v>
      </c>
      <c r="AN82" s="776">
        <f>IF(AND(AN$10&gt;='Monthly-CF'!$F82,AN$10&lt;='Monthly-CF'!$H82),'Monthly-CF'!$E82/('Monthly-CF'!$G82+1),0)</f>
        <v>0</v>
      </c>
      <c r="AO82" s="776">
        <f>IF(AND(AO$10&gt;='Monthly-CF'!$F82,AO$10&lt;='Monthly-CF'!$H82),'Monthly-CF'!$E82/('Monthly-CF'!$G82+1),0)</f>
        <v>0</v>
      </c>
      <c r="AP82" s="776">
        <f>IF(AND(AP$10&gt;='Monthly-CF'!$F82,AP$10&lt;='Monthly-CF'!$H82),'Monthly-CF'!$E82/('Monthly-CF'!$G82+1),0)</f>
        <v>0</v>
      </c>
      <c r="AQ82" s="776">
        <f>IF(AND(AQ$10&gt;='Monthly-CF'!$F82,AQ$10&lt;='Monthly-CF'!$H82),'Monthly-CF'!$E82/('Monthly-CF'!$G82+1),0)</f>
        <v>0</v>
      </c>
      <c r="AR82" s="776">
        <f>IF(AND(AR$10&gt;='Monthly-CF'!$F82,AR$10&lt;='Monthly-CF'!$H82),'Monthly-CF'!$E82/('Monthly-CF'!$G82+1),0)</f>
        <v>0</v>
      </c>
      <c r="AS82" s="776">
        <f>IF(AND(AS$10&gt;='Monthly-CF'!$F82,AS$10&lt;='Monthly-CF'!$H82),'Monthly-CF'!$E82/('Monthly-CF'!$G82+1),0)</f>
        <v>0</v>
      </c>
      <c r="AT82" s="776">
        <f>IF(AND(AT$10&gt;='Monthly-CF'!$F82,AT$10&lt;='Monthly-CF'!$H82),'Monthly-CF'!$E82/('Monthly-CF'!$G82+1),0)</f>
        <v>0</v>
      </c>
      <c r="AU82" s="776">
        <f>IF(AND(AU$10&gt;='Monthly-CF'!$F82,AU$10&lt;='Monthly-CF'!$H82),'Monthly-CF'!$E82/('Monthly-CF'!$G82+1),0)</f>
        <v>0</v>
      </c>
      <c r="AV82" s="776">
        <f>IF(AND(AV$10&gt;='Monthly-CF'!$F82,AV$10&lt;='Monthly-CF'!$H82),'Monthly-CF'!$E82/('Monthly-CF'!$G82+1),0)</f>
        <v>0</v>
      </c>
      <c r="AW82" s="776">
        <f>IF(AND(AW$10&gt;='Monthly-CF'!$F82,AW$10&lt;='Monthly-CF'!$H82),'Monthly-CF'!$E82/('Monthly-CF'!$G82+1),0)</f>
        <v>0</v>
      </c>
      <c r="AX82" s="776">
        <f>IF(AND(AX$10&gt;='Monthly-CF'!$F82,AX$10&lt;='Monthly-CF'!$H82),'Monthly-CF'!$E82/('Monthly-CF'!$G82+1),0)</f>
        <v>0</v>
      </c>
      <c r="AY82" s="776">
        <f>IF(AND(AY$10&gt;='Monthly-CF'!$F82,AY$10&lt;='Monthly-CF'!$H82),'Monthly-CF'!$E82/('Monthly-CF'!$G82+1),0)</f>
        <v>0</v>
      </c>
      <c r="AZ82" s="776">
        <f>IF(AND(AZ$10&gt;='Monthly-CF'!$F82,AZ$10&lt;='Monthly-CF'!$H82),'Monthly-CF'!$E82/('Monthly-CF'!$G82+1),0)</f>
        <v>0</v>
      </c>
      <c r="BA82" s="776">
        <f>IF(AND(BA$10&gt;='Monthly-CF'!$F82,BA$10&lt;='Monthly-CF'!$H82),'Monthly-CF'!$E82/('Monthly-CF'!$G82+1),0)</f>
        <v>0</v>
      </c>
      <c r="BB82" s="776">
        <f>IF(AND(BB$10&gt;='Monthly-CF'!$F82,BB$10&lt;='Monthly-CF'!$H82),'Monthly-CF'!$E82/('Monthly-CF'!$G82+1),0)</f>
        <v>0</v>
      </c>
      <c r="BC82" s="776">
        <f>IF(AND(BC$10&gt;='Monthly-CF'!$F82,BC$10&lt;='Monthly-CF'!$H82),'Monthly-CF'!$E82/('Monthly-CF'!$G82+1),0)</f>
        <v>0</v>
      </c>
      <c r="BD82" s="776">
        <f>IF(AND(BD$10&gt;='Monthly-CF'!$F82,BD$10&lt;='Monthly-CF'!$H82),'Monthly-CF'!$E82/('Monthly-CF'!$G82+1),0)</f>
        <v>0</v>
      </c>
      <c r="BE82" s="776">
        <f>IF(AND(BE$10&gt;='Monthly-CF'!$F82,BE$10&lt;='Monthly-CF'!$H82),'Monthly-CF'!$E82/('Monthly-CF'!$G82+1),0)</f>
        <v>0</v>
      </c>
      <c r="BF82" s="776">
        <f>IF(AND(BF$10&gt;='Monthly-CF'!$F82,BF$10&lt;='Monthly-CF'!$H82),'Monthly-CF'!$E82/('Monthly-CF'!$G82+1),0)</f>
        <v>0</v>
      </c>
      <c r="BG82" s="776">
        <f>IF(AND(BG$10&gt;='Monthly-CF'!$F82,BG$10&lt;='Monthly-CF'!$H82),'Monthly-CF'!$E82/('Monthly-CF'!$G82+1),0)</f>
        <v>0</v>
      </c>
      <c r="BH82" s="776">
        <f>IF(AND(BH$10&gt;='Monthly-CF'!$F82,BH$10&lt;='Monthly-CF'!$H82),'Monthly-CF'!$E82/('Monthly-CF'!$G82+1),0)</f>
        <v>0</v>
      </c>
      <c r="BI82" s="776">
        <f>IF(AND(BI$10&gt;='Monthly-CF'!$F82,BI$10&lt;='Monthly-CF'!$H82),'Monthly-CF'!$E82/('Monthly-CF'!$G82+1),0)</f>
        <v>0</v>
      </c>
      <c r="BJ82" s="776">
        <f>IF(AND(BJ$10&gt;='Monthly-CF'!$F82,BJ$10&lt;='Monthly-CF'!$H82),'Monthly-CF'!$E82/('Monthly-CF'!$G82+1),0)</f>
        <v>0</v>
      </c>
      <c r="BK82" s="776">
        <f>IF(AND(BK$10&gt;='Monthly-CF'!$F82,BK$10&lt;='Monthly-CF'!$H82),'Monthly-CF'!$E82/('Monthly-CF'!$G82+1),0)</f>
        <v>0</v>
      </c>
      <c r="BL82" s="776">
        <f>IF(AND(BL$10&gt;='Monthly-CF'!$F82,BL$10&lt;='Monthly-CF'!$H82),'Monthly-CF'!$E82/('Monthly-CF'!$G82+1),0)</f>
        <v>0</v>
      </c>
      <c r="BM82" s="776">
        <f>IF(AND(BM$10&gt;='Monthly-CF'!$F82,BM$10&lt;='Monthly-CF'!$H82),'Monthly-CF'!$E82/('Monthly-CF'!$G82+1),0)</f>
        <v>0</v>
      </c>
      <c r="BN82" s="776">
        <f>IF(AND(BN$10&gt;='Monthly-CF'!$F82,BN$10&lt;='Monthly-CF'!$H82),'Monthly-CF'!$E82/('Monthly-CF'!$G82+1),0)</f>
        <v>0</v>
      </c>
      <c r="BO82" s="776">
        <f>IF(AND(BO$10&gt;='Monthly-CF'!$F82,BO$10&lt;='Monthly-CF'!$H82),'Monthly-CF'!$E82/('Monthly-CF'!$G82+1),0)</f>
        <v>0</v>
      </c>
      <c r="BP82" s="776">
        <f>IF(AND(BP$10&gt;='Monthly-CF'!$F82,BP$10&lt;='Monthly-CF'!$H82),'Monthly-CF'!$E82/('Monthly-CF'!$G82+1),0)</f>
        <v>0</v>
      </c>
      <c r="BQ82" s="776">
        <f>IF(AND(BQ$10&gt;='Monthly-CF'!$F82,BQ$10&lt;='Monthly-CF'!$H82),'Monthly-CF'!$E82/('Monthly-CF'!$G82+1),0)</f>
        <v>0</v>
      </c>
      <c r="BR82" s="776">
        <f>IF(AND(BR$10&gt;='Monthly-CF'!$F82,BR$10&lt;='Monthly-CF'!$H82),'Monthly-CF'!$E82/('Monthly-CF'!$G82+1),0)</f>
        <v>0</v>
      </c>
      <c r="BS82" s="776">
        <f>IF(AND(BS$10&gt;='Monthly-CF'!$F82,BS$10&lt;='Monthly-CF'!$H82),'Monthly-CF'!$E82/('Monthly-CF'!$G82+1),0)</f>
        <v>0</v>
      </c>
      <c r="BT82" s="776">
        <f>IF(AND(BT$10&gt;='Monthly-CF'!$F82,BT$10&lt;='Monthly-CF'!$H82),'Monthly-CF'!$E82/('Monthly-CF'!$G82+1),0)</f>
        <v>0</v>
      </c>
      <c r="BU82" s="776">
        <f>IF(AND(BU$10&gt;='Monthly-CF'!$F82,BU$10&lt;='Monthly-CF'!$H82),'Monthly-CF'!$E82/('Monthly-CF'!$G82+1),0)</f>
        <v>0</v>
      </c>
      <c r="BV82" s="776">
        <f>IF(AND(BV$10&gt;='Monthly-CF'!$F82,BV$10&lt;='Monthly-CF'!$H82),'Monthly-CF'!$E82/('Monthly-CF'!$G82+1),0)</f>
        <v>0</v>
      </c>
      <c r="BW82" s="776">
        <f>IF(AND(BW$10&gt;='Monthly-CF'!$F82,BW$10&lt;='Monthly-CF'!$H82),'Monthly-CF'!$E82/('Monthly-CF'!$G82+1),0)</f>
        <v>0</v>
      </c>
      <c r="BX82" s="776">
        <f>IF(AND(BX$10&gt;='Monthly-CF'!$F82,BX$10&lt;='Monthly-CF'!$H82),'Monthly-CF'!$E82/('Monthly-CF'!$G82+1),0)</f>
        <v>0</v>
      </c>
      <c r="BY82" s="776">
        <f>IF(AND(BY$10&gt;='Monthly-CF'!$F82,BY$10&lt;='Monthly-CF'!$H82),'Monthly-CF'!$E82/('Monthly-CF'!$G82+1),0)</f>
        <v>0</v>
      </c>
      <c r="BZ82" s="776">
        <f>IF(AND(BZ$10&gt;='Monthly-CF'!$F82,BZ$10&lt;='Monthly-CF'!$H82),'Monthly-CF'!$E82/('Monthly-CF'!$G82+1),0)</f>
        <v>0</v>
      </c>
      <c r="CA82" s="776">
        <f>IF(AND(CA$10&gt;='Monthly-CF'!$F82,CA$10&lt;='Monthly-CF'!$H82),'Monthly-CF'!$E82/('Monthly-CF'!$G82+1),0)</f>
        <v>0</v>
      </c>
      <c r="CB82" s="776">
        <f>IF(AND(CB$10&gt;='Monthly-CF'!$F82,CB$10&lt;='Monthly-CF'!$H82),'Monthly-CF'!$E82/('Monthly-CF'!$G82+1),0)</f>
        <v>0</v>
      </c>
      <c r="CC82" s="776">
        <f>IF(AND(CC$10&gt;='Monthly-CF'!$F82,CC$10&lt;='Monthly-CF'!$H82),'Monthly-CF'!$E82/('Monthly-CF'!$G82+1),0)</f>
        <v>0</v>
      </c>
      <c r="CD82" s="776">
        <f>IF(AND(CD$10&gt;='Monthly-CF'!$F82,CD$10&lt;='Monthly-CF'!$H82),'Monthly-CF'!$E82/('Monthly-CF'!$G82+1),0)</f>
        <v>0</v>
      </c>
      <c r="CE82" s="776">
        <f>IF(AND(CE$10&gt;='Monthly-CF'!$F82,CE$10&lt;='Monthly-CF'!$H82),'Monthly-CF'!$E82/('Monthly-CF'!$G82+1),0)</f>
        <v>0</v>
      </c>
      <c r="CF82" s="776">
        <f>IF(AND(CF$10&gt;='Monthly-CF'!$F82,CF$10&lt;='Monthly-CF'!$H82),'Monthly-CF'!$E82/('Monthly-CF'!$G82+1),0)</f>
        <v>0</v>
      </c>
      <c r="CG82" s="776">
        <f>IF(AND(CG$10&gt;='Monthly-CF'!$F82,CG$10&lt;='Monthly-CF'!$H82),'Monthly-CF'!$E82/('Monthly-CF'!$G82+1),0)</f>
        <v>0</v>
      </c>
      <c r="CH82" s="776">
        <f>IF(AND(CH$10&gt;='Monthly-CF'!$F82,CH$10&lt;='Monthly-CF'!$H82),'Monthly-CF'!$E82/('Monthly-CF'!$G82+1),0)</f>
        <v>0</v>
      </c>
      <c r="CI82" s="776">
        <f>IF(AND(CI$10&gt;='Monthly-CF'!$F82,CI$10&lt;='Monthly-CF'!$H82),'Monthly-CF'!$E82/('Monthly-CF'!$G82+1),0)</f>
        <v>0</v>
      </c>
      <c r="CJ82" s="776">
        <f>IF(AND(CJ$10&gt;='Monthly-CF'!$F82,CJ$10&lt;='Monthly-CF'!$H82),'Monthly-CF'!$E82/('Monthly-CF'!$G82+1),0)</f>
        <v>0</v>
      </c>
      <c r="CK82" s="776">
        <f>IF(AND(CK$10&gt;='Monthly-CF'!$F82,CK$10&lt;='Monthly-CF'!$H82),'Monthly-CF'!$E82/('Monthly-CF'!$G82+1),0)</f>
        <v>0</v>
      </c>
      <c r="CL82" s="776">
        <f>IF(AND(CL$10&gt;='Monthly-CF'!$F82,CL$10&lt;='Monthly-CF'!$H82),'Monthly-CF'!$E82/('Monthly-CF'!$G82+1),0)</f>
        <v>0</v>
      </c>
      <c r="CM82" s="776">
        <f>IF(AND(CM$10&gt;='Monthly-CF'!$F82,CM$10&lt;='Monthly-CF'!$H82),'Monthly-CF'!$E82/('Monthly-CF'!$G82+1),0)</f>
        <v>0</v>
      </c>
      <c r="CN82" s="776">
        <f>IF(AND(CN$10&gt;='Monthly-CF'!$F82,CN$10&lt;='Monthly-CF'!$H82),'Monthly-CF'!$E82/('Monthly-CF'!$G82+1),0)</f>
        <v>0</v>
      </c>
      <c r="CO82" s="776">
        <f>IF(AND(CO$10&gt;='Monthly-CF'!$F82,CO$10&lt;='Monthly-CF'!$H82),'Monthly-CF'!$E82/('Monthly-CF'!$G82+1),0)</f>
        <v>0</v>
      </c>
      <c r="CP82" s="776">
        <f>IF(AND(CP$10&gt;='Monthly-CF'!$F82,CP$10&lt;='Monthly-CF'!$H82),'Monthly-CF'!$E82/('Monthly-CF'!$G82+1),0)</f>
        <v>0</v>
      </c>
      <c r="CQ82" s="776">
        <f>IF(AND(CQ$10&gt;='Monthly-CF'!$F82,CQ$10&lt;='Monthly-CF'!$H82),'Monthly-CF'!$E82/('Monthly-CF'!$G82+1),0)</f>
        <v>0</v>
      </c>
      <c r="CR82" s="776">
        <f>IF(AND(CR$10&gt;='Monthly-CF'!$F82,CR$10&lt;='Monthly-CF'!$H82),'Monthly-CF'!$E82/('Monthly-CF'!$G82+1),0)</f>
        <v>0</v>
      </c>
      <c r="CS82" s="776">
        <f>IF(AND(CS$10&gt;='Monthly-CF'!$F82,CS$10&lt;='Monthly-CF'!$H82),'Monthly-CF'!$E82/('Monthly-CF'!$G82+1),0)</f>
        <v>0</v>
      </c>
      <c r="CT82" s="776">
        <f>IF(AND(CT$10&gt;='Monthly-CF'!$F82,CT$10&lt;='Monthly-CF'!$H82),'Monthly-CF'!$E82/('Monthly-CF'!$G82+1),0)</f>
        <v>0</v>
      </c>
      <c r="CU82" s="776">
        <f>IF(AND(CU$10&gt;='Monthly-CF'!$F82,CU$10&lt;='Monthly-CF'!$H82),'Monthly-CF'!$E82/('Monthly-CF'!$G82+1),0)</f>
        <v>0</v>
      </c>
      <c r="CV82" s="776">
        <f>IF(AND(CV$10&gt;='Monthly-CF'!$F82,CV$10&lt;='Monthly-CF'!$H82),'Monthly-CF'!$E82/('Monthly-CF'!$G82+1),0)</f>
        <v>0</v>
      </c>
      <c r="CW82" s="776">
        <f>IF(AND(CW$10&gt;='Monthly-CF'!$F82,CW$10&lt;='Monthly-CF'!$H82),'Monthly-CF'!$E82/('Monthly-CF'!$G82+1),0)</f>
        <v>0</v>
      </c>
      <c r="CX82" s="776">
        <f>IF(AND(CX$10&gt;='Monthly-CF'!$F82,CX$10&lt;='Monthly-CF'!$H82),'Monthly-CF'!$E82/('Monthly-CF'!$G82+1),0)</f>
        <v>0</v>
      </c>
      <c r="CY82" s="776">
        <f>IF(AND(CY$10&gt;='Monthly-CF'!$F82,CY$10&lt;='Monthly-CF'!$H82),'Monthly-CF'!$E82/('Monthly-CF'!$G82+1),0)</f>
        <v>0</v>
      </c>
      <c r="CZ82" s="776">
        <f>IF(AND(CZ$10&gt;='Monthly-CF'!$F82,CZ$10&lt;='Monthly-CF'!$H82),'Monthly-CF'!$E82/('Monthly-CF'!$G82+1),0)</f>
        <v>0</v>
      </c>
      <c r="DA82" s="776">
        <f>IF(AND(DA$10&gt;='Monthly-CF'!$F82,DA$10&lt;='Monthly-CF'!$H82),'Monthly-CF'!$E82/('Monthly-CF'!$G82+1),0)</f>
        <v>0</v>
      </c>
      <c r="DB82" s="776">
        <f>IF(AND(DB$10&gt;='Monthly-CF'!$F82,DB$10&lt;='Monthly-CF'!$H82),'Monthly-CF'!$E82/('Monthly-CF'!$G82+1),0)</f>
        <v>0</v>
      </c>
      <c r="DC82" s="776">
        <f>IF(AND(DC$10&gt;='Monthly-CF'!$F82,DC$10&lt;='Monthly-CF'!$H82),'Monthly-CF'!$E82/('Monthly-CF'!$G82+1),0)</f>
        <v>0</v>
      </c>
      <c r="DD82" s="776">
        <f>IF(AND(DD$10&gt;='Monthly-CF'!$F82,DD$10&lt;='Monthly-CF'!$H82),'Monthly-CF'!$E82/('Monthly-CF'!$G82+1),0)</f>
        <v>0</v>
      </c>
      <c r="DE82" s="776">
        <f>IF(AND(DE$10&gt;='Monthly-CF'!$F82,DE$10&lt;='Monthly-CF'!$H82),'Monthly-CF'!$E82/('Monthly-CF'!$G82+1),0)</f>
        <v>0</v>
      </c>
      <c r="DF82" s="776">
        <f>IF(AND(DF$10&gt;='Monthly-CF'!$F82,DF$10&lt;='Monthly-CF'!$H82),'Monthly-CF'!$E82/('Monthly-CF'!$G82+1),0)</f>
        <v>0</v>
      </c>
      <c r="DG82" s="776">
        <f>IF(AND(DG$10&gt;='Monthly-CF'!$F82,DG$10&lt;='Monthly-CF'!$H82),'Monthly-CF'!$E82/('Monthly-CF'!$G82+1),0)</f>
        <v>0</v>
      </c>
      <c r="DH82" s="776">
        <f>IF(AND(DH$10&gt;='Monthly-CF'!$F82,DH$10&lt;='Monthly-CF'!$H82),'Monthly-CF'!$E82/('Monthly-CF'!$G82+1),0)</f>
        <v>0</v>
      </c>
      <c r="DI82" s="776">
        <f>IF(AND(DI$10&gt;='Monthly-CF'!$F82,DI$10&lt;='Monthly-CF'!$H82),'Monthly-CF'!$E82/('Monthly-CF'!$G82+1),0)</f>
        <v>0</v>
      </c>
      <c r="DJ82" s="776">
        <f>IF(AND(DJ$10&gt;='Monthly-CF'!$F82,DJ$10&lt;='Monthly-CF'!$H82),'Monthly-CF'!$E82/('Monthly-CF'!$G82+1),0)</f>
        <v>0</v>
      </c>
      <c r="DK82" s="776">
        <f>IF(AND(DK$10&gt;='Monthly-CF'!$F82,DK$10&lt;='Monthly-CF'!$H82),'Monthly-CF'!$E82/('Monthly-CF'!$G82+1),0)</f>
        <v>0</v>
      </c>
      <c r="DL82" s="776">
        <f>IF(AND(DL$10&gt;='Monthly-CF'!$F82,DL$10&lt;='Monthly-CF'!$H82),'Monthly-CF'!$E82/('Monthly-CF'!$G82+1),0)</f>
        <v>0</v>
      </c>
      <c r="DM82" s="776">
        <f>IF(AND(DM$10&gt;='Monthly-CF'!$F82,DM$10&lt;='Monthly-CF'!$H82),'Monthly-CF'!$E82/('Monthly-CF'!$G82+1),0)</f>
        <v>0</v>
      </c>
      <c r="DN82" s="776">
        <f>IF(AND(DN$10&gt;='Monthly-CF'!$F82,DN$10&lt;='Monthly-CF'!$H82),'Monthly-CF'!$E82/('Monthly-CF'!$G82+1),0)</f>
        <v>0</v>
      </c>
      <c r="DO82" s="776">
        <f>IF(AND(DO$10&gt;='Monthly-CF'!$F82,DO$10&lt;='Monthly-CF'!$H82),'Monthly-CF'!$E82/('Monthly-CF'!$G82+1),0)</f>
        <v>0</v>
      </c>
      <c r="DP82" s="776">
        <f>IF(AND(DP$10&gt;='Monthly-CF'!$F82,DP$10&lt;='Monthly-CF'!$H82),'Monthly-CF'!$E82/('Monthly-CF'!$G82+1),0)</f>
        <v>0</v>
      </c>
      <c r="DQ82" s="776">
        <f>IF(AND(DQ$10&gt;='Monthly-CF'!$F82,DQ$10&lt;='Monthly-CF'!$H82),'Monthly-CF'!$E82/('Monthly-CF'!$G82+1),0)</f>
        <v>0</v>
      </c>
      <c r="DR82" s="776">
        <f>IF(AND(DR$10&gt;='Monthly-CF'!$F82,DR$10&lt;='Monthly-CF'!$H82),'Monthly-CF'!$E82/('Monthly-CF'!$G82+1),0)</f>
        <v>0</v>
      </c>
      <c r="DS82" s="776">
        <f>IF(AND(DS$10&gt;='Monthly-CF'!$F82,DS$10&lt;='Monthly-CF'!$H82),'Monthly-CF'!$E82/('Monthly-CF'!$G82+1),0)</f>
        <v>0</v>
      </c>
      <c r="DT82" s="776">
        <f>IF(AND(DT$10&gt;='Monthly-CF'!$F82,DT$10&lt;='Monthly-CF'!$H82),'Monthly-CF'!$E82/('Monthly-CF'!$G82+1),0)</f>
        <v>0</v>
      </c>
      <c r="DU82" s="776">
        <f>IF(AND(DU$10&gt;='Monthly-CF'!$F82,DU$10&lt;='Monthly-CF'!$H82),'Monthly-CF'!$E82/('Monthly-CF'!$G82+1),0)</f>
        <v>0</v>
      </c>
      <c r="DV82" s="776">
        <f>IF(AND(DV$10&gt;='Monthly-CF'!$F82,DV$10&lt;='Monthly-CF'!$H82),'Monthly-CF'!$E82/('Monthly-CF'!$G82+1),0)</f>
        <v>0</v>
      </c>
      <c r="DW82" s="776">
        <f>IF(AND(DW$10&gt;='Monthly-CF'!$F82,DW$10&lt;='Monthly-CF'!$H82),'Monthly-CF'!$E82/('Monthly-CF'!$G82+1),0)</f>
        <v>0</v>
      </c>
      <c r="DX82" s="776">
        <f>IF(AND(DX$10&gt;='Monthly-CF'!$F82,DX$10&lt;='Monthly-CF'!$H82),'Monthly-CF'!$E82/('Monthly-CF'!$G82+1),0)</f>
        <v>0</v>
      </c>
      <c r="DY82" s="776">
        <f>IF(AND(DY$10&gt;='Monthly-CF'!$F82,DY$10&lt;='Monthly-CF'!$H82),'Monthly-CF'!$E82/('Monthly-CF'!$G82+1),0)</f>
        <v>0</v>
      </c>
      <c r="DZ82" s="776">
        <f>IF(AND(DZ$10&gt;='Monthly-CF'!$F82,DZ$10&lt;='Monthly-CF'!$H82),'Monthly-CF'!$E82/('Monthly-CF'!$G82+1),0)</f>
        <v>0</v>
      </c>
      <c r="EA82" s="776">
        <f>IF(AND(EA$10&gt;='Monthly-CF'!$F82,EA$10&lt;='Monthly-CF'!$H82),'Monthly-CF'!$E82/('Monthly-CF'!$G82+1),0)</f>
        <v>0</v>
      </c>
      <c r="EB82" s="389"/>
      <c r="EC82" s="392" t="s">
        <v>65</v>
      </c>
    </row>
    <row r="83" spans="1:133" s="390" customFormat="1" ht="15" hidden="1" customHeight="1" outlineLevel="1">
      <c r="A83" s="389"/>
      <c r="B83" s="389"/>
      <c r="C83" s="389"/>
      <c r="D83" s="893" t="s">
        <v>485</v>
      </c>
      <c r="E83" s="894">
        <f>Assumptions!E62</f>
        <v>7.4999999999999997E-3</v>
      </c>
      <c r="F83" s="895"/>
      <c r="G83" s="895"/>
      <c r="H83" s="895"/>
      <c r="I83" s="896">
        <f t="shared" ca="1" si="81"/>
        <v>0</v>
      </c>
      <c r="J83" s="389"/>
      <c r="K83" s="897"/>
      <c r="L83" s="897">
        <f t="shared" ref="L83" ca="1" si="82">IF(L114=1,-$I$116*$E$83,0)</f>
        <v>0</v>
      </c>
      <c r="M83" s="897"/>
      <c r="N83" s="897"/>
      <c r="O83" s="897"/>
      <c r="P83" s="897"/>
      <c r="Q83" s="897"/>
      <c r="R83" s="897"/>
      <c r="S83" s="897"/>
      <c r="T83" s="897"/>
      <c r="U83" s="897"/>
      <c r="V83" s="897"/>
      <c r="W83" s="897"/>
      <c r="X83" s="897"/>
      <c r="Y83" s="897"/>
      <c r="Z83" s="897"/>
      <c r="AA83" s="897"/>
      <c r="AB83" s="897"/>
      <c r="AC83" s="897"/>
      <c r="AD83" s="897"/>
      <c r="AE83" s="897"/>
      <c r="AF83" s="897"/>
      <c r="AG83" s="897"/>
      <c r="AH83" s="897"/>
      <c r="AI83" s="897"/>
      <c r="AJ83" s="897"/>
      <c r="AK83" s="897"/>
      <c r="AL83" s="897"/>
      <c r="AM83" s="897"/>
      <c r="AN83" s="897"/>
      <c r="AO83" s="897"/>
      <c r="AP83" s="897"/>
      <c r="AQ83" s="897"/>
      <c r="AR83" s="897"/>
      <c r="AS83" s="897"/>
      <c r="AT83" s="897"/>
      <c r="AU83" s="897"/>
      <c r="AV83" s="897"/>
      <c r="AW83" s="897"/>
      <c r="AX83" s="897"/>
      <c r="AY83" s="897"/>
      <c r="AZ83" s="897"/>
      <c r="BA83" s="897"/>
      <c r="BB83" s="897"/>
      <c r="BC83" s="897"/>
      <c r="BD83" s="897"/>
      <c r="BE83" s="897"/>
      <c r="BF83" s="897"/>
      <c r="BG83" s="897"/>
      <c r="BH83" s="897"/>
      <c r="BI83" s="897"/>
      <c r="BJ83" s="897"/>
      <c r="BK83" s="897"/>
      <c r="BL83" s="897"/>
      <c r="BM83" s="897"/>
      <c r="BN83" s="897"/>
      <c r="BO83" s="897"/>
      <c r="BP83" s="897"/>
      <c r="BQ83" s="897"/>
      <c r="BR83" s="897"/>
      <c r="BS83" s="897"/>
      <c r="BT83" s="897"/>
      <c r="BU83" s="897"/>
      <c r="BV83" s="897"/>
      <c r="BW83" s="897"/>
      <c r="BX83" s="897"/>
      <c r="BY83" s="897"/>
      <c r="BZ83" s="897"/>
      <c r="CA83" s="897"/>
      <c r="CB83" s="897"/>
      <c r="CC83" s="897"/>
      <c r="CD83" s="897"/>
      <c r="CE83" s="897"/>
      <c r="CF83" s="897"/>
      <c r="CG83" s="897"/>
      <c r="CH83" s="897"/>
      <c r="CI83" s="897"/>
      <c r="CJ83" s="897"/>
      <c r="CK83" s="897"/>
      <c r="CL83" s="897"/>
      <c r="CM83" s="897"/>
      <c r="CN83" s="897"/>
      <c r="CO83" s="897"/>
      <c r="CP83" s="897"/>
      <c r="CQ83" s="897"/>
      <c r="CR83" s="897"/>
      <c r="CS83" s="897"/>
      <c r="CT83" s="897"/>
      <c r="CU83" s="897"/>
      <c r="CV83" s="897"/>
      <c r="CW83" s="897"/>
      <c r="CX83" s="897"/>
      <c r="CY83" s="897"/>
      <c r="CZ83" s="897"/>
      <c r="DA83" s="897"/>
      <c r="DB83" s="897"/>
      <c r="DC83" s="897"/>
      <c r="DD83" s="897"/>
      <c r="DE83" s="897"/>
      <c r="DF83" s="897"/>
      <c r="DG83" s="897"/>
      <c r="DH83" s="897"/>
      <c r="DI83" s="897"/>
      <c r="DJ83" s="897"/>
      <c r="DK83" s="897"/>
      <c r="DL83" s="897"/>
      <c r="DM83" s="897"/>
      <c r="DN83" s="897"/>
      <c r="DO83" s="897"/>
      <c r="DP83" s="897"/>
      <c r="DQ83" s="897"/>
      <c r="DR83" s="897"/>
      <c r="DS83" s="897"/>
      <c r="DT83" s="897"/>
      <c r="DU83" s="897"/>
      <c r="DV83" s="897"/>
      <c r="DW83" s="897"/>
      <c r="DX83" s="897"/>
      <c r="DY83" s="897"/>
      <c r="DZ83" s="897"/>
      <c r="EA83" s="897"/>
      <c r="EB83" s="389"/>
      <c r="EC83" s="392" t="s">
        <v>65</v>
      </c>
    </row>
    <row r="84" spans="1:133" s="390" customFormat="1" ht="15" hidden="1" customHeight="1" outlineLevel="1">
      <c r="A84" s="389"/>
      <c r="B84" s="389"/>
      <c r="C84" s="389"/>
      <c r="D84" s="893" t="s">
        <v>80</v>
      </c>
      <c r="E84" s="894">
        <f>Assumptions!E63</f>
        <v>0</v>
      </c>
      <c r="F84" s="895"/>
      <c r="G84" s="895"/>
      <c r="H84" s="895"/>
      <c r="I84" s="896">
        <f t="shared" si="81"/>
        <v>0</v>
      </c>
      <c r="J84" s="389"/>
      <c r="K84" s="897"/>
      <c r="L84" s="897">
        <f t="shared" ref="L84" si="83">-L115*($E$84/12)</f>
        <v>0</v>
      </c>
      <c r="M84" s="897"/>
      <c r="N84" s="897"/>
      <c r="O84" s="897"/>
      <c r="P84" s="897"/>
      <c r="Q84" s="897"/>
      <c r="R84" s="897"/>
      <c r="S84" s="897"/>
      <c r="T84" s="897"/>
      <c r="U84" s="897"/>
      <c r="V84" s="897"/>
      <c r="W84" s="897"/>
      <c r="X84" s="897"/>
      <c r="Y84" s="897"/>
      <c r="Z84" s="897"/>
      <c r="AA84" s="897"/>
      <c r="AB84" s="897"/>
      <c r="AC84" s="897"/>
      <c r="AD84" s="897"/>
      <c r="AE84" s="897"/>
      <c r="AF84" s="897"/>
      <c r="AG84" s="897"/>
      <c r="AH84" s="897"/>
      <c r="AI84" s="897"/>
      <c r="AJ84" s="897"/>
      <c r="AK84" s="897"/>
      <c r="AL84" s="897"/>
      <c r="AM84" s="897"/>
      <c r="AN84" s="897"/>
      <c r="AO84" s="897"/>
      <c r="AP84" s="897"/>
      <c r="AQ84" s="897"/>
      <c r="AR84" s="897"/>
      <c r="AS84" s="897"/>
      <c r="AT84" s="897"/>
      <c r="AU84" s="897"/>
      <c r="AV84" s="897"/>
      <c r="AW84" s="897"/>
      <c r="AX84" s="897"/>
      <c r="AY84" s="897"/>
      <c r="AZ84" s="897"/>
      <c r="BA84" s="897"/>
      <c r="BB84" s="897"/>
      <c r="BC84" s="897"/>
      <c r="BD84" s="897"/>
      <c r="BE84" s="897"/>
      <c r="BF84" s="897"/>
      <c r="BG84" s="897"/>
      <c r="BH84" s="897"/>
      <c r="BI84" s="897"/>
      <c r="BJ84" s="897"/>
      <c r="BK84" s="897"/>
      <c r="BL84" s="897"/>
      <c r="BM84" s="897"/>
      <c r="BN84" s="897"/>
      <c r="BO84" s="897"/>
      <c r="BP84" s="897"/>
      <c r="BQ84" s="897"/>
      <c r="BR84" s="897"/>
      <c r="BS84" s="897"/>
      <c r="BT84" s="897"/>
      <c r="BU84" s="897"/>
      <c r="BV84" s="897"/>
      <c r="BW84" s="897"/>
      <c r="BX84" s="897"/>
      <c r="BY84" s="897"/>
      <c r="BZ84" s="897"/>
      <c r="CA84" s="897"/>
      <c r="CB84" s="897"/>
      <c r="CC84" s="897"/>
      <c r="CD84" s="897"/>
      <c r="CE84" s="897"/>
      <c r="CF84" s="897"/>
      <c r="CG84" s="897"/>
      <c r="CH84" s="897"/>
      <c r="CI84" s="897"/>
      <c r="CJ84" s="897"/>
      <c r="CK84" s="897"/>
      <c r="CL84" s="897"/>
      <c r="CM84" s="897"/>
      <c r="CN84" s="897"/>
      <c r="CO84" s="897"/>
      <c r="CP84" s="897"/>
      <c r="CQ84" s="897"/>
      <c r="CR84" s="897"/>
      <c r="CS84" s="897"/>
      <c r="CT84" s="897"/>
      <c r="CU84" s="897"/>
      <c r="CV84" s="897"/>
      <c r="CW84" s="897"/>
      <c r="CX84" s="897"/>
      <c r="CY84" s="897"/>
      <c r="CZ84" s="897"/>
      <c r="DA84" s="897"/>
      <c r="DB84" s="897"/>
      <c r="DC84" s="897"/>
      <c r="DD84" s="897"/>
      <c r="DE84" s="897"/>
      <c r="DF84" s="897"/>
      <c r="DG84" s="897"/>
      <c r="DH84" s="897"/>
      <c r="DI84" s="897"/>
      <c r="DJ84" s="897"/>
      <c r="DK84" s="897"/>
      <c r="DL84" s="897"/>
      <c r="DM84" s="897"/>
      <c r="DN84" s="897"/>
      <c r="DO84" s="897"/>
      <c r="DP84" s="897"/>
      <c r="DQ84" s="897"/>
      <c r="DR84" s="897"/>
      <c r="DS84" s="897"/>
      <c r="DT84" s="897"/>
      <c r="DU84" s="897"/>
      <c r="DV84" s="897"/>
      <c r="DW84" s="897"/>
      <c r="DX84" s="897"/>
      <c r="DY84" s="897"/>
      <c r="DZ84" s="897"/>
      <c r="EA84" s="897"/>
      <c r="EB84" s="389"/>
      <c r="EC84" s="392" t="s">
        <v>65</v>
      </c>
    </row>
    <row r="85" spans="1:133" s="390" customFormat="1" ht="15" hidden="1" customHeight="1" outlineLevel="1">
      <c r="A85" s="389"/>
      <c r="B85" s="389"/>
      <c r="C85" s="389"/>
      <c r="D85" s="772" t="s">
        <v>196</v>
      </c>
      <c r="E85" s="773"/>
      <c r="F85" s="773"/>
      <c r="G85" s="773"/>
      <c r="H85" s="774"/>
      <c r="I85" s="802">
        <f t="shared" si="80"/>
        <v>0</v>
      </c>
      <c r="J85" s="389"/>
      <c r="K85" s="776"/>
      <c r="L85" s="776"/>
      <c r="M85" s="776"/>
      <c r="N85" s="776"/>
      <c r="O85" s="776"/>
      <c r="P85" s="776"/>
      <c r="Q85" s="776"/>
      <c r="R85" s="776"/>
      <c r="S85" s="776"/>
      <c r="T85" s="776"/>
      <c r="U85" s="776"/>
      <c r="V85" s="776"/>
      <c r="W85" s="776"/>
      <c r="X85" s="776"/>
      <c r="Y85" s="776"/>
      <c r="Z85" s="776"/>
      <c r="AA85" s="776"/>
      <c r="AB85" s="776"/>
      <c r="AC85" s="776"/>
      <c r="AD85" s="776"/>
      <c r="AE85" s="776"/>
      <c r="AF85" s="776"/>
      <c r="AG85" s="776"/>
      <c r="AH85" s="776"/>
      <c r="AI85" s="776"/>
      <c r="AJ85" s="776"/>
      <c r="AK85" s="776"/>
      <c r="AL85" s="776"/>
      <c r="AM85" s="776"/>
      <c r="AN85" s="776"/>
      <c r="AO85" s="776"/>
      <c r="AP85" s="776"/>
      <c r="AQ85" s="776"/>
      <c r="AR85" s="776"/>
      <c r="AS85" s="776"/>
      <c r="AT85" s="776"/>
      <c r="AU85" s="776"/>
      <c r="AV85" s="776"/>
      <c r="AW85" s="776"/>
      <c r="AX85" s="776"/>
      <c r="AY85" s="776"/>
      <c r="AZ85" s="776"/>
      <c r="BA85" s="776"/>
      <c r="BB85" s="776"/>
      <c r="BC85" s="776"/>
      <c r="BD85" s="776"/>
      <c r="BE85" s="776"/>
      <c r="BF85" s="776"/>
      <c r="BG85" s="776"/>
      <c r="BH85" s="776"/>
      <c r="BI85" s="776"/>
      <c r="BJ85" s="776"/>
      <c r="BK85" s="776"/>
      <c r="BL85" s="776"/>
      <c r="BM85" s="776"/>
      <c r="BN85" s="776"/>
      <c r="BO85" s="776"/>
      <c r="BP85" s="776"/>
      <c r="BQ85" s="776"/>
      <c r="BR85" s="776"/>
      <c r="BS85" s="776"/>
      <c r="BT85" s="776"/>
      <c r="BU85" s="776"/>
      <c r="BV85" s="776"/>
      <c r="BW85" s="776"/>
      <c r="BX85" s="776"/>
      <c r="BY85" s="776"/>
      <c r="BZ85" s="776"/>
      <c r="CA85" s="776"/>
      <c r="CB85" s="776"/>
      <c r="CC85" s="776"/>
      <c r="CD85" s="776"/>
      <c r="CE85" s="776"/>
      <c r="CF85" s="776"/>
      <c r="CG85" s="776"/>
      <c r="CH85" s="776"/>
      <c r="CI85" s="776"/>
      <c r="CJ85" s="776"/>
      <c r="CK85" s="776"/>
      <c r="CL85" s="776"/>
      <c r="CM85" s="776"/>
      <c r="CN85" s="776"/>
      <c r="CO85" s="776"/>
      <c r="CP85" s="776"/>
      <c r="CQ85" s="776"/>
      <c r="CR85" s="776"/>
      <c r="CS85" s="776"/>
      <c r="CT85" s="776"/>
      <c r="CU85" s="776"/>
      <c r="CV85" s="776"/>
      <c r="CW85" s="776"/>
      <c r="CX85" s="776"/>
      <c r="CY85" s="776"/>
      <c r="CZ85" s="776"/>
      <c r="DA85" s="776"/>
      <c r="DB85" s="776"/>
      <c r="DC85" s="776"/>
      <c r="DD85" s="776"/>
      <c r="DE85" s="776"/>
      <c r="DF85" s="776"/>
      <c r="DG85" s="776"/>
      <c r="DH85" s="776"/>
      <c r="DI85" s="776"/>
      <c r="DJ85" s="776"/>
      <c r="DK85" s="776"/>
      <c r="DL85" s="776"/>
      <c r="DM85" s="776"/>
      <c r="DN85" s="776"/>
      <c r="DO85" s="776"/>
      <c r="DP85" s="776"/>
      <c r="DQ85" s="776"/>
      <c r="DR85" s="776"/>
      <c r="DS85" s="776"/>
      <c r="DT85" s="776"/>
      <c r="DU85" s="776"/>
      <c r="DV85" s="776"/>
      <c r="DW85" s="776"/>
      <c r="DX85" s="776"/>
      <c r="DY85" s="776"/>
      <c r="DZ85" s="776"/>
      <c r="EA85" s="776"/>
      <c r="EB85" s="389"/>
      <c r="EC85" s="392" t="s">
        <v>65</v>
      </c>
    </row>
    <row r="86" spans="1:133" s="390" customFormat="1" ht="15" hidden="1" customHeight="1" outlineLevel="1">
      <c r="A86" s="389"/>
      <c r="B86" s="389"/>
      <c r="C86" s="389"/>
      <c r="D86" s="775" t="s">
        <v>480</v>
      </c>
      <c r="E86" s="776"/>
      <c r="F86" s="776"/>
      <c r="G86" s="776"/>
      <c r="H86" s="777"/>
      <c r="I86" s="803">
        <f t="shared" ca="1" si="80"/>
        <v>0</v>
      </c>
      <c r="J86" s="389"/>
      <c r="K86" s="779"/>
      <c r="L86" s="779">
        <f ca="1">SUM(L79:L85)</f>
        <v>0</v>
      </c>
      <c r="M86" s="779">
        <f t="shared" ref="M86:BX86" si="84">SUM(M79:M85)</f>
        <v>0</v>
      </c>
      <c r="N86" s="779">
        <f t="shared" si="84"/>
        <v>0</v>
      </c>
      <c r="O86" s="779">
        <f t="shared" si="84"/>
        <v>0</v>
      </c>
      <c r="P86" s="779">
        <f t="shared" si="84"/>
        <v>0</v>
      </c>
      <c r="Q86" s="779">
        <f t="shared" si="84"/>
        <v>0</v>
      </c>
      <c r="R86" s="779">
        <f t="shared" si="84"/>
        <v>0</v>
      </c>
      <c r="S86" s="779">
        <f t="shared" si="84"/>
        <v>0</v>
      </c>
      <c r="T86" s="779">
        <f t="shared" si="84"/>
        <v>0</v>
      </c>
      <c r="U86" s="779">
        <f t="shared" si="84"/>
        <v>0</v>
      </c>
      <c r="V86" s="779">
        <f t="shared" si="84"/>
        <v>0</v>
      </c>
      <c r="W86" s="779">
        <f t="shared" si="84"/>
        <v>0</v>
      </c>
      <c r="X86" s="779">
        <f t="shared" si="84"/>
        <v>0</v>
      </c>
      <c r="Y86" s="779">
        <f t="shared" si="84"/>
        <v>0</v>
      </c>
      <c r="Z86" s="779">
        <f t="shared" si="84"/>
        <v>0</v>
      </c>
      <c r="AA86" s="779">
        <f t="shared" si="84"/>
        <v>0</v>
      </c>
      <c r="AB86" s="779">
        <f t="shared" si="84"/>
        <v>0</v>
      </c>
      <c r="AC86" s="779">
        <f t="shared" si="84"/>
        <v>0</v>
      </c>
      <c r="AD86" s="779">
        <f t="shared" si="84"/>
        <v>0</v>
      </c>
      <c r="AE86" s="779">
        <f t="shared" si="84"/>
        <v>0</v>
      </c>
      <c r="AF86" s="779">
        <f t="shared" si="84"/>
        <v>0</v>
      </c>
      <c r="AG86" s="779">
        <f t="shared" si="84"/>
        <v>0</v>
      </c>
      <c r="AH86" s="779">
        <f t="shared" si="84"/>
        <v>0</v>
      </c>
      <c r="AI86" s="779">
        <f t="shared" si="84"/>
        <v>0</v>
      </c>
      <c r="AJ86" s="779">
        <f t="shared" si="84"/>
        <v>0</v>
      </c>
      <c r="AK86" s="779">
        <f t="shared" si="84"/>
        <v>0</v>
      </c>
      <c r="AL86" s="779">
        <f t="shared" si="84"/>
        <v>0</v>
      </c>
      <c r="AM86" s="779">
        <f t="shared" si="84"/>
        <v>0</v>
      </c>
      <c r="AN86" s="779">
        <f t="shared" si="84"/>
        <v>0</v>
      </c>
      <c r="AO86" s="779">
        <f t="shared" si="84"/>
        <v>0</v>
      </c>
      <c r="AP86" s="779">
        <f t="shared" si="84"/>
        <v>0</v>
      </c>
      <c r="AQ86" s="779">
        <f t="shared" si="84"/>
        <v>0</v>
      </c>
      <c r="AR86" s="779">
        <f t="shared" si="84"/>
        <v>0</v>
      </c>
      <c r="AS86" s="779">
        <f t="shared" si="84"/>
        <v>0</v>
      </c>
      <c r="AT86" s="779">
        <f t="shared" si="84"/>
        <v>0</v>
      </c>
      <c r="AU86" s="779">
        <f t="shared" si="84"/>
        <v>0</v>
      </c>
      <c r="AV86" s="779">
        <f t="shared" si="84"/>
        <v>0</v>
      </c>
      <c r="AW86" s="779">
        <f t="shared" si="84"/>
        <v>0</v>
      </c>
      <c r="AX86" s="779">
        <f t="shared" si="84"/>
        <v>0</v>
      </c>
      <c r="AY86" s="779">
        <f t="shared" si="84"/>
        <v>0</v>
      </c>
      <c r="AZ86" s="779">
        <f t="shared" si="84"/>
        <v>0</v>
      </c>
      <c r="BA86" s="779">
        <f t="shared" si="84"/>
        <v>0</v>
      </c>
      <c r="BB86" s="779">
        <f t="shared" si="84"/>
        <v>0</v>
      </c>
      <c r="BC86" s="779">
        <f t="shared" si="84"/>
        <v>0</v>
      </c>
      <c r="BD86" s="779">
        <f t="shared" si="84"/>
        <v>0</v>
      </c>
      <c r="BE86" s="779">
        <f t="shared" si="84"/>
        <v>0</v>
      </c>
      <c r="BF86" s="779">
        <f t="shared" si="84"/>
        <v>0</v>
      </c>
      <c r="BG86" s="779">
        <f t="shared" si="84"/>
        <v>0</v>
      </c>
      <c r="BH86" s="779">
        <f t="shared" si="84"/>
        <v>0</v>
      </c>
      <c r="BI86" s="779">
        <f t="shared" si="84"/>
        <v>0</v>
      </c>
      <c r="BJ86" s="779">
        <f t="shared" si="84"/>
        <v>0</v>
      </c>
      <c r="BK86" s="779">
        <f t="shared" si="84"/>
        <v>0</v>
      </c>
      <c r="BL86" s="779">
        <f t="shared" si="84"/>
        <v>0</v>
      </c>
      <c r="BM86" s="779">
        <f t="shared" si="84"/>
        <v>0</v>
      </c>
      <c r="BN86" s="779">
        <f t="shared" si="84"/>
        <v>0</v>
      </c>
      <c r="BO86" s="779">
        <f t="shared" si="84"/>
        <v>0</v>
      </c>
      <c r="BP86" s="779">
        <f t="shared" si="84"/>
        <v>0</v>
      </c>
      <c r="BQ86" s="779">
        <f t="shared" si="84"/>
        <v>0</v>
      </c>
      <c r="BR86" s="779">
        <f t="shared" si="84"/>
        <v>0</v>
      </c>
      <c r="BS86" s="779">
        <f t="shared" si="84"/>
        <v>0</v>
      </c>
      <c r="BT86" s="779">
        <f t="shared" si="84"/>
        <v>0</v>
      </c>
      <c r="BU86" s="779">
        <f t="shared" si="84"/>
        <v>0</v>
      </c>
      <c r="BV86" s="779">
        <f t="shared" si="84"/>
        <v>0</v>
      </c>
      <c r="BW86" s="779">
        <f t="shared" si="84"/>
        <v>0</v>
      </c>
      <c r="BX86" s="779">
        <f t="shared" si="84"/>
        <v>0</v>
      </c>
      <c r="BY86" s="779">
        <f t="shared" ref="BY86:EA86" si="85">SUM(BY79:BY85)</f>
        <v>0</v>
      </c>
      <c r="BZ86" s="779">
        <f t="shared" si="85"/>
        <v>0</v>
      </c>
      <c r="CA86" s="779">
        <f t="shared" si="85"/>
        <v>0</v>
      </c>
      <c r="CB86" s="779">
        <f t="shared" si="85"/>
        <v>0</v>
      </c>
      <c r="CC86" s="779">
        <f t="shared" si="85"/>
        <v>0</v>
      </c>
      <c r="CD86" s="779">
        <f t="shared" si="85"/>
        <v>0</v>
      </c>
      <c r="CE86" s="779">
        <f t="shared" si="85"/>
        <v>0</v>
      </c>
      <c r="CF86" s="779">
        <f t="shared" si="85"/>
        <v>0</v>
      </c>
      <c r="CG86" s="779">
        <f t="shared" si="85"/>
        <v>0</v>
      </c>
      <c r="CH86" s="779">
        <f t="shared" si="85"/>
        <v>0</v>
      </c>
      <c r="CI86" s="779">
        <f t="shared" si="85"/>
        <v>0</v>
      </c>
      <c r="CJ86" s="779">
        <f t="shared" si="85"/>
        <v>0</v>
      </c>
      <c r="CK86" s="779">
        <f t="shared" si="85"/>
        <v>0</v>
      </c>
      <c r="CL86" s="779">
        <f t="shared" si="85"/>
        <v>0</v>
      </c>
      <c r="CM86" s="779">
        <f t="shared" si="85"/>
        <v>0</v>
      </c>
      <c r="CN86" s="779">
        <f t="shared" si="85"/>
        <v>0</v>
      </c>
      <c r="CO86" s="779">
        <f t="shared" si="85"/>
        <v>0</v>
      </c>
      <c r="CP86" s="779">
        <f t="shared" si="85"/>
        <v>0</v>
      </c>
      <c r="CQ86" s="779">
        <f t="shared" si="85"/>
        <v>0</v>
      </c>
      <c r="CR86" s="779">
        <f t="shared" si="85"/>
        <v>0</v>
      </c>
      <c r="CS86" s="779">
        <f t="shared" si="85"/>
        <v>0</v>
      </c>
      <c r="CT86" s="779">
        <f t="shared" si="85"/>
        <v>0</v>
      </c>
      <c r="CU86" s="779">
        <f t="shared" si="85"/>
        <v>0</v>
      </c>
      <c r="CV86" s="779">
        <f t="shared" si="85"/>
        <v>0</v>
      </c>
      <c r="CW86" s="779">
        <f t="shared" si="85"/>
        <v>0</v>
      </c>
      <c r="CX86" s="779">
        <f t="shared" si="85"/>
        <v>0</v>
      </c>
      <c r="CY86" s="779">
        <f t="shared" si="85"/>
        <v>0</v>
      </c>
      <c r="CZ86" s="779">
        <f t="shared" si="85"/>
        <v>0</v>
      </c>
      <c r="DA86" s="779">
        <f t="shared" si="85"/>
        <v>0</v>
      </c>
      <c r="DB86" s="779">
        <f t="shared" si="85"/>
        <v>0</v>
      </c>
      <c r="DC86" s="779">
        <f t="shared" si="85"/>
        <v>0</v>
      </c>
      <c r="DD86" s="779">
        <f t="shared" si="85"/>
        <v>0</v>
      </c>
      <c r="DE86" s="779">
        <f t="shared" si="85"/>
        <v>0</v>
      </c>
      <c r="DF86" s="779">
        <f t="shared" si="85"/>
        <v>0</v>
      </c>
      <c r="DG86" s="779">
        <f t="shared" si="85"/>
        <v>0</v>
      </c>
      <c r="DH86" s="779">
        <f t="shared" si="85"/>
        <v>0</v>
      </c>
      <c r="DI86" s="779">
        <f t="shared" si="85"/>
        <v>0</v>
      </c>
      <c r="DJ86" s="779">
        <f t="shared" si="85"/>
        <v>0</v>
      </c>
      <c r="DK86" s="779">
        <f t="shared" si="85"/>
        <v>0</v>
      </c>
      <c r="DL86" s="779">
        <f t="shared" si="85"/>
        <v>0</v>
      </c>
      <c r="DM86" s="779">
        <f t="shared" si="85"/>
        <v>0</v>
      </c>
      <c r="DN86" s="779">
        <f t="shared" si="85"/>
        <v>0</v>
      </c>
      <c r="DO86" s="779">
        <f t="shared" si="85"/>
        <v>0</v>
      </c>
      <c r="DP86" s="779">
        <f t="shared" si="85"/>
        <v>0</v>
      </c>
      <c r="DQ86" s="779">
        <f t="shared" si="85"/>
        <v>0</v>
      </c>
      <c r="DR86" s="779">
        <f t="shared" si="85"/>
        <v>0</v>
      </c>
      <c r="DS86" s="779">
        <f t="shared" si="85"/>
        <v>0</v>
      </c>
      <c r="DT86" s="779">
        <f t="shared" si="85"/>
        <v>0</v>
      </c>
      <c r="DU86" s="779">
        <f t="shared" si="85"/>
        <v>0</v>
      </c>
      <c r="DV86" s="779">
        <f t="shared" si="85"/>
        <v>0</v>
      </c>
      <c r="DW86" s="779">
        <f t="shared" si="85"/>
        <v>0</v>
      </c>
      <c r="DX86" s="779">
        <f t="shared" si="85"/>
        <v>0</v>
      </c>
      <c r="DY86" s="779">
        <f t="shared" si="85"/>
        <v>0</v>
      </c>
      <c r="DZ86" s="779">
        <f t="shared" si="85"/>
        <v>0</v>
      </c>
      <c r="EA86" s="779">
        <f t="shared" si="85"/>
        <v>0</v>
      </c>
      <c r="EB86" s="389"/>
      <c r="EC86" s="392" t="s">
        <v>65</v>
      </c>
    </row>
    <row r="87" spans="1:133" s="390" customFormat="1" ht="15" hidden="1" customHeight="1" outlineLevel="1">
      <c r="A87" s="389"/>
      <c r="B87" s="389"/>
      <c r="C87" s="389"/>
      <c r="D87" s="412"/>
      <c r="E87" s="389"/>
      <c r="F87" s="389"/>
      <c r="G87" s="389"/>
      <c r="H87" s="389"/>
      <c r="I87" s="796"/>
      <c r="J87" s="389"/>
      <c r="K87" s="389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703"/>
      <c r="AB87" s="703"/>
      <c r="AC87" s="703"/>
      <c r="AD87" s="703"/>
      <c r="AE87" s="703"/>
      <c r="AF87" s="703"/>
      <c r="AG87" s="703"/>
      <c r="AH87" s="703"/>
      <c r="AI87" s="703"/>
      <c r="AJ87" s="703"/>
      <c r="AK87" s="703"/>
      <c r="AL87" s="703"/>
      <c r="AM87" s="703"/>
      <c r="AN87" s="703"/>
      <c r="AO87" s="703"/>
      <c r="AP87" s="703"/>
      <c r="AQ87" s="703"/>
      <c r="AR87" s="703"/>
      <c r="AS87" s="703"/>
      <c r="AT87" s="703"/>
      <c r="AU87" s="703"/>
      <c r="AV87" s="703"/>
      <c r="AW87" s="703"/>
      <c r="AX87" s="703"/>
      <c r="AY87" s="703"/>
      <c r="AZ87" s="703"/>
      <c r="BA87" s="703"/>
      <c r="BB87" s="703"/>
      <c r="BC87" s="703"/>
      <c r="BD87" s="703"/>
      <c r="BE87" s="703"/>
      <c r="BF87" s="703"/>
      <c r="BG87" s="703"/>
      <c r="BH87" s="703"/>
      <c r="BI87" s="703"/>
      <c r="BJ87" s="703"/>
      <c r="BK87" s="703"/>
      <c r="BL87" s="703"/>
      <c r="BM87" s="703"/>
      <c r="BN87" s="703"/>
      <c r="BO87" s="703"/>
      <c r="BP87" s="703"/>
      <c r="BQ87" s="703"/>
      <c r="BR87" s="703"/>
      <c r="BS87" s="703"/>
      <c r="BT87" s="703"/>
      <c r="BU87" s="703"/>
      <c r="BV87" s="703"/>
      <c r="BW87" s="703"/>
      <c r="BX87" s="703"/>
      <c r="BY87" s="703"/>
      <c r="BZ87" s="703"/>
      <c r="CA87" s="703"/>
      <c r="CB87" s="703"/>
      <c r="CC87" s="703"/>
      <c r="CD87" s="703"/>
      <c r="CE87" s="703"/>
      <c r="CF87" s="703"/>
      <c r="CG87" s="703"/>
      <c r="CH87" s="703"/>
      <c r="CI87" s="703"/>
      <c r="CJ87" s="703"/>
      <c r="CK87" s="703"/>
      <c r="CL87" s="703"/>
      <c r="CM87" s="703"/>
      <c r="CN87" s="703"/>
      <c r="CO87" s="703"/>
      <c r="CP87" s="703"/>
      <c r="CQ87" s="703"/>
      <c r="CR87" s="703"/>
      <c r="CS87" s="703"/>
      <c r="CT87" s="703"/>
      <c r="CU87" s="703"/>
      <c r="CV87" s="703"/>
      <c r="CW87" s="703"/>
      <c r="CX87" s="703"/>
      <c r="CY87" s="703"/>
      <c r="CZ87" s="703"/>
      <c r="DA87" s="703"/>
      <c r="DB87" s="703"/>
      <c r="DC87" s="703"/>
      <c r="DD87" s="703"/>
      <c r="DE87" s="703"/>
      <c r="DF87" s="703"/>
      <c r="DG87" s="703"/>
      <c r="DH87" s="703"/>
      <c r="DI87" s="703"/>
      <c r="DJ87" s="703"/>
      <c r="DK87" s="703"/>
      <c r="DL87" s="703"/>
      <c r="DM87" s="703"/>
      <c r="DN87" s="703"/>
      <c r="DO87" s="703"/>
      <c r="DP87" s="703"/>
      <c r="DQ87" s="703"/>
      <c r="DR87" s="703"/>
      <c r="DS87" s="703"/>
      <c r="DT87" s="703"/>
      <c r="DU87" s="703"/>
      <c r="DV87" s="703"/>
      <c r="DW87" s="703"/>
      <c r="DX87" s="703"/>
      <c r="DY87" s="703"/>
      <c r="DZ87" s="703"/>
      <c r="EA87" s="703"/>
      <c r="EB87" s="389"/>
      <c r="EC87" s="392" t="s">
        <v>65</v>
      </c>
    </row>
    <row r="88" spans="1:133" s="390" customFormat="1" ht="15" customHeight="1">
      <c r="A88" s="389"/>
      <c r="B88" s="389"/>
      <c r="C88" s="389"/>
      <c r="D88" s="433" t="s">
        <v>493</v>
      </c>
      <c r="E88" s="711"/>
      <c r="F88" s="711"/>
      <c r="G88" s="711"/>
      <c r="H88" s="389"/>
      <c r="I88" s="796"/>
      <c r="J88" s="389"/>
      <c r="K88" s="389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705"/>
      <c r="Y88" s="705"/>
      <c r="Z88" s="705"/>
      <c r="AA88" s="705"/>
      <c r="AB88" s="705"/>
      <c r="AC88" s="705"/>
      <c r="AD88" s="705"/>
      <c r="AE88" s="705"/>
      <c r="AF88" s="705"/>
      <c r="AG88" s="705"/>
      <c r="AH88" s="705"/>
      <c r="AI88" s="705"/>
      <c r="AJ88" s="705"/>
      <c r="AK88" s="705"/>
      <c r="AL88" s="705"/>
      <c r="AM88" s="705"/>
      <c r="AN88" s="705"/>
      <c r="AO88" s="705"/>
      <c r="AP88" s="705"/>
      <c r="AQ88" s="705"/>
      <c r="AR88" s="705"/>
      <c r="AS88" s="705"/>
      <c r="AT88" s="705"/>
      <c r="AU88" s="705"/>
      <c r="AV88" s="705"/>
      <c r="AW88" s="705"/>
      <c r="AX88" s="705"/>
      <c r="AY88" s="705"/>
      <c r="AZ88" s="705"/>
      <c r="BA88" s="705"/>
      <c r="BB88" s="705"/>
      <c r="BC88" s="705"/>
      <c r="BD88" s="705"/>
      <c r="BE88" s="705"/>
      <c r="BF88" s="705"/>
      <c r="BG88" s="705"/>
      <c r="BH88" s="705"/>
      <c r="BI88" s="705"/>
      <c r="BJ88" s="705"/>
      <c r="BK88" s="705"/>
      <c r="BL88" s="705"/>
      <c r="BM88" s="705"/>
      <c r="BN88" s="705"/>
      <c r="BO88" s="705"/>
      <c r="BP88" s="705"/>
      <c r="BQ88" s="705"/>
      <c r="BR88" s="705"/>
      <c r="BS88" s="705"/>
      <c r="BT88" s="705"/>
      <c r="BU88" s="705"/>
      <c r="BV88" s="705"/>
      <c r="BW88" s="705"/>
      <c r="BX88" s="705"/>
      <c r="BY88" s="705"/>
      <c r="BZ88" s="705"/>
      <c r="CA88" s="705"/>
      <c r="CB88" s="705"/>
      <c r="CC88" s="705"/>
      <c r="CD88" s="705"/>
      <c r="CE88" s="705"/>
      <c r="CF88" s="705"/>
      <c r="CG88" s="705"/>
      <c r="CH88" s="705"/>
      <c r="CI88" s="705"/>
      <c r="CJ88" s="705"/>
      <c r="CK88" s="705"/>
      <c r="CL88" s="705"/>
      <c r="CM88" s="705"/>
      <c r="CN88" s="705"/>
      <c r="CO88" s="705"/>
      <c r="CP88" s="705"/>
      <c r="CQ88" s="705"/>
      <c r="CR88" s="705"/>
      <c r="CS88" s="705"/>
      <c r="CT88" s="705"/>
      <c r="CU88" s="705"/>
      <c r="CV88" s="705"/>
      <c r="CW88" s="705"/>
      <c r="CX88" s="705"/>
      <c r="CY88" s="705"/>
      <c r="CZ88" s="705"/>
      <c r="DA88" s="705"/>
      <c r="DB88" s="705"/>
      <c r="DC88" s="705"/>
      <c r="DD88" s="705"/>
      <c r="DE88" s="705"/>
      <c r="DF88" s="705"/>
      <c r="DG88" s="705"/>
      <c r="DH88" s="705"/>
      <c r="DI88" s="705"/>
      <c r="DJ88" s="705"/>
      <c r="DK88" s="705"/>
      <c r="DL88" s="705"/>
      <c r="DM88" s="705"/>
      <c r="DN88" s="705"/>
      <c r="DO88" s="705"/>
      <c r="DP88" s="705"/>
      <c r="DQ88" s="705"/>
      <c r="DR88" s="705"/>
      <c r="DS88" s="705"/>
      <c r="DT88" s="705"/>
      <c r="DU88" s="705"/>
      <c r="DV88" s="705"/>
      <c r="DW88" s="705"/>
      <c r="DX88" s="705"/>
      <c r="DY88" s="705"/>
      <c r="DZ88" s="705"/>
      <c r="EA88" s="705"/>
      <c r="EB88" s="389"/>
      <c r="EC88" s="392" t="s">
        <v>65</v>
      </c>
    </row>
    <row r="89" spans="1:133" s="390" customFormat="1" ht="15" customHeight="1">
      <c r="A89" s="389"/>
      <c r="B89" s="389"/>
      <c r="C89" s="389"/>
      <c r="D89" s="403" t="s">
        <v>43</v>
      </c>
      <c r="E89" s="714"/>
      <c r="F89" s="714"/>
      <c r="G89" s="714"/>
      <c r="H89" s="389"/>
      <c r="I89" s="796">
        <f t="shared" ref="I89:I98" si="86">SUM(K89:EA89)</f>
        <v>-5200000</v>
      </c>
      <c r="J89" s="389"/>
      <c r="K89" s="705">
        <f t="shared" ref="K89:AP89" si="87">K69+K79</f>
        <v>0</v>
      </c>
      <c r="L89" s="705">
        <f t="shared" si="87"/>
        <v>-5200000</v>
      </c>
      <c r="M89" s="705">
        <f t="shared" si="87"/>
        <v>0</v>
      </c>
      <c r="N89" s="705">
        <f t="shared" si="87"/>
        <v>0</v>
      </c>
      <c r="O89" s="705">
        <f t="shared" si="87"/>
        <v>0</v>
      </c>
      <c r="P89" s="705">
        <f t="shared" si="87"/>
        <v>0</v>
      </c>
      <c r="Q89" s="705">
        <f t="shared" si="87"/>
        <v>0</v>
      </c>
      <c r="R89" s="705">
        <f t="shared" si="87"/>
        <v>0</v>
      </c>
      <c r="S89" s="705">
        <f t="shared" si="87"/>
        <v>0</v>
      </c>
      <c r="T89" s="705">
        <f t="shared" si="87"/>
        <v>0</v>
      </c>
      <c r="U89" s="705">
        <f t="shared" si="87"/>
        <v>0</v>
      </c>
      <c r="V89" s="705">
        <f t="shared" si="87"/>
        <v>0</v>
      </c>
      <c r="W89" s="705">
        <f t="shared" si="87"/>
        <v>0</v>
      </c>
      <c r="X89" s="705">
        <f t="shared" si="87"/>
        <v>0</v>
      </c>
      <c r="Y89" s="705">
        <f t="shared" si="87"/>
        <v>0</v>
      </c>
      <c r="Z89" s="705">
        <f t="shared" si="87"/>
        <v>0</v>
      </c>
      <c r="AA89" s="705">
        <f t="shared" si="87"/>
        <v>0</v>
      </c>
      <c r="AB89" s="705">
        <f t="shared" si="87"/>
        <v>0</v>
      </c>
      <c r="AC89" s="705">
        <f t="shared" si="87"/>
        <v>0</v>
      </c>
      <c r="AD89" s="705">
        <f t="shared" si="87"/>
        <v>0</v>
      </c>
      <c r="AE89" s="705">
        <f t="shared" si="87"/>
        <v>0</v>
      </c>
      <c r="AF89" s="705">
        <f t="shared" si="87"/>
        <v>0</v>
      </c>
      <c r="AG89" s="705">
        <f t="shared" si="87"/>
        <v>0</v>
      </c>
      <c r="AH89" s="705">
        <f t="shared" si="87"/>
        <v>0</v>
      </c>
      <c r="AI89" s="705">
        <f t="shared" si="87"/>
        <v>0</v>
      </c>
      <c r="AJ89" s="705">
        <f t="shared" si="87"/>
        <v>0</v>
      </c>
      <c r="AK89" s="705">
        <f t="shared" si="87"/>
        <v>0</v>
      </c>
      <c r="AL89" s="705">
        <f t="shared" si="87"/>
        <v>0</v>
      </c>
      <c r="AM89" s="705">
        <f t="shared" si="87"/>
        <v>0</v>
      </c>
      <c r="AN89" s="705">
        <f t="shared" si="87"/>
        <v>0</v>
      </c>
      <c r="AO89" s="705">
        <f t="shared" si="87"/>
        <v>0</v>
      </c>
      <c r="AP89" s="705">
        <f t="shared" si="87"/>
        <v>0</v>
      </c>
      <c r="AQ89" s="705">
        <f t="shared" ref="AQ89:BV89" si="88">AQ69+AQ79</f>
        <v>0</v>
      </c>
      <c r="AR89" s="705">
        <f t="shared" si="88"/>
        <v>0</v>
      </c>
      <c r="AS89" s="705">
        <f t="shared" si="88"/>
        <v>0</v>
      </c>
      <c r="AT89" s="705">
        <f t="shared" si="88"/>
        <v>0</v>
      </c>
      <c r="AU89" s="705">
        <f t="shared" si="88"/>
        <v>0</v>
      </c>
      <c r="AV89" s="705">
        <f t="shared" si="88"/>
        <v>0</v>
      </c>
      <c r="AW89" s="705">
        <f t="shared" si="88"/>
        <v>0</v>
      </c>
      <c r="AX89" s="705">
        <f t="shared" si="88"/>
        <v>0</v>
      </c>
      <c r="AY89" s="705">
        <f t="shared" si="88"/>
        <v>0</v>
      </c>
      <c r="AZ89" s="705">
        <f t="shared" si="88"/>
        <v>0</v>
      </c>
      <c r="BA89" s="705">
        <f t="shared" si="88"/>
        <v>0</v>
      </c>
      <c r="BB89" s="705">
        <f t="shared" si="88"/>
        <v>0</v>
      </c>
      <c r="BC89" s="705">
        <f t="shared" si="88"/>
        <v>0</v>
      </c>
      <c r="BD89" s="705">
        <f t="shared" si="88"/>
        <v>0</v>
      </c>
      <c r="BE89" s="705">
        <f t="shared" si="88"/>
        <v>0</v>
      </c>
      <c r="BF89" s="705">
        <f t="shared" si="88"/>
        <v>0</v>
      </c>
      <c r="BG89" s="705">
        <f t="shared" si="88"/>
        <v>0</v>
      </c>
      <c r="BH89" s="705">
        <f t="shared" si="88"/>
        <v>0</v>
      </c>
      <c r="BI89" s="705">
        <f t="shared" si="88"/>
        <v>0</v>
      </c>
      <c r="BJ89" s="705">
        <f t="shared" si="88"/>
        <v>0</v>
      </c>
      <c r="BK89" s="705">
        <f t="shared" si="88"/>
        <v>0</v>
      </c>
      <c r="BL89" s="705">
        <f t="shared" si="88"/>
        <v>0</v>
      </c>
      <c r="BM89" s="705">
        <f t="shared" si="88"/>
        <v>0</v>
      </c>
      <c r="BN89" s="705">
        <f t="shared" si="88"/>
        <v>0</v>
      </c>
      <c r="BO89" s="705">
        <f t="shared" si="88"/>
        <v>0</v>
      </c>
      <c r="BP89" s="705">
        <f t="shared" si="88"/>
        <v>0</v>
      </c>
      <c r="BQ89" s="705">
        <f t="shared" si="88"/>
        <v>0</v>
      </c>
      <c r="BR89" s="705">
        <f t="shared" si="88"/>
        <v>0</v>
      </c>
      <c r="BS89" s="705">
        <f t="shared" si="88"/>
        <v>0</v>
      </c>
      <c r="BT89" s="705">
        <f t="shared" si="88"/>
        <v>0</v>
      </c>
      <c r="BU89" s="705">
        <f t="shared" si="88"/>
        <v>0</v>
      </c>
      <c r="BV89" s="705">
        <f t="shared" si="88"/>
        <v>0</v>
      </c>
      <c r="BW89" s="705">
        <f t="shared" ref="BW89:DB89" si="89">BW69+BW79</f>
        <v>0</v>
      </c>
      <c r="BX89" s="705">
        <f t="shared" si="89"/>
        <v>0</v>
      </c>
      <c r="BY89" s="705">
        <f t="shared" si="89"/>
        <v>0</v>
      </c>
      <c r="BZ89" s="705">
        <f t="shared" si="89"/>
        <v>0</v>
      </c>
      <c r="CA89" s="705">
        <f t="shared" si="89"/>
        <v>0</v>
      </c>
      <c r="CB89" s="705">
        <f t="shared" si="89"/>
        <v>0</v>
      </c>
      <c r="CC89" s="705">
        <f t="shared" si="89"/>
        <v>0</v>
      </c>
      <c r="CD89" s="705">
        <f t="shared" si="89"/>
        <v>0</v>
      </c>
      <c r="CE89" s="705">
        <f t="shared" si="89"/>
        <v>0</v>
      </c>
      <c r="CF89" s="705">
        <f t="shared" si="89"/>
        <v>0</v>
      </c>
      <c r="CG89" s="705">
        <f t="shared" si="89"/>
        <v>0</v>
      </c>
      <c r="CH89" s="705">
        <f t="shared" si="89"/>
        <v>0</v>
      </c>
      <c r="CI89" s="705">
        <f t="shared" si="89"/>
        <v>0</v>
      </c>
      <c r="CJ89" s="705">
        <f t="shared" si="89"/>
        <v>0</v>
      </c>
      <c r="CK89" s="705">
        <f t="shared" si="89"/>
        <v>0</v>
      </c>
      <c r="CL89" s="705">
        <f t="shared" si="89"/>
        <v>0</v>
      </c>
      <c r="CM89" s="705">
        <f t="shared" si="89"/>
        <v>0</v>
      </c>
      <c r="CN89" s="705">
        <f t="shared" si="89"/>
        <v>0</v>
      </c>
      <c r="CO89" s="705">
        <f t="shared" si="89"/>
        <v>0</v>
      </c>
      <c r="CP89" s="705">
        <f t="shared" si="89"/>
        <v>0</v>
      </c>
      <c r="CQ89" s="705">
        <f t="shared" si="89"/>
        <v>0</v>
      </c>
      <c r="CR89" s="705">
        <f t="shared" si="89"/>
        <v>0</v>
      </c>
      <c r="CS89" s="705">
        <f t="shared" si="89"/>
        <v>0</v>
      </c>
      <c r="CT89" s="705">
        <f t="shared" si="89"/>
        <v>0</v>
      </c>
      <c r="CU89" s="705">
        <f t="shared" si="89"/>
        <v>0</v>
      </c>
      <c r="CV89" s="705">
        <f t="shared" si="89"/>
        <v>0</v>
      </c>
      <c r="CW89" s="705">
        <f t="shared" si="89"/>
        <v>0</v>
      </c>
      <c r="CX89" s="705">
        <f t="shared" si="89"/>
        <v>0</v>
      </c>
      <c r="CY89" s="705">
        <f t="shared" si="89"/>
        <v>0</v>
      </c>
      <c r="CZ89" s="705">
        <f t="shared" si="89"/>
        <v>0</v>
      </c>
      <c r="DA89" s="705">
        <f t="shared" si="89"/>
        <v>0</v>
      </c>
      <c r="DB89" s="705">
        <f t="shared" si="89"/>
        <v>0</v>
      </c>
      <c r="DC89" s="705">
        <f t="shared" ref="DC89:EA89" si="90">DC69+DC79</f>
        <v>0</v>
      </c>
      <c r="DD89" s="705">
        <f t="shared" si="90"/>
        <v>0</v>
      </c>
      <c r="DE89" s="705">
        <f t="shared" si="90"/>
        <v>0</v>
      </c>
      <c r="DF89" s="705">
        <f t="shared" si="90"/>
        <v>0</v>
      </c>
      <c r="DG89" s="705">
        <f t="shared" si="90"/>
        <v>0</v>
      </c>
      <c r="DH89" s="705">
        <f t="shared" si="90"/>
        <v>0</v>
      </c>
      <c r="DI89" s="705">
        <f t="shared" si="90"/>
        <v>0</v>
      </c>
      <c r="DJ89" s="705">
        <f t="shared" si="90"/>
        <v>0</v>
      </c>
      <c r="DK89" s="705">
        <f t="shared" si="90"/>
        <v>0</v>
      </c>
      <c r="DL89" s="705">
        <f t="shared" si="90"/>
        <v>0</v>
      </c>
      <c r="DM89" s="705">
        <f t="shared" si="90"/>
        <v>0</v>
      </c>
      <c r="DN89" s="705">
        <f t="shared" si="90"/>
        <v>0</v>
      </c>
      <c r="DO89" s="705">
        <f t="shared" si="90"/>
        <v>0</v>
      </c>
      <c r="DP89" s="705">
        <f t="shared" si="90"/>
        <v>0</v>
      </c>
      <c r="DQ89" s="705">
        <f t="shared" si="90"/>
        <v>0</v>
      </c>
      <c r="DR89" s="705">
        <f t="shared" si="90"/>
        <v>0</v>
      </c>
      <c r="DS89" s="705">
        <f t="shared" si="90"/>
        <v>0</v>
      </c>
      <c r="DT89" s="705">
        <f t="shared" si="90"/>
        <v>0</v>
      </c>
      <c r="DU89" s="705">
        <f t="shared" si="90"/>
        <v>0</v>
      </c>
      <c r="DV89" s="705">
        <f t="shared" si="90"/>
        <v>0</v>
      </c>
      <c r="DW89" s="705">
        <f t="shared" si="90"/>
        <v>0</v>
      </c>
      <c r="DX89" s="705">
        <f t="shared" si="90"/>
        <v>0</v>
      </c>
      <c r="DY89" s="705">
        <f t="shared" si="90"/>
        <v>0</v>
      </c>
      <c r="DZ89" s="705">
        <f t="shared" si="90"/>
        <v>0</v>
      </c>
      <c r="EA89" s="705">
        <f t="shared" si="90"/>
        <v>0</v>
      </c>
      <c r="EB89" s="389"/>
      <c r="EC89" s="392" t="s">
        <v>65</v>
      </c>
    </row>
    <row r="90" spans="1:133" s="390" customFormat="1" ht="15" customHeight="1">
      <c r="A90" s="389"/>
      <c r="B90" s="389"/>
      <c r="C90" s="389"/>
      <c r="D90" s="403" t="s">
        <v>21</v>
      </c>
      <c r="E90" s="714"/>
      <c r="F90" s="714"/>
      <c r="G90" s="714"/>
      <c r="H90" s="389"/>
      <c r="I90" s="795">
        <f t="shared" ca="1" si="86"/>
        <v>-38440297.899999999</v>
      </c>
      <c r="J90" s="389"/>
      <c r="K90" s="705">
        <f t="shared" ref="K90:AP90" si="91">K70+K80</f>
        <v>0</v>
      </c>
      <c r="L90" s="705">
        <f t="shared" si="91"/>
        <v>0</v>
      </c>
      <c r="M90" s="705">
        <f t="shared" si="91"/>
        <v>0</v>
      </c>
      <c r="N90" s="705">
        <f t="shared" ca="1" si="91"/>
        <v>-2261193.9941176469</v>
      </c>
      <c r="O90" s="705">
        <f t="shared" ca="1" si="91"/>
        <v>-2261193.9941176469</v>
      </c>
      <c r="P90" s="705">
        <f t="shared" ca="1" si="91"/>
        <v>-2261193.9941176469</v>
      </c>
      <c r="Q90" s="705">
        <f t="shared" ca="1" si="91"/>
        <v>-2261193.9941176469</v>
      </c>
      <c r="R90" s="705">
        <f t="shared" ca="1" si="91"/>
        <v>-2261193.9941176469</v>
      </c>
      <c r="S90" s="705">
        <f t="shared" ca="1" si="91"/>
        <v>-2261193.9941176469</v>
      </c>
      <c r="T90" s="705">
        <f t="shared" ca="1" si="91"/>
        <v>-2261193.9941176469</v>
      </c>
      <c r="U90" s="705">
        <f t="shared" ca="1" si="91"/>
        <v>-2261193.9941176469</v>
      </c>
      <c r="V90" s="705">
        <f t="shared" ca="1" si="91"/>
        <v>-2261193.9941176469</v>
      </c>
      <c r="W90" s="705">
        <f t="shared" ca="1" si="91"/>
        <v>-2261193.9941176469</v>
      </c>
      <c r="X90" s="705">
        <f t="shared" ca="1" si="91"/>
        <v>-2261193.9941176469</v>
      </c>
      <c r="Y90" s="705">
        <f t="shared" ca="1" si="91"/>
        <v>-2261193.9941176469</v>
      </c>
      <c r="Z90" s="705">
        <f t="shared" ca="1" si="91"/>
        <v>-2261193.9941176469</v>
      </c>
      <c r="AA90" s="705">
        <f t="shared" ca="1" si="91"/>
        <v>-2261193.9941176469</v>
      </c>
      <c r="AB90" s="705">
        <f t="shared" ca="1" si="91"/>
        <v>-2261193.9941176469</v>
      </c>
      <c r="AC90" s="705">
        <f t="shared" ca="1" si="91"/>
        <v>-2261193.9941176469</v>
      </c>
      <c r="AD90" s="705">
        <f t="shared" ca="1" si="91"/>
        <v>-2261193.9941176469</v>
      </c>
      <c r="AE90" s="705">
        <f t="shared" si="91"/>
        <v>0</v>
      </c>
      <c r="AF90" s="705">
        <f t="shared" si="91"/>
        <v>0</v>
      </c>
      <c r="AG90" s="705">
        <f t="shared" si="91"/>
        <v>0</v>
      </c>
      <c r="AH90" s="705">
        <f t="shared" si="91"/>
        <v>0</v>
      </c>
      <c r="AI90" s="705">
        <f t="shared" si="91"/>
        <v>0</v>
      </c>
      <c r="AJ90" s="705">
        <f t="shared" si="91"/>
        <v>0</v>
      </c>
      <c r="AK90" s="705">
        <f t="shared" si="91"/>
        <v>0</v>
      </c>
      <c r="AL90" s="705">
        <f t="shared" si="91"/>
        <v>0</v>
      </c>
      <c r="AM90" s="705">
        <f t="shared" si="91"/>
        <v>0</v>
      </c>
      <c r="AN90" s="705">
        <f t="shared" si="91"/>
        <v>0</v>
      </c>
      <c r="AO90" s="705">
        <f t="shared" si="91"/>
        <v>0</v>
      </c>
      <c r="AP90" s="705">
        <f t="shared" si="91"/>
        <v>0</v>
      </c>
      <c r="AQ90" s="705">
        <f t="shared" ref="AQ90:BV90" si="92">AQ70+AQ80</f>
        <v>0</v>
      </c>
      <c r="AR90" s="705">
        <f t="shared" si="92"/>
        <v>0</v>
      </c>
      <c r="AS90" s="705">
        <f t="shared" si="92"/>
        <v>0</v>
      </c>
      <c r="AT90" s="705">
        <f t="shared" si="92"/>
        <v>0</v>
      </c>
      <c r="AU90" s="705">
        <f t="shared" si="92"/>
        <v>0</v>
      </c>
      <c r="AV90" s="705">
        <f t="shared" si="92"/>
        <v>0</v>
      </c>
      <c r="AW90" s="705">
        <f t="shared" si="92"/>
        <v>0</v>
      </c>
      <c r="AX90" s="705">
        <f t="shared" si="92"/>
        <v>0</v>
      </c>
      <c r="AY90" s="705">
        <f t="shared" si="92"/>
        <v>0</v>
      </c>
      <c r="AZ90" s="705">
        <f t="shared" si="92"/>
        <v>0</v>
      </c>
      <c r="BA90" s="705">
        <f t="shared" si="92"/>
        <v>0</v>
      </c>
      <c r="BB90" s="705">
        <f t="shared" si="92"/>
        <v>0</v>
      </c>
      <c r="BC90" s="705">
        <f t="shared" si="92"/>
        <v>0</v>
      </c>
      <c r="BD90" s="705">
        <f t="shared" si="92"/>
        <v>0</v>
      </c>
      <c r="BE90" s="705">
        <f t="shared" si="92"/>
        <v>0</v>
      </c>
      <c r="BF90" s="705">
        <f t="shared" si="92"/>
        <v>0</v>
      </c>
      <c r="BG90" s="705">
        <f t="shared" si="92"/>
        <v>0</v>
      </c>
      <c r="BH90" s="705">
        <f t="shared" si="92"/>
        <v>0</v>
      </c>
      <c r="BI90" s="705">
        <f t="shared" si="92"/>
        <v>0</v>
      </c>
      <c r="BJ90" s="705">
        <f t="shared" si="92"/>
        <v>0</v>
      </c>
      <c r="BK90" s="705">
        <f t="shared" si="92"/>
        <v>0</v>
      </c>
      <c r="BL90" s="705">
        <f t="shared" si="92"/>
        <v>0</v>
      </c>
      <c r="BM90" s="705">
        <f t="shared" si="92"/>
        <v>0</v>
      </c>
      <c r="BN90" s="705">
        <f t="shared" si="92"/>
        <v>0</v>
      </c>
      <c r="BO90" s="705">
        <f t="shared" si="92"/>
        <v>0</v>
      </c>
      <c r="BP90" s="705">
        <f t="shared" si="92"/>
        <v>0</v>
      </c>
      <c r="BQ90" s="705">
        <f t="shared" si="92"/>
        <v>0</v>
      </c>
      <c r="BR90" s="705">
        <f t="shared" si="92"/>
        <v>0</v>
      </c>
      <c r="BS90" s="705">
        <f t="shared" si="92"/>
        <v>0</v>
      </c>
      <c r="BT90" s="705">
        <f t="shared" si="92"/>
        <v>0</v>
      </c>
      <c r="BU90" s="705">
        <f t="shared" si="92"/>
        <v>0</v>
      </c>
      <c r="BV90" s="705">
        <f t="shared" si="92"/>
        <v>0</v>
      </c>
      <c r="BW90" s="705">
        <f t="shared" ref="BW90:DB90" si="93">BW70+BW80</f>
        <v>0</v>
      </c>
      <c r="BX90" s="705">
        <f t="shared" si="93"/>
        <v>0</v>
      </c>
      <c r="BY90" s="705">
        <f t="shared" si="93"/>
        <v>0</v>
      </c>
      <c r="BZ90" s="705">
        <f t="shared" si="93"/>
        <v>0</v>
      </c>
      <c r="CA90" s="705">
        <f t="shared" si="93"/>
        <v>0</v>
      </c>
      <c r="CB90" s="705">
        <f t="shared" si="93"/>
        <v>0</v>
      </c>
      <c r="CC90" s="705">
        <f t="shared" si="93"/>
        <v>0</v>
      </c>
      <c r="CD90" s="705">
        <f t="shared" si="93"/>
        <v>0</v>
      </c>
      <c r="CE90" s="705">
        <f t="shared" si="93"/>
        <v>0</v>
      </c>
      <c r="CF90" s="705">
        <f t="shared" si="93"/>
        <v>0</v>
      </c>
      <c r="CG90" s="705">
        <f t="shared" si="93"/>
        <v>0</v>
      </c>
      <c r="CH90" s="705">
        <f t="shared" si="93"/>
        <v>0</v>
      </c>
      <c r="CI90" s="705">
        <f t="shared" si="93"/>
        <v>0</v>
      </c>
      <c r="CJ90" s="705">
        <f t="shared" si="93"/>
        <v>0</v>
      </c>
      <c r="CK90" s="705">
        <f t="shared" si="93"/>
        <v>0</v>
      </c>
      <c r="CL90" s="705">
        <f t="shared" si="93"/>
        <v>0</v>
      </c>
      <c r="CM90" s="705">
        <f t="shared" si="93"/>
        <v>0</v>
      </c>
      <c r="CN90" s="705">
        <f t="shared" si="93"/>
        <v>0</v>
      </c>
      <c r="CO90" s="705">
        <f t="shared" si="93"/>
        <v>0</v>
      </c>
      <c r="CP90" s="705">
        <f t="shared" si="93"/>
        <v>0</v>
      </c>
      <c r="CQ90" s="705">
        <f t="shared" si="93"/>
        <v>0</v>
      </c>
      <c r="CR90" s="705">
        <f t="shared" si="93"/>
        <v>0</v>
      </c>
      <c r="CS90" s="705">
        <f t="shared" si="93"/>
        <v>0</v>
      </c>
      <c r="CT90" s="705">
        <f t="shared" si="93"/>
        <v>0</v>
      </c>
      <c r="CU90" s="705">
        <f t="shared" si="93"/>
        <v>0</v>
      </c>
      <c r="CV90" s="705">
        <f t="shared" si="93"/>
        <v>0</v>
      </c>
      <c r="CW90" s="705">
        <f t="shared" si="93"/>
        <v>0</v>
      </c>
      <c r="CX90" s="705">
        <f t="shared" si="93"/>
        <v>0</v>
      </c>
      <c r="CY90" s="705">
        <f t="shared" si="93"/>
        <v>0</v>
      </c>
      <c r="CZ90" s="705">
        <f t="shared" si="93"/>
        <v>0</v>
      </c>
      <c r="DA90" s="705">
        <f t="shared" si="93"/>
        <v>0</v>
      </c>
      <c r="DB90" s="705">
        <f t="shared" si="93"/>
        <v>0</v>
      </c>
      <c r="DC90" s="705">
        <f t="shared" ref="DC90:EA90" si="94">DC70+DC80</f>
        <v>0</v>
      </c>
      <c r="DD90" s="705">
        <f t="shared" si="94"/>
        <v>0</v>
      </c>
      <c r="DE90" s="705">
        <f t="shared" si="94"/>
        <v>0</v>
      </c>
      <c r="DF90" s="705">
        <f t="shared" si="94"/>
        <v>0</v>
      </c>
      <c r="DG90" s="705">
        <f t="shared" si="94"/>
        <v>0</v>
      </c>
      <c r="DH90" s="705">
        <f t="shared" si="94"/>
        <v>0</v>
      </c>
      <c r="DI90" s="705">
        <f t="shared" si="94"/>
        <v>0</v>
      </c>
      <c r="DJ90" s="705">
        <f t="shared" si="94"/>
        <v>0</v>
      </c>
      <c r="DK90" s="705">
        <f t="shared" si="94"/>
        <v>0</v>
      </c>
      <c r="DL90" s="705">
        <f t="shared" si="94"/>
        <v>0</v>
      </c>
      <c r="DM90" s="705">
        <f t="shared" si="94"/>
        <v>0</v>
      </c>
      <c r="DN90" s="705">
        <f t="shared" si="94"/>
        <v>0</v>
      </c>
      <c r="DO90" s="705">
        <f t="shared" si="94"/>
        <v>0</v>
      </c>
      <c r="DP90" s="705">
        <f t="shared" si="94"/>
        <v>0</v>
      </c>
      <c r="DQ90" s="705">
        <f t="shared" si="94"/>
        <v>0</v>
      </c>
      <c r="DR90" s="705">
        <f t="shared" si="94"/>
        <v>0</v>
      </c>
      <c r="DS90" s="705">
        <f t="shared" si="94"/>
        <v>0</v>
      </c>
      <c r="DT90" s="705">
        <f t="shared" si="94"/>
        <v>0</v>
      </c>
      <c r="DU90" s="705">
        <f t="shared" si="94"/>
        <v>0</v>
      </c>
      <c r="DV90" s="705">
        <f t="shared" si="94"/>
        <v>0</v>
      </c>
      <c r="DW90" s="705">
        <f t="shared" si="94"/>
        <v>0</v>
      </c>
      <c r="DX90" s="705">
        <f t="shared" si="94"/>
        <v>0</v>
      </c>
      <c r="DY90" s="705">
        <f t="shared" si="94"/>
        <v>0</v>
      </c>
      <c r="DZ90" s="705">
        <f t="shared" si="94"/>
        <v>0</v>
      </c>
      <c r="EA90" s="705">
        <f t="shared" si="94"/>
        <v>0</v>
      </c>
      <c r="EB90" s="389"/>
      <c r="EC90" s="392" t="s">
        <v>65</v>
      </c>
    </row>
    <row r="91" spans="1:133" s="390" customFormat="1" ht="15" customHeight="1">
      <c r="A91" s="389"/>
      <c r="B91" s="389"/>
      <c r="C91" s="389"/>
      <c r="D91" s="403" t="s">
        <v>20</v>
      </c>
      <c r="E91" s="714"/>
      <c r="F91" s="714"/>
      <c r="G91" s="714"/>
      <c r="H91" s="389"/>
      <c r="I91" s="795">
        <f t="shared" ca="1" si="86"/>
        <v>-6649601.1215803167</v>
      </c>
      <c r="J91" s="389"/>
      <c r="K91" s="705">
        <f t="shared" ref="K91:AP91" si="95">K71+K81</f>
        <v>0</v>
      </c>
      <c r="L91" s="705">
        <f t="shared" si="95"/>
        <v>0</v>
      </c>
      <c r="M91" s="705">
        <f t="shared" ca="1" si="95"/>
        <v>-391153.00715178321</v>
      </c>
      <c r="N91" s="705">
        <f t="shared" ca="1" si="95"/>
        <v>-391153.00715178321</v>
      </c>
      <c r="O91" s="705">
        <f t="shared" ca="1" si="95"/>
        <v>-391153.00715178321</v>
      </c>
      <c r="P91" s="705">
        <f t="shared" ca="1" si="95"/>
        <v>-391153.00715178321</v>
      </c>
      <c r="Q91" s="705">
        <f t="shared" ca="1" si="95"/>
        <v>-391153.00715178321</v>
      </c>
      <c r="R91" s="705">
        <f t="shared" ca="1" si="95"/>
        <v>-391153.00715178321</v>
      </c>
      <c r="S91" s="705">
        <f t="shared" ca="1" si="95"/>
        <v>-391153.00715178321</v>
      </c>
      <c r="T91" s="705">
        <f t="shared" ca="1" si="95"/>
        <v>-391153.00715178321</v>
      </c>
      <c r="U91" s="705">
        <f t="shared" ca="1" si="95"/>
        <v>-391153.00715178321</v>
      </c>
      <c r="V91" s="705">
        <f t="shared" ca="1" si="95"/>
        <v>-391153.00715178321</v>
      </c>
      <c r="W91" s="705">
        <f t="shared" ca="1" si="95"/>
        <v>-391153.00715178321</v>
      </c>
      <c r="X91" s="705">
        <f t="shared" ca="1" si="95"/>
        <v>-391153.00715178321</v>
      </c>
      <c r="Y91" s="705">
        <f t="shared" ca="1" si="95"/>
        <v>-391153.00715178321</v>
      </c>
      <c r="Z91" s="705">
        <f t="shared" ca="1" si="95"/>
        <v>-391153.00715178321</v>
      </c>
      <c r="AA91" s="705">
        <f t="shared" ca="1" si="95"/>
        <v>-391153.00715178321</v>
      </c>
      <c r="AB91" s="705">
        <f t="shared" ca="1" si="95"/>
        <v>-391153.00715178321</v>
      </c>
      <c r="AC91" s="705">
        <f t="shared" ca="1" si="95"/>
        <v>-391153.00715178321</v>
      </c>
      <c r="AD91" s="705">
        <f t="shared" si="95"/>
        <v>0</v>
      </c>
      <c r="AE91" s="705">
        <f t="shared" si="95"/>
        <v>0</v>
      </c>
      <c r="AF91" s="705">
        <f t="shared" si="95"/>
        <v>0</v>
      </c>
      <c r="AG91" s="705">
        <f t="shared" si="95"/>
        <v>0</v>
      </c>
      <c r="AH91" s="705">
        <f t="shared" si="95"/>
        <v>0</v>
      </c>
      <c r="AI91" s="705">
        <f t="shared" si="95"/>
        <v>0</v>
      </c>
      <c r="AJ91" s="705">
        <f t="shared" si="95"/>
        <v>0</v>
      </c>
      <c r="AK91" s="705">
        <f t="shared" si="95"/>
        <v>0</v>
      </c>
      <c r="AL91" s="705">
        <f t="shared" si="95"/>
        <v>0</v>
      </c>
      <c r="AM91" s="705">
        <f t="shared" si="95"/>
        <v>0</v>
      </c>
      <c r="AN91" s="705">
        <f t="shared" si="95"/>
        <v>0</v>
      </c>
      <c r="AO91" s="705">
        <f t="shared" si="95"/>
        <v>0</v>
      </c>
      <c r="AP91" s="705">
        <f t="shared" si="95"/>
        <v>0</v>
      </c>
      <c r="AQ91" s="705">
        <f t="shared" ref="AQ91:BV91" si="96">AQ71+AQ81</f>
        <v>0</v>
      </c>
      <c r="AR91" s="705">
        <f t="shared" si="96"/>
        <v>0</v>
      </c>
      <c r="AS91" s="705">
        <f t="shared" si="96"/>
        <v>0</v>
      </c>
      <c r="AT91" s="705">
        <f t="shared" si="96"/>
        <v>0</v>
      </c>
      <c r="AU91" s="705">
        <f t="shared" si="96"/>
        <v>0</v>
      </c>
      <c r="AV91" s="705">
        <f t="shared" si="96"/>
        <v>0</v>
      </c>
      <c r="AW91" s="705">
        <f t="shared" si="96"/>
        <v>0</v>
      </c>
      <c r="AX91" s="705">
        <f t="shared" si="96"/>
        <v>0</v>
      </c>
      <c r="AY91" s="705">
        <f t="shared" si="96"/>
        <v>0</v>
      </c>
      <c r="AZ91" s="705">
        <f t="shared" si="96"/>
        <v>0</v>
      </c>
      <c r="BA91" s="705">
        <f t="shared" si="96"/>
        <v>0</v>
      </c>
      <c r="BB91" s="705">
        <f t="shared" si="96"/>
        <v>0</v>
      </c>
      <c r="BC91" s="705">
        <f t="shared" si="96"/>
        <v>0</v>
      </c>
      <c r="BD91" s="705">
        <f t="shared" si="96"/>
        <v>0</v>
      </c>
      <c r="BE91" s="705">
        <f t="shared" si="96"/>
        <v>0</v>
      </c>
      <c r="BF91" s="705">
        <f t="shared" si="96"/>
        <v>0</v>
      </c>
      <c r="BG91" s="705">
        <f t="shared" si="96"/>
        <v>0</v>
      </c>
      <c r="BH91" s="705">
        <f t="shared" si="96"/>
        <v>0</v>
      </c>
      <c r="BI91" s="705">
        <f t="shared" si="96"/>
        <v>0</v>
      </c>
      <c r="BJ91" s="705">
        <f t="shared" si="96"/>
        <v>0</v>
      </c>
      <c r="BK91" s="705">
        <f t="shared" si="96"/>
        <v>0</v>
      </c>
      <c r="BL91" s="705">
        <f t="shared" si="96"/>
        <v>0</v>
      </c>
      <c r="BM91" s="705">
        <f t="shared" si="96"/>
        <v>0</v>
      </c>
      <c r="BN91" s="705">
        <f t="shared" si="96"/>
        <v>0</v>
      </c>
      <c r="BO91" s="705">
        <f t="shared" si="96"/>
        <v>0</v>
      </c>
      <c r="BP91" s="705">
        <f t="shared" si="96"/>
        <v>0</v>
      </c>
      <c r="BQ91" s="705">
        <f t="shared" si="96"/>
        <v>0</v>
      </c>
      <c r="BR91" s="705">
        <f t="shared" si="96"/>
        <v>0</v>
      </c>
      <c r="BS91" s="705">
        <f t="shared" si="96"/>
        <v>0</v>
      </c>
      <c r="BT91" s="705">
        <f t="shared" si="96"/>
        <v>0</v>
      </c>
      <c r="BU91" s="705">
        <f t="shared" si="96"/>
        <v>0</v>
      </c>
      <c r="BV91" s="705">
        <f t="shared" si="96"/>
        <v>0</v>
      </c>
      <c r="BW91" s="705">
        <f t="shared" ref="BW91:DB91" si="97">BW71+BW81</f>
        <v>0</v>
      </c>
      <c r="BX91" s="705">
        <f t="shared" si="97"/>
        <v>0</v>
      </c>
      <c r="BY91" s="705">
        <f t="shared" si="97"/>
        <v>0</v>
      </c>
      <c r="BZ91" s="705">
        <f t="shared" si="97"/>
        <v>0</v>
      </c>
      <c r="CA91" s="705">
        <f t="shared" si="97"/>
        <v>0</v>
      </c>
      <c r="CB91" s="705">
        <f t="shared" si="97"/>
        <v>0</v>
      </c>
      <c r="CC91" s="705">
        <f t="shared" si="97"/>
        <v>0</v>
      </c>
      <c r="CD91" s="705">
        <f t="shared" si="97"/>
        <v>0</v>
      </c>
      <c r="CE91" s="705">
        <f t="shared" si="97"/>
        <v>0</v>
      </c>
      <c r="CF91" s="705">
        <f t="shared" si="97"/>
        <v>0</v>
      </c>
      <c r="CG91" s="705">
        <f t="shared" si="97"/>
        <v>0</v>
      </c>
      <c r="CH91" s="705">
        <f t="shared" si="97"/>
        <v>0</v>
      </c>
      <c r="CI91" s="705">
        <f t="shared" si="97"/>
        <v>0</v>
      </c>
      <c r="CJ91" s="705">
        <f t="shared" si="97"/>
        <v>0</v>
      </c>
      <c r="CK91" s="705">
        <f t="shared" si="97"/>
        <v>0</v>
      </c>
      <c r="CL91" s="705">
        <f t="shared" si="97"/>
        <v>0</v>
      </c>
      <c r="CM91" s="705">
        <f t="shared" si="97"/>
        <v>0</v>
      </c>
      <c r="CN91" s="705">
        <f t="shared" si="97"/>
        <v>0</v>
      </c>
      <c r="CO91" s="705">
        <f t="shared" si="97"/>
        <v>0</v>
      </c>
      <c r="CP91" s="705">
        <f t="shared" si="97"/>
        <v>0</v>
      </c>
      <c r="CQ91" s="705">
        <f t="shared" si="97"/>
        <v>0</v>
      </c>
      <c r="CR91" s="705">
        <f t="shared" si="97"/>
        <v>0</v>
      </c>
      <c r="CS91" s="705">
        <f t="shared" si="97"/>
        <v>0</v>
      </c>
      <c r="CT91" s="705">
        <f t="shared" si="97"/>
        <v>0</v>
      </c>
      <c r="CU91" s="705">
        <f t="shared" si="97"/>
        <v>0</v>
      </c>
      <c r="CV91" s="705">
        <f t="shared" si="97"/>
        <v>0</v>
      </c>
      <c r="CW91" s="705">
        <f t="shared" si="97"/>
        <v>0</v>
      </c>
      <c r="CX91" s="705">
        <f t="shared" si="97"/>
        <v>0</v>
      </c>
      <c r="CY91" s="705">
        <f t="shared" si="97"/>
        <v>0</v>
      </c>
      <c r="CZ91" s="705">
        <f t="shared" si="97"/>
        <v>0</v>
      </c>
      <c r="DA91" s="705">
        <f t="shared" si="97"/>
        <v>0</v>
      </c>
      <c r="DB91" s="705">
        <f t="shared" si="97"/>
        <v>0</v>
      </c>
      <c r="DC91" s="705">
        <f t="shared" ref="DC91:EA91" si="98">DC71+DC81</f>
        <v>0</v>
      </c>
      <c r="DD91" s="705">
        <f t="shared" si="98"/>
        <v>0</v>
      </c>
      <c r="DE91" s="705">
        <f t="shared" si="98"/>
        <v>0</v>
      </c>
      <c r="DF91" s="705">
        <f t="shared" si="98"/>
        <v>0</v>
      </c>
      <c r="DG91" s="705">
        <f t="shared" si="98"/>
        <v>0</v>
      </c>
      <c r="DH91" s="705">
        <f t="shared" si="98"/>
        <v>0</v>
      </c>
      <c r="DI91" s="705">
        <f t="shared" si="98"/>
        <v>0</v>
      </c>
      <c r="DJ91" s="705">
        <f t="shared" si="98"/>
        <v>0</v>
      </c>
      <c r="DK91" s="705">
        <f t="shared" si="98"/>
        <v>0</v>
      </c>
      <c r="DL91" s="705">
        <f t="shared" si="98"/>
        <v>0</v>
      </c>
      <c r="DM91" s="705">
        <f t="shared" si="98"/>
        <v>0</v>
      </c>
      <c r="DN91" s="705">
        <f t="shared" si="98"/>
        <v>0</v>
      </c>
      <c r="DO91" s="705">
        <f t="shared" si="98"/>
        <v>0</v>
      </c>
      <c r="DP91" s="705">
        <f t="shared" si="98"/>
        <v>0</v>
      </c>
      <c r="DQ91" s="705">
        <f t="shared" si="98"/>
        <v>0</v>
      </c>
      <c r="DR91" s="705">
        <f t="shared" si="98"/>
        <v>0</v>
      </c>
      <c r="DS91" s="705">
        <f t="shared" si="98"/>
        <v>0</v>
      </c>
      <c r="DT91" s="705">
        <f t="shared" si="98"/>
        <v>0</v>
      </c>
      <c r="DU91" s="705">
        <f t="shared" si="98"/>
        <v>0</v>
      </c>
      <c r="DV91" s="705">
        <f t="shared" si="98"/>
        <v>0</v>
      </c>
      <c r="DW91" s="705">
        <f t="shared" si="98"/>
        <v>0</v>
      </c>
      <c r="DX91" s="705">
        <f t="shared" si="98"/>
        <v>0</v>
      </c>
      <c r="DY91" s="705">
        <f t="shared" si="98"/>
        <v>0</v>
      </c>
      <c r="DZ91" s="705">
        <f t="shared" si="98"/>
        <v>0</v>
      </c>
      <c r="EA91" s="705">
        <f t="shared" si="98"/>
        <v>0</v>
      </c>
      <c r="EB91" s="389"/>
      <c r="EC91" s="392" t="s">
        <v>65</v>
      </c>
    </row>
    <row r="92" spans="1:133" s="390" customFormat="1" ht="15" customHeight="1">
      <c r="A92" s="389"/>
      <c r="B92" s="389"/>
      <c r="C92" s="389"/>
      <c r="D92" s="403" t="s">
        <v>514</v>
      </c>
      <c r="E92" s="714"/>
      <c r="F92" s="714"/>
      <c r="G92" s="714"/>
      <c r="H92" s="389"/>
      <c r="I92" s="795">
        <f t="shared" ca="1" si="86"/>
        <v>-1672635.6365120769</v>
      </c>
      <c r="J92" s="389"/>
      <c r="K92" s="705">
        <f t="shared" ref="K92:AP92" si="99">K72+K82</f>
        <v>0</v>
      </c>
      <c r="L92" s="705">
        <f t="shared" si="99"/>
        <v>0</v>
      </c>
      <c r="M92" s="705">
        <f t="shared" si="99"/>
        <v>0</v>
      </c>
      <c r="N92" s="705">
        <f t="shared" ca="1" si="99"/>
        <v>-98390.331559533937</v>
      </c>
      <c r="O92" s="705">
        <f t="shared" ca="1" si="99"/>
        <v>-98390.331559533937</v>
      </c>
      <c r="P92" s="705">
        <f t="shared" ca="1" si="99"/>
        <v>-98390.331559533937</v>
      </c>
      <c r="Q92" s="705">
        <f t="shared" ca="1" si="99"/>
        <v>-98390.331559533937</v>
      </c>
      <c r="R92" s="705">
        <f t="shared" ca="1" si="99"/>
        <v>-98390.331559533937</v>
      </c>
      <c r="S92" s="705">
        <f t="shared" ca="1" si="99"/>
        <v>-98390.331559533937</v>
      </c>
      <c r="T92" s="705">
        <f t="shared" ca="1" si="99"/>
        <v>-98390.331559533937</v>
      </c>
      <c r="U92" s="705">
        <f t="shared" ca="1" si="99"/>
        <v>-98390.331559533937</v>
      </c>
      <c r="V92" s="705">
        <f t="shared" ca="1" si="99"/>
        <v>-98390.331559533937</v>
      </c>
      <c r="W92" s="705">
        <f t="shared" ca="1" si="99"/>
        <v>-98390.331559533937</v>
      </c>
      <c r="X92" s="705">
        <f t="shared" ca="1" si="99"/>
        <v>-98390.331559533937</v>
      </c>
      <c r="Y92" s="705">
        <f t="shared" ca="1" si="99"/>
        <v>-98390.331559533937</v>
      </c>
      <c r="Z92" s="705">
        <f t="shared" ca="1" si="99"/>
        <v>-98390.331559533937</v>
      </c>
      <c r="AA92" s="705">
        <f t="shared" ca="1" si="99"/>
        <v>-98390.331559533937</v>
      </c>
      <c r="AB92" s="705">
        <f t="shared" ca="1" si="99"/>
        <v>-98390.331559533937</v>
      </c>
      <c r="AC92" s="705">
        <f t="shared" ca="1" si="99"/>
        <v>-98390.331559533937</v>
      </c>
      <c r="AD92" s="705">
        <f t="shared" ca="1" si="99"/>
        <v>-98390.331559533937</v>
      </c>
      <c r="AE92" s="705">
        <f t="shared" si="99"/>
        <v>0</v>
      </c>
      <c r="AF92" s="705">
        <f t="shared" si="99"/>
        <v>0</v>
      </c>
      <c r="AG92" s="705">
        <f t="shared" si="99"/>
        <v>0</v>
      </c>
      <c r="AH92" s="705">
        <f t="shared" si="99"/>
        <v>0</v>
      </c>
      <c r="AI92" s="705">
        <f t="shared" si="99"/>
        <v>0</v>
      </c>
      <c r="AJ92" s="705">
        <f t="shared" si="99"/>
        <v>0</v>
      </c>
      <c r="AK92" s="705">
        <f t="shared" si="99"/>
        <v>0</v>
      </c>
      <c r="AL92" s="705">
        <f t="shared" si="99"/>
        <v>0</v>
      </c>
      <c r="AM92" s="705">
        <f t="shared" si="99"/>
        <v>0</v>
      </c>
      <c r="AN92" s="705">
        <f t="shared" si="99"/>
        <v>0</v>
      </c>
      <c r="AO92" s="705">
        <f t="shared" si="99"/>
        <v>0</v>
      </c>
      <c r="AP92" s="705">
        <f t="shared" si="99"/>
        <v>0</v>
      </c>
      <c r="AQ92" s="705">
        <f t="shared" ref="AQ92:BV92" si="100">AQ72+AQ82</f>
        <v>0</v>
      </c>
      <c r="AR92" s="705">
        <f t="shared" si="100"/>
        <v>0</v>
      </c>
      <c r="AS92" s="705">
        <f t="shared" si="100"/>
        <v>0</v>
      </c>
      <c r="AT92" s="705">
        <f t="shared" si="100"/>
        <v>0</v>
      </c>
      <c r="AU92" s="705">
        <f t="shared" si="100"/>
        <v>0</v>
      </c>
      <c r="AV92" s="705">
        <f t="shared" si="100"/>
        <v>0</v>
      </c>
      <c r="AW92" s="705">
        <f t="shared" si="100"/>
        <v>0</v>
      </c>
      <c r="AX92" s="705">
        <f t="shared" si="100"/>
        <v>0</v>
      </c>
      <c r="AY92" s="705">
        <f t="shared" si="100"/>
        <v>0</v>
      </c>
      <c r="AZ92" s="705">
        <f t="shared" si="100"/>
        <v>0</v>
      </c>
      <c r="BA92" s="705">
        <f t="shared" si="100"/>
        <v>0</v>
      </c>
      <c r="BB92" s="705">
        <f t="shared" si="100"/>
        <v>0</v>
      </c>
      <c r="BC92" s="705">
        <f t="shared" si="100"/>
        <v>0</v>
      </c>
      <c r="BD92" s="705">
        <f t="shared" si="100"/>
        <v>0</v>
      </c>
      <c r="BE92" s="705">
        <f t="shared" si="100"/>
        <v>0</v>
      </c>
      <c r="BF92" s="705">
        <f t="shared" si="100"/>
        <v>0</v>
      </c>
      <c r="BG92" s="705">
        <f t="shared" si="100"/>
        <v>0</v>
      </c>
      <c r="BH92" s="705">
        <f t="shared" si="100"/>
        <v>0</v>
      </c>
      <c r="BI92" s="705">
        <f t="shared" si="100"/>
        <v>0</v>
      </c>
      <c r="BJ92" s="705">
        <f t="shared" si="100"/>
        <v>0</v>
      </c>
      <c r="BK92" s="705">
        <f t="shared" si="100"/>
        <v>0</v>
      </c>
      <c r="BL92" s="705">
        <f t="shared" si="100"/>
        <v>0</v>
      </c>
      <c r="BM92" s="705">
        <f t="shared" si="100"/>
        <v>0</v>
      </c>
      <c r="BN92" s="705">
        <f t="shared" si="100"/>
        <v>0</v>
      </c>
      <c r="BO92" s="705">
        <f t="shared" si="100"/>
        <v>0</v>
      </c>
      <c r="BP92" s="705">
        <f t="shared" si="100"/>
        <v>0</v>
      </c>
      <c r="BQ92" s="705">
        <f t="shared" si="100"/>
        <v>0</v>
      </c>
      <c r="BR92" s="705">
        <f t="shared" si="100"/>
        <v>0</v>
      </c>
      <c r="BS92" s="705">
        <f t="shared" si="100"/>
        <v>0</v>
      </c>
      <c r="BT92" s="705">
        <f t="shared" si="100"/>
        <v>0</v>
      </c>
      <c r="BU92" s="705">
        <f t="shared" si="100"/>
        <v>0</v>
      </c>
      <c r="BV92" s="705">
        <f t="shared" si="100"/>
        <v>0</v>
      </c>
      <c r="BW92" s="705">
        <f t="shared" ref="BW92:DB92" si="101">BW72+BW82</f>
        <v>0</v>
      </c>
      <c r="BX92" s="705">
        <f t="shared" si="101"/>
        <v>0</v>
      </c>
      <c r="BY92" s="705">
        <f t="shared" si="101"/>
        <v>0</v>
      </c>
      <c r="BZ92" s="705">
        <f t="shared" si="101"/>
        <v>0</v>
      </c>
      <c r="CA92" s="705">
        <f t="shared" si="101"/>
        <v>0</v>
      </c>
      <c r="CB92" s="705">
        <f t="shared" si="101"/>
        <v>0</v>
      </c>
      <c r="CC92" s="705">
        <f t="shared" si="101"/>
        <v>0</v>
      </c>
      <c r="CD92" s="705">
        <f t="shared" si="101"/>
        <v>0</v>
      </c>
      <c r="CE92" s="705">
        <f t="shared" si="101"/>
        <v>0</v>
      </c>
      <c r="CF92" s="705">
        <f t="shared" si="101"/>
        <v>0</v>
      </c>
      <c r="CG92" s="705">
        <f t="shared" si="101"/>
        <v>0</v>
      </c>
      <c r="CH92" s="705">
        <f t="shared" si="101"/>
        <v>0</v>
      </c>
      <c r="CI92" s="705">
        <f t="shared" si="101"/>
        <v>0</v>
      </c>
      <c r="CJ92" s="705">
        <f t="shared" si="101"/>
        <v>0</v>
      </c>
      <c r="CK92" s="705">
        <f t="shared" si="101"/>
        <v>0</v>
      </c>
      <c r="CL92" s="705">
        <f t="shared" si="101"/>
        <v>0</v>
      </c>
      <c r="CM92" s="705">
        <f t="shared" si="101"/>
        <v>0</v>
      </c>
      <c r="CN92" s="705">
        <f t="shared" si="101"/>
        <v>0</v>
      </c>
      <c r="CO92" s="705">
        <f t="shared" si="101"/>
        <v>0</v>
      </c>
      <c r="CP92" s="705">
        <f t="shared" si="101"/>
        <v>0</v>
      </c>
      <c r="CQ92" s="705">
        <f t="shared" si="101"/>
        <v>0</v>
      </c>
      <c r="CR92" s="705">
        <f t="shared" si="101"/>
        <v>0</v>
      </c>
      <c r="CS92" s="705">
        <f t="shared" si="101"/>
        <v>0</v>
      </c>
      <c r="CT92" s="705">
        <f t="shared" si="101"/>
        <v>0</v>
      </c>
      <c r="CU92" s="705">
        <f t="shared" si="101"/>
        <v>0</v>
      </c>
      <c r="CV92" s="705">
        <f t="shared" si="101"/>
        <v>0</v>
      </c>
      <c r="CW92" s="705">
        <f t="shared" si="101"/>
        <v>0</v>
      </c>
      <c r="CX92" s="705">
        <f t="shared" si="101"/>
        <v>0</v>
      </c>
      <c r="CY92" s="705">
        <f t="shared" si="101"/>
        <v>0</v>
      </c>
      <c r="CZ92" s="705">
        <f t="shared" si="101"/>
        <v>0</v>
      </c>
      <c r="DA92" s="705">
        <f t="shared" si="101"/>
        <v>0</v>
      </c>
      <c r="DB92" s="705">
        <f t="shared" si="101"/>
        <v>0</v>
      </c>
      <c r="DC92" s="705">
        <f t="shared" ref="DC92:EA92" si="102">DC72+DC82</f>
        <v>0</v>
      </c>
      <c r="DD92" s="705">
        <f t="shared" si="102"/>
        <v>0</v>
      </c>
      <c r="DE92" s="705">
        <f t="shared" si="102"/>
        <v>0</v>
      </c>
      <c r="DF92" s="705">
        <f t="shared" si="102"/>
        <v>0</v>
      </c>
      <c r="DG92" s="705">
        <f t="shared" si="102"/>
        <v>0</v>
      </c>
      <c r="DH92" s="705">
        <f t="shared" si="102"/>
        <v>0</v>
      </c>
      <c r="DI92" s="705">
        <f t="shared" si="102"/>
        <v>0</v>
      </c>
      <c r="DJ92" s="705">
        <f t="shared" si="102"/>
        <v>0</v>
      </c>
      <c r="DK92" s="705">
        <f t="shared" si="102"/>
        <v>0</v>
      </c>
      <c r="DL92" s="705">
        <f t="shared" si="102"/>
        <v>0</v>
      </c>
      <c r="DM92" s="705">
        <f t="shared" si="102"/>
        <v>0</v>
      </c>
      <c r="DN92" s="705">
        <f t="shared" si="102"/>
        <v>0</v>
      </c>
      <c r="DO92" s="705">
        <f t="shared" si="102"/>
        <v>0</v>
      </c>
      <c r="DP92" s="705">
        <f t="shared" si="102"/>
        <v>0</v>
      </c>
      <c r="DQ92" s="705">
        <f t="shared" si="102"/>
        <v>0</v>
      </c>
      <c r="DR92" s="705">
        <f t="shared" si="102"/>
        <v>0</v>
      </c>
      <c r="DS92" s="705">
        <f t="shared" si="102"/>
        <v>0</v>
      </c>
      <c r="DT92" s="705">
        <f t="shared" si="102"/>
        <v>0</v>
      </c>
      <c r="DU92" s="705">
        <f t="shared" si="102"/>
        <v>0</v>
      </c>
      <c r="DV92" s="705">
        <f t="shared" si="102"/>
        <v>0</v>
      </c>
      <c r="DW92" s="705">
        <f t="shared" si="102"/>
        <v>0</v>
      </c>
      <c r="DX92" s="705">
        <f t="shared" si="102"/>
        <v>0</v>
      </c>
      <c r="DY92" s="705">
        <f t="shared" si="102"/>
        <v>0</v>
      </c>
      <c r="DZ92" s="705">
        <f t="shared" si="102"/>
        <v>0</v>
      </c>
      <c r="EA92" s="705">
        <f t="shared" si="102"/>
        <v>0</v>
      </c>
      <c r="EB92" s="389"/>
      <c r="EC92" s="392" t="s">
        <v>65</v>
      </c>
    </row>
    <row r="93" spans="1:133" s="390" customFormat="1" ht="15" customHeight="1">
      <c r="A93" s="389"/>
      <c r="B93" s="389"/>
      <c r="C93" s="389"/>
      <c r="D93" s="403" t="s">
        <v>485</v>
      </c>
      <c r="E93" s="714"/>
      <c r="F93" s="714"/>
      <c r="G93" s="714"/>
      <c r="H93" s="389"/>
      <c r="I93" s="795">
        <f t="shared" ca="1" si="86"/>
        <v>-247429.14882842259</v>
      </c>
      <c r="J93" s="389"/>
      <c r="K93" s="705">
        <f t="shared" ref="K93:AP93" si="103">K73+K83</f>
        <v>0</v>
      </c>
      <c r="L93" s="705">
        <f t="shared" ca="1" si="103"/>
        <v>0</v>
      </c>
      <c r="M93" s="705">
        <f t="shared" ca="1" si="103"/>
        <v>0</v>
      </c>
      <c r="N93" s="705">
        <f t="shared" ca="1" si="103"/>
        <v>0</v>
      </c>
      <c r="O93" s="705">
        <f t="shared" ca="1" si="103"/>
        <v>0</v>
      </c>
      <c r="P93" s="705">
        <f t="shared" ca="1" si="103"/>
        <v>0</v>
      </c>
      <c r="Q93" s="705">
        <f t="shared" ca="1" si="103"/>
        <v>0</v>
      </c>
      <c r="R93" s="705">
        <f t="shared" ca="1" si="103"/>
        <v>0</v>
      </c>
      <c r="S93" s="705">
        <f t="shared" ca="1" si="103"/>
        <v>-247429.14882842259</v>
      </c>
      <c r="T93" s="705">
        <f t="shared" ca="1" si="103"/>
        <v>0</v>
      </c>
      <c r="U93" s="705">
        <f t="shared" ca="1" si="103"/>
        <v>0</v>
      </c>
      <c r="V93" s="705">
        <f t="shared" ca="1" si="103"/>
        <v>0</v>
      </c>
      <c r="W93" s="705">
        <f t="shared" ca="1" si="103"/>
        <v>0</v>
      </c>
      <c r="X93" s="705">
        <f t="shared" ca="1" si="103"/>
        <v>0</v>
      </c>
      <c r="Y93" s="705">
        <f t="shared" ca="1" si="103"/>
        <v>0</v>
      </c>
      <c r="Z93" s="705">
        <f t="shared" ca="1" si="103"/>
        <v>0</v>
      </c>
      <c r="AA93" s="705">
        <f t="shared" ca="1" si="103"/>
        <v>0</v>
      </c>
      <c r="AB93" s="705">
        <f t="shared" ca="1" si="103"/>
        <v>0</v>
      </c>
      <c r="AC93" s="705">
        <f t="shared" ca="1" si="103"/>
        <v>0</v>
      </c>
      <c r="AD93" s="705">
        <f t="shared" ca="1" si="103"/>
        <v>0</v>
      </c>
      <c r="AE93" s="705">
        <f t="shared" ca="1" si="103"/>
        <v>0</v>
      </c>
      <c r="AF93" s="705">
        <f t="shared" ca="1" si="103"/>
        <v>0</v>
      </c>
      <c r="AG93" s="705">
        <f t="shared" ca="1" si="103"/>
        <v>0</v>
      </c>
      <c r="AH93" s="705">
        <f t="shared" ca="1" si="103"/>
        <v>0</v>
      </c>
      <c r="AI93" s="705">
        <f t="shared" ca="1" si="103"/>
        <v>0</v>
      </c>
      <c r="AJ93" s="705">
        <f t="shared" ca="1" si="103"/>
        <v>0</v>
      </c>
      <c r="AK93" s="705">
        <f t="shared" ca="1" si="103"/>
        <v>0</v>
      </c>
      <c r="AL93" s="705">
        <f t="shared" ca="1" si="103"/>
        <v>0</v>
      </c>
      <c r="AM93" s="705">
        <f t="shared" ca="1" si="103"/>
        <v>0</v>
      </c>
      <c r="AN93" s="705">
        <f t="shared" ca="1" si="103"/>
        <v>0</v>
      </c>
      <c r="AO93" s="705">
        <f t="shared" ca="1" si="103"/>
        <v>0</v>
      </c>
      <c r="AP93" s="705">
        <f t="shared" ca="1" si="103"/>
        <v>0</v>
      </c>
      <c r="AQ93" s="705">
        <f t="shared" ref="AQ93:BV93" ca="1" si="104">AQ73+AQ83</f>
        <v>0</v>
      </c>
      <c r="AR93" s="705">
        <f t="shared" ca="1" si="104"/>
        <v>0</v>
      </c>
      <c r="AS93" s="705">
        <f t="shared" ca="1" si="104"/>
        <v>0</v>
      </c>
      <c r="AT93" s="705">
        <f t="shared" ca="1" si="104"/>
        <v>0</v>
      </c>
      <c r="AU93" s="705">
        <f t="shared" ca="1" si="104"/>
        <v>0</v>
      </c>
      <c r="AV93" s="705">
        <f t="shared" ca="1" si="104"/>
        <v>0</v>
      </c>
      <c r="AW93" s="705">
        <f t="shared" ca="1" si="104"/>
        <v>0</v>
      </c>
      <c r="AX93" s="705">
        <f t="shared" ca="1" si="104"/>
        <v>0</v>
      </c>
      <c r="AY93" s="705">
        <f t="shared" ca="1" si="104"/>
        <v>0</v>
      </c>
      <c r="AZ93" s="705">
        <f t="shared" ca="1" si="104"/>
        <v>0</v>
      </c>
      <c r="BA93" s="705">
        <f t="shared" ca="1" si="104"/>
        <v>0</v>
      </c>
      <c r="BB93" s="705">
        <f t="shared" ca="1" si="104"/>
        <v>0</v>
      </c>
      <c r="BC93" s="705">
        <f t="shared" ca="1" si="104"/>
        <v>0</v>
      </c>
      <c r="BD93" s="705">
        <f t="shared" ca="1" si="104"/>
        <v>0</v>
      </c>
      <c r="BE93" s="705">
        <f t="shared" ca="1" si="104"/>
        <v>0</v>
      </c>
      <c r="BF93" s="705">
        <f t="shared" ca="1" si="104"/>
        <v>0</v>
      </c>
      <c r="BG93" s="705">
        <f t="shared" ca="1" si="104"/>
        <v>0</v>
      </c>
      <c r="BH93" s="705">
        <f t="shared" ca="1" si="104"/>
        <v>0</v>
      </c>
      <c r="BI93" s="705">
        <f t="shared" ca="1" si="104"/>
        <v>0</v>
      </c>
      <c r="BJ93" s="705">
        <f t="shared" ca="1" si="104"/>
        <v>0</v>
      </c>
      <c r="BK93" s="705">
        <f t="shared" ca="1" si="104"/>
        <v>0</v>
      </c>
      <c r="BL93" s="705">
        <f t="shared" ca="1" si="104"/>
        <v>0</v>
      </c>
      <c r="BM93" s="705">
        <f t="shared" ca="1" si="104"/>
        <v>0</v>
      </c>
      <c r="BN93" s="705">
        <f t="shared" ca="1" si="104"/>
        <v>0</v>
      </c>
      <c r="BO93" s="705">
        <f t="shared" ca="1" si="104"/>
        <v>0</v>
      </c>
      <c r="BP93" s="705">
        <f t="shared" ca="1" si="104"/>
        <v>0</v>
      </c>
      <c r="BQ93" s="705">
        <f t="shared" ca="1" si="104"/>
        <v>0</v>
      </c>
      <c r="BR93" s="705">
        <f t="shared" ca="1" si="104"/>
        <v>0</v>
      </c>
      <c r="BS93" s="705">
        <f t="shared" ca="1" si="104"/>
        <v>0</v>
      </c>
      <c r="BT93" s="705">
        <f t="shared" ca="1" si="104"/>
        <v>0</v>
      </c>
      <c r="BU93" s="705">
        <f t="shared" ca="1" si="104"/>
        <v>0</v>
      </c>
      <c r="BV93" s="705">
        <f t="shared" ca="1" si="104"/>
        <v>0</v>
      </c>
      <c r="BW93" s="705">
        <f t="shared" ref="BW93:DB93" ca="1" si="105">BW73+BW83</f>
        <v>0</v>
      </c>
      <c r="BX93" s="705">
        <f t="shared" ca="1" si="105"/>
        <v>0</v>
      </c>
      <c r="BY93" s="705">
        <f t="shared" ca="1" si="105"/>
        <v>0</v>
      </c>
      <c r="BZ93" s="705">
        <f t="shared" ca="1" si="105"/>
        <v>0</v>
      </c>
      <c r="CA93" s="705">
        <f t="shared" ca="1" si="105"/>
        <v>0</v>
      </c>
      <c r="CB93" s="705">
        <f t="shared" ca="1" si="105"/>
        <v>0</v>
      </c>
      <c r="CC93" s="705">
        <f t="shared" ca="1" si="105"/>
        <v>0</v>
      </c>
      <c r="CD93" s="705">
        <f t="shared" ca="1" si="105"/>
        <v>0</v>
      </c>
      <c r="CE93" s="705">
        <f t="shared" ca="1" si="105"/>
        <v>0</v>
      </c>
      <c r="CF93" s="705">
        <f t="shared" ca="1" si="105"/>
        <v>0</v>
      </c>
      <c r="CG93" s="705">
        <f t="shared" ca="1" si="105"/>
        <v>0</v>
      </c>
      <c r="CH93" s="705">
        <f t="shared" ca="1" si="105"/>
        <v>0</v>
      </c>
      <c r="CI93" s="705">
        <f t="shared" ca="1" si="105"/>
        <v>0</v>
      </c>
      <c r="CJ93" s="705">
        <f t="shared" ca="1" si="105"/>
        <v>0</v>
      </c>
      <c r="CK93" s="705">
        <f t="shared" ca="1" si="105"/>
        <v>0</v>
      </c>
      <c r="CL93" s="705">
        <f t="shared" ca="1" si="105"/>
        <v>0</v>
      </c>
      <c r="CM93" s="705">
        <f t="shared" ca="1" si="105"/>
        <v>0</v>
      </c>
      <c r="CN93" s="705">
        <f t="shared" ca="1" si="105"/>
        <v>0</v>
      </c>
      <c r="CO93" s="705">
        <f t="shared" ca="1" si="105"/>
        <v>0</v>
      </c>
      <c r="CP93" s="705">
        <f t="shared" ca="1" si="105"/>
        <v>0</v>
      </c>
      <c r="CQ93" s="705">
        <f t="shared" ca="1" si="105"/>
        <v>0</v>
      </c>
      <c r="CR93" s="705">
        <f t="shared" ca="1" si="105"/>
        <v>0</v>
      </c>
      <c r="CS93" s="705">
        <f t="shared" ca="1" si="105"/>
        <v>0</v>
      </c>
      <c r="CT93" s="705">
        <f t="shared" ca="1" si="105"/>
        <v>0</v>
      </c>
      <c r="CU93" s="705">
        <f t="shared" ca="1" si="105"/>
        <v>0</v>
      </c>
      <c r="CV93" s="705">
        <f t="shared" ca="1" si="105"/>
        <v>0</v>
      </c>
      <c r="CW93" s="705">
        <f t="shared" ca="1" si="105"/>
        <v>0</v>
      </c>
      <c r="CX93" s="705">
        <f t="shared" ca="1" si="105"/>
        <v>0</v>
      </c>
      <c r="CY93" s="705">
        <f t="shared" ca="1" si="105"/>
        <v>0</v>
      </c>
      <c r="CZ93" s="705">
        <f t="shared" ca="1" si="105"/>
        <v>0</v>
      </c>
      <c r="DA93" s="705">
        <f t="shared" ca="1" si="105"/>
        <v>0</v>
      </c>
      <c r="DB93" s="705">
        <f t="shared" ca="1" si="105"/>
        <v>0</v>
      </c>
      <c r="DC93" s="705">
        <f t="shared" ref="DC93:EA93" ca="1" si="106">DC73+DC83</f>
        <v>0</v>
      </c>
      <c r="DD93" s="705">
        <f t="shared" ca="1" si="106"/>
        <v>0</v>
      </c>
      <c r="DE93" s="705">
        <f t="shared" ca="1" si="106"/>
        <v>0</v>
      </c>
      <c r="DF93" s="705">
        <f t="shared" ca="1" si="106"/>
        <v>0</v>
      </c>
      <c r="DG93" s="705">
        <f t="shared" ca="1" si="106"/>
        <v>0</v>
      </c>
      <c r="DH93" s="705">
        <f t="shared" ca="1" si="106"/>
        <v>0</v>
      </c>
      <c r="DI93" s="705">
        <f t="shared" ca="1" si="106"/>
        <v>0</v>
      </c>
      <c r="DJ93" s="705">
        <f t="shared" ca="1" si="106"/>
        <v>0</v>
      </c>
      <c r="DK93" s="705">
        <f t="shared" ca="1" si="106"/>
        <v>0</v>
      </c>
      <c r="DL93" s="705">
        <f t="shared" ca="1" si="106"/>
        <v>0</v>
      </c>
      <c r="DM93" s="705">
        <f t="shared" ca="1" si="106"/>
        <v>0</v>
      </c>
      <c r="DN93" s="705">
        <f t="shared" ca="1" si="106"/>
        <v>0</v>
      </c>
      <c r="DO93" s="705">
        <f t="shared" ca="1" si="106"/>
        <v>0</v>
      </c>
      <c r="DP93" s="705">
        <f t="shared" ca="1" si="106"/>
        <v>0</v>
      </c>
      <c r="DQ93" s="705">
        <f t="shared" ca="1" si="106"/>
        <v>0</v>
      </c>
      <c r="DR93" s="705">
        <f t="shared" ca="1" si="106"/>
        <v>0</v>
      </c>
      <c r="DS93" s="705">
        <f t="shared" ca="1" si="106"/>
        <v>0</v>
      </c>
      <c r="DT93" s="705">
        <f t="shared" ca="1" si="106"/>
        <v>0</v>
      </c>
      <c r="DU93" s="705">
        <f t="shared" ca="1" si="106"/>
        <v>0</v>
      </c>
      <c r="DV93" s="705">
        <f t="shared" ca="1" si="106"/>
        <v>0</v>
      </c>
      <c r="DW93" s="705">
        <f t="shared" ca="1" si="106"/>
        <v>0</v>
      </c>
      <c r="DX93" s="705">
        <f t="shared" ca="1" si="106"/>
        <v>0</v>
      </c>
      <c r="DY93" s="705">
        <f t="shared" ca="1" si="106"/>
        <v>0</v>
      </c>
      <c r="DZ93" s="705">
        <f t="shared" ca="1" si="106"/>
        <v>0</v>
      </c>
      <c r="EA93" s="705">
        <f t="shared" ca="1" si="106"/>
        <v>0</v>
      </c>
      <c r="EB93" s="389"/>
      <c r="EC93" s="392" t="s">
        <v>65</v>
      </c>
    </row>
    <row r="94" spans="1:133" s="390" customFormat="1" ht="15" customHeight="1">
      <c r="A94" s="389"/>
      <c r="B94" s="389"/>
      <c r="C94" s="389"/>
      <c r="D94" s="403" t="s">
        <v>80</v>
      </c>
      <c r="E94" s="714"/>
      <c r="F94" s="714"/>
      <c r="G94" s="714"/>
      <c r="H94" s="389"/>
      <c r="I94" s="795">
        <f t="shared" ca="1" si="86"/>
        <v>-2474291.488284226</v>
      </c>
      <c r="J94" s="389"/>
      <c r="K94" s="705">
        <f t="shared" ref="K94:AP94" si="107">K74+K84</f>
        <v>0</v>
      </c>
      <c r="L94" s="705">
        <f t="shared" si="107"/>
        <v>0</v>
      </c>
      <c r="M94" s="705">
        <f t="shared" si="107"/>
        <v>0</v>
      </c>
      <c r="N94" s="705">
        <f t="shared" si="107"/>
        <v>0</v>
      </c>
      <c r="O94" s="705">
        <f t="shared" si="107"/>
        <v>0</v>
      </c>
      <c r="P94" s="705">
        <f t="shared" si="107"/>
        <v>0</v>
      </c>
      <c r="Q94" s="705">
        <f t="shared" si="107"/>
        <v>0</v>
      </c>
      <c r="R94" s="705">
        <f t="shared" si="107"/>
        <v>0</v>
      </c>
      <c r="S94" s="705">
        <f t="shared" ca="1" si="107"/>
        <v>-130225.86780443294</v>
      </c>
      <c r="T94" s="705">
        <f t="shared" ca="1" si="107"/>
        <v>-130225.86780443294</v>
      </c>
      <c r="U94" s="705">
        <f t="shared" ca="1" si="107"/>
        <v>-130225.86780443294</v>
      </c>
      <c r="V94" s="705">
        <f t="shared" ca="1" si="107"/>
        <v>-130225.86780443294</v>
      </c>
      <c r="W94" s="705">
        <f t="shared" ca="1" si="107"/>
        <v>-130225.86780443294</v>
      </c>
      <c r="X94" s="705">
        <f t="shared" ca="1" si="107"/>
        <v>-130225.86780443294</v>
      </c>
      <c r="Y94" s="705">
        <f t="shared" ca="1" si="107"/>
        <v>-130225.86780443294</v>
      </c>
      <c r="Z94" s="705">
        <f t="shared" ca="1" si="107"/>
        <v>-130225.86780443294</v>
      </c>
      <c r="AA94" s="705">
        <f t="shared" ca="1" si="107"/>
        <v>-130225.86780443294</v>
      </c>
      <c r="AB94" s="705">
        <f t="shared" ca="1" si="107"/>
        <v>-130225.86780443294</v>
      </c>
      <c r="AC94" s="705">
        <f t="shared" ca="1" si="107"/>
        <v>-130225.86780443294</v>
      </c>
      <c r="AD94" s="705">
        <f t="shared" ca="1" si="107"/>
        <v>-130225.86780443294</v>
      </c>
      <c r="AE94" s="705">
        <f t="shared" ca="1" si="107"/>
        <v>-130225.86780443294</v>
      </c>
      <c r="AF94" s="705">
        <f t="shared" ca="1" si="107"/>
        <v>-130225.86780443294</v>
      </c>
      <c r="AG94" s="705">
        <f t="shared" ca="1" si="107"/>
        <v>-130225.86780443294</v>
      </c>
      <c r="AH94" s="705">
        <f t="shared" ca="1" si="107"/>
        <v>-130225.86780443294</v>
      </c>
      <c r="AI94" s="705">
        <f t="shared" ca="1" si="107"/>
        <v>-130225.86780443294</v>
      </c>
      <c r="AJ94" s="705">
        <f t="shared" ca="1" si="107"/>
        <v>-130225.86780443294</v>
      </c>
      <c r="AK94" s="705">
        <f t="shared" ca="1" si="107"/>
        <v>-130225.86780443294</v>
      </c>
      <c r="AL94" s="705">
        <f t="shared" si="107"/>
        <v>0</v>
      </c>
      <c r="AM94" s="705">
        <f t="shared" si="107"/>
        <v>0</v>
      </c>
      <c r="AN94" s="705">
        <f t="shared" si="107"/>
        <v>0</v>
      </c>
      <c r="AO94" s="705">
        <f t="shared" si="107"/>
        <v>0</v>
      </c>
      <c r="AP94" s="705">
        <f t="shared" si="107"/>
        <v>0</v>
      </c>
      <c r="AQ94" s="705">
        <f t="shared" ref="AQ94:BV94" si="108">AQ74+AQ84</f>
        <v>0</v>
      </c>
      <c r="AR94" s="705">
        <f t="shared" si="108"/>
        <v>0</v>
      </c>
      <c r="AS94" s="705">
        <f t="shared" si="108"/>
        <v>0</v>
      </c>
      <c r="AT94" s="705">
        <f t="shared" si="108"/>
        <v>0</v>
      </c>
      <c r="AU94" s="705">
        <f t="shared" si="108"/>
        <v>0</v>
      </c>
      <c r="AV94" s="705">
        <f t="shared" si="108"/>
        <v>0</v>
      </c>
      <c r="AW94" s="705">
        <f t="shared" si="108"/>
        <v>0</v>
      </c>
      <c r="AX94" s="705">
        <f t="shared" si="108"/>
        <v>0</v>
      </c>
      <c r="AY94" s="705">
        <f t="shared" si="108"/>
        <v>0</v>
      </c>
      <c r="AZ94" s="705">
        <f t="shared" si="108"/>
        <v>0</v>
      </c>
      <c r="BA94" s="705">
        <f t="shared" si="108"/>
        <v>0</v>
      </c>
      <c r="BB94" s="705">
        <f t="shared" si="108"/>
        <v>0</v>
      </c>
      <c r="BC94" s="705">
        <f t="shared" si="108"/>
        <v>0</v>
      </c>
      <c r="BD94" s="705">
        <f t="shared" si="108"/>
        <v>0</v>
      </c>
      <c r="BE94" s="705">
        <f t="shared" si="108"/>
        <v>0</v>
      </c>
      <c r="BF94" s="705">
        <f t="shared" si="108"/>
        <v>0</v>
      </c>
      <c r="BG94" s="705">
        <f t="shared" si="108"/>
        <v>0</v>
      </c>
      <c r="BH94" s="705">
        <f t="shared" si="108"/>
        <v>0</v>
      </c>
      <c r="BI94" s="705">
        <f t="shared" si="108"/>
        <v>0</v>
      </c>
      <c r="BJ94" s="705">
        <f t="shared" si="108"/>
        <v>0</v>
      </c>
      <c r="BK94" s="705">
        <f t="shared" si="108"/>
        <v>0</v>
      </c>
      <c r="BL94" s="705">
        <f t="shared" si="108"/>
        <v>0</v>
      </c>
      <c r="BM94" s="705">
        <f t="shared" si="108"/>
        <v>0</v>
      </c>
      <c r="BN94" s="705">
        <f t="shared" si="108"/>
        <v>0</v>
      </c>
      <c r="BO94" s="705">
        <f t="shared" si="108"/>
        <v>0</v>
      </c>
      <c r="BP94" s="705">
        <f t="shared" si="108"/>
        <v>0</v>
      </c>
      <c r="BQ94" s="705">
        <f t="shared" si="108"/>
        <v>0</v>
      </c>
      <c r="BR94" s="705">
        <f t="shared" si="108"/>
        <v>0</v>
      </c>
      <c r="BS94" s="705">
        <f t="shared" si="108"/>
        <v>0</v>
      </c>
      <c r="BT94" s="705">
        <f t="shared" si="108"/>
        <v>0</v>
      </c>
      <c r="BU94" s="705">
        <f t="shared" si="108"/>
        <v>0</v>
      </c>
      <c r="BV94" s="705">
        <f t="shared" si="108"/>
        <v>0</v>
      </c>
      <c r="BW94" s="705">
        <f t="shared" ref="BW94:DB94" si="109">BW74+BW84</f>
        <v>0</v>
      </c>
      <c r="BX94" s="705">
        <f t="shared" si="109"/>
        <v>0</v>
      </c>
      <c r="BY94" s="705">
        <f t="shared" si="109"/>
        <v>0</v>
      </c>
      <c r="BZ94" s="705">
        <f t="shared" si="109"/>
        <v>0</v>
      </c>
      <c r="CA94" s="705">
        <f t="shared" si="109"/>
        <v>0</v>
      </c>
      <c r="CB94" s="705">
        <f t="shared" si="109"/>
        <v>0</v>
      </c>
      <c r="CC94" s="705">
        <f t="shared" si="109"/>
        <v>0</v>
      </c>
      <c r="CD94" s="705">
        <f t="shared" si="109"/>
        <v>0</v>
      </c>
      <c r="CE94" s="705">
        <f t="shared" si="109"/>
        <v>0</v>
      </c>
      <c r="CF94" s="705">
        <f t="shared" si="109"/>
        <v>0</v>
      </c>
      <c r="CG94" s="705">
        <f t="shared" si="109"/>
        <v>0</v>
      </c>
      <c r="CH94" s="705">
        <f t="shared" si="109"/>
        <v>0</v>
      </c>
      <c r="CI94" s="705">
        <f t="shared" si="109"/>
        <v>0</v>
      </c>
      <c r="CJ94" s="705">
        <f t="shared" si="109"/>
        <v>0</v>
      </c>
      <c r="CK94" s="705">
        <f t="shared" si="109"/>
        <v>0</v>
      </c>
      <c r="CL94" s="705">
        <f t="shared" si="109"/>
        <v>0</v>
      </c>
      <c r="CM94" s="705">
        <f t="shared" si="109"/>
        <v>0</v>
      </c>
      <c r="CN94" s="705">
        <f t="shared" si="109"/>
        <v>0</v>
      </c>
      <c r="CO94" s="705">
        <f t="shared" si="109"/>
        <v>0</v>
      </c>
      <c r="CP94" s="705">
        <f t="shared" si="109"/>
        <v>0</v>
      </c>
      <c r="CQ94" s="705">
        <f t="shared" si="109"/>
        <v>0</v>
      </c>
      <c r="CR94" s="705">
        <f t="shared" si="109"/>
        <v>0</v>
      </c>
      <c r="CS94" s="705">
        <f t="shared" si="109"/>
        <v>0</v>
      </c>
      <c r="CT94" s="705">
        <f t="shared" si="109"/>
        <v>0</v>
      </c>
      <c r="CU94" s="705">
        <f t="shared" si="109"/>
        <v>0</v>
      </c>
      <c r="CV94" s="705">
        <f t="shared" si="109"/>
        <v>0</v>
      </c>
      <c r="CW94" s="705">
        <f t="shared" si="109"/>
        <v>0</v>
      </c>
      <c r="CX94" s="705">
        <f t="shared" si="109"/>
        <v>0</v>
      </c>
      <c r="CY94" s="705">
        <f t="shared" si="109"/>
        <v>0</v>
      </c>
      <c r="CZ94" s="705">
        <f t="shared" si="109"/>
        <v>0</v>
      </c>
      <c r="DA94" s="705">
        <f t="shared" si="109"/>
        <v>0</v>
      </c>
      <c r="DB94" s="705">
        <f t="shared" si="109"/>
        <v>0</v>
      </c>
      <c r="DC94" s="705">
        <f t="shared" ref="DC94:EA94" si="110">DC74+DC84</f>
        <v>0</v>
      </c>
      <c r="DD94" s="705">
        <f t="shared" si="110"/>
        <v>0</v>
      </c>
      <c r="DE94" s="705">
        <f t="shared" si="110"/>
        <v>0</v>
      </c>
      <c r="DF94" s="705">
        <f t="shared" si="110"/>
        <v>0</v>
      </c>
      <c r="DG94" s="705">
        <f t="shared" si="110"/>
        <v>0</v>
      </c>
      <c r="DH94" s="705">
        <f t="shared" si="110"/>
        <v>0</v>
      </c>
      <c r="DI94" s="705">
        <f t="shared" si="110"/>
        <v>0</v>
      </c>
      <c r="DJ94" s="705">
        <f t="shared" si="110"/>
        <v>0</v>
      </c>
      <c r="DK94" s="705">
        <f t="shared" si="110"/>
        <v>0</v>
      </c>
      <c r="DL94" s="705">
        <f t="shared" si="110"/>
        <v>0</v>
      </c>
      <c r="DM94" s="705">
        <f t="shared" si="110"/>
        <v>0</v>
      </c>
      <c r="DN94" s="705">
        <f t="shared" si="110"/>
        <v>0</v>
      </c>
      <c r="DO94" s="705">
        <f t="shared" si="110"/>
        <v>0</v>
      </c>
      <c r="DP94" s="705">
        <f t="shared" si="110"/>
        <v>0</v>
      </c>
      <c r="DQ94" s="705">
        <f t="shared" si="110"/>
        <v>0</v>
      </c>
      <c r="DR94" s="705">
        <f t="shared" si="110"/>
        <v>0</v>
      </c>
      <c r="DS94" s="705">
        <f t="shared" si="110"/>
        <v>0</v>
      </c>
      <c r="DT94" s="705">
        <f t="shared" si="110"/>
        <v>0</v>
      </c>
      <c r="DU94" s="705">
        <f t="shared" si="110"/>
        <v>0</v>
      </c>
      <c r="DV94" s="705">
        <f t="shared" si="110"/>
        <v>0</v>
      </c>
      <c r="DW94" s="705">
        <f t="shared" si="110"/>
        <v>0</v>
      </c>
      <c r="DX94" s="705">
        <f t="shared" si="110"/>
        <v>0</v>
      </c>
      <c r="DY94" s="705">
        <f t="shared" si="110"/>
        <v>0</v>
      </c>
      <c r="DZ94" s="705">
        <f t="shared" si="110"/>
        <v>0</v>
      </c>
      <c r="EA94" s="705">
        <f t="shared" si="110"/>
        <v>0</v>
      </c>
      <c r="EB94" s="389"/>
      <c r="EC94" s="392" t="s">
        <v>65</v>
      </c>
    </row>
    <row r="95" spans="1:133" s="390" customFormat="1" ht="15" customHeight="1">
      <c r="A95" s="389"/>
      <c r="B95" s="389"/>
      <c r="C95" s="389"/>
      <c r="D95" s="709" t="s">
        <v>196</v>
      </c>
      <c r="E95" s="849"/>
      <c r="F95" s="715"/>
      <c r="G95" s="715"/>
      <c r="H95" s="457"/>
      <c r="I95" s="795">
        <f t="shared" si="86"/>
        <v>-300000</v>
      </c>
      <c r="J95" s="389"/>
      <c r="K95" s="705">
        <f t="shared" ref="K95:AP95" si="111">K75+K85</f>
        <v>0</v>
      </c>
      <c r="L95" s="705">
        <f t="shared" si="111"/>
        <v>0</v>
      </c>
      <c r="M95" s="705">
        <f t="shared" si="111"/>
        <v>0</v>
      </c>
      <c r="N95" s="705">
        <f t="shared" si="111"/>
        <v>0</v>
      </c>
      <c r="O95" s="705">
        <f t="shared" si="111"/>
        <v>0</v>
      </c>
      <c r="P95" s="705">
        <f t="shared" si="111"/>
        <v>0</v>
      </c>
      <c r="Q95" s="705">
        <f t="shared" si="111"/>
        <v>0</v>
      </c>
      <c r="R95" s="705">
        <f t="shared" si="111"/>
        <v>0</v>
      </c>
      <c r="S95" s="705">
        <f t="shared" si="111"/>
        <v>0</v>
      </c>
      <c r="T95" s="705">
        <f t="shared" si="111"/>
        <v>0</v>
      </c>
      <c r="U95" s="705">
        <f t="shared" si="111"/>
        <v>0</v>
      </c>
      <c r="V95" s="705">
        <f t="shared" si="111"/>
        <v>0</v>
      </c>
      <c r="W95" s="705">
        <f t="shared" si="111"/>
        <v>0</v>
      </c>
      <c r="X95" s="705">
        <f t="shared" si="111"/>
        <v>0</v>
      </c>
      <c r="Y95" s="705">
        <f t="shared" si="111"/>
        <v>0</v>
      </c>
      <c r="Z95" s="705">
        <f t="shared" si="111"/>
        <v>0</v>
      </c>
      <c r="AA95" s="705">
        <f t="shared" si="111"/>
        <v>-75000</v>
      </c>
      <c r="AB95" s="705">
        <f t="shared" si="111"/>
        <v>-75000</v>
      </c>
      <c r="AC95" s="705">
        <f t="shared" si="111"/>
        <v>-75000</v>
      </c>
      <c r="AD95" s="705">
        <f t="shared" si="111"/>
        <v>-75000</v>
      </c>
      <c r="AE95" s="705">
        <f t="shared" si="111"/>
        <v>0</v>
      </c>
      <c r="AF95" s="705">
        <f t="shared" si="111"/>
        <v>0</v>
      </c>
      <c r="AG95" s="705">
        <f t="shared" si="111"/>
        <v>0</v>
      </c>
      <c r="AH95" s="705">
        <f t="shared" si="111"/>
        <v>0</v>
      </c>
      <c r="AI95" s="705">
        <f t="shared" si="111"/>
        <v>0</v>
      </c>
      <c r="AJ95" s="705">
        <f t="shared" si="111"/>
        <v>0</v>
      </c>
      <c r="AK95" s="705">
        <f t="shared" si="111"/>
        <v>0</v>
      </c>
      <c r="AL95" s="705">
        <f t="shared" si="111"/>
        <v>0</v>
      </c>
      <c r="AM95" s="705">
        <f t="shared" si="111"/>
        <v>0</v>
      </c>
      <c r="AN95" s="705">
        <f t="shared" si="111"/>
        <v>0</v>
      </c>
      <c r="AO95" s="705">
        <f t="shared" si="111"/>
        <v>0</v>
      </c>
      <c r="AP95" s="705">
        <f t="shared" si="111"/>
        <v>0</v>
      </c>
      <c r="AQ95" s="705">
        <f t="shared" ref="AQ95:BV95" si="112">AQ75+AQ85</f>
        <v>0</v>
      </c>
      <c r="AR95" s="705">
        <f t="shared" si="112"/>
        <v>0</v>
      </c>
      <c r="AS95" s="705">
        <f t="shared" si="112"/>
        <v>0</v>
      </c>
      <c r="AT95" s="705">
        <f t="shared" si="112"/>
        <v>0</v>
      </c>
      <c r="AU95" s="705">
        <f t="shared" si="112"/>
        <v>0</v>
      </c>
      <c r="AV95" s="705">
        <f t="shared" si="112"/>
        <v>0</v>
      </c>
      <c r="AW95" s="705">
        <f t="shared" si="112"/>
        <v>0</v>
      </c>
      <c r="AX95" s="705">
        <f t="shared" si="112"/>
        <v>0</v>
      </c>
      <c r="AY95" s="705">
        <f t="shared" si="112"/>
        <v>0</v>
      </c>
      <c r="AZ95" s="705">
        <f t="shared" si="112"/>
        <v>0</v>
      </c>
      <c r="BA95" s="705">
        <f t="shared" si="112"/>
        <v>0</v>
      </c>
      <c r="BB95" s="705">
        <f t="shared" si="112"/>
        <v>0</v>
      </c>
      <c r="BC95" s="705">
        <f t="shared" si="112"/>
        <v>0</v>
      </c>
      <c r="BD95" s="705">
        <f t="shared" si="112"/>
        <v>0</v>
      </c>
      <c r="BE95" s="705">
        <f t="shared" si="112"/>
        <v>0</v>
      </c>
      <c r="BF95" s="705">
        <f t="shared" si="112"/>
        <v>0</v>
      </c>
      <c r="BG95" s="705">
        <f t="shared" si="112"/>
        <v>0</v>
      </c>
      <c r="BH95" s="705">
        <f t="shared" si="112"/>
        <v>0</v>
      </c>
      <c r="BI95" s="705">
        <f t="shared" si="112"/>
        <v>0</v>
      </c>
      <c r="BJ95" s="705">
        <f t="shared" si="112"/>
        <v>0</v>
      </c>
      <c r="BK95" s="705">
        <f t="shared" si="112"/>
        <v>0</v>
      </c>
      <c r="BL95" s="705">
        <f t="shared" si="112"/>
        <v>0</v>
      </c>
      <c r="BM95" s="705">
        <f t="shared" si="112"/>
        <v>0</v>
      </c>
      <c r="BN95" s="705">
        <f t="shared" si="112"/>
        <v>0</v>
      </c>
      <c r="BO95" s="705">
        <f t="shared" si="112"/>
        <v>0</v>
      </c>
      <c r="BP95" s="705">
        <f t="shared" si="112"/>
        <v>0</v>
      </c>
      <c r="BQ95" s="705">
        <f t="shared" si="112"/>
        <v>0</v>
      </c>
      <c r="BR95" s="705">
        <f t="shared" si="112"/>
        <v>0</v>
      </c>
      <c r="BS95" s="705">
        <f t="shared" si="112"/>
        <v>0</v>
      </c>
      <c r="BT95" s="705">
        <f t="shared" si="112"/>
        <v>0</v>
      </c>
      <c r="BU95" s="705">
        <f t="shared" si="112"/>
        <v>0</v>
      </c>
      <c r="BV95" s="705">
        <f t="shared" si="112"/>
        <v>0</v>
      </c>
      <c r="BW95" s="705">
        <f t="shared" ref="BW95:DB95" si="113">BW75+BW85</f>
        <v>0</v>
      </c>
      <c r="BX95" s="705">
        <f t="shared" si="113"/>
        <v>0</v>
      </c>
      <c r="BY95" s="705">
        <f t="shared" si="113"/>
        <v>0</v>
      </c>
      <c r="BZ95" s="705">
        <f t="shared" si="113"/>
        <v>0</v>
      </c>
      <c r="CA95" s="705">
        <f t="shared" si="113"/>
        <v>0</v>
      </c>
      <c r="CB95" s="705">
        <f t="shared" si="113"/>
        <v>0</v>
      </c>
      <c r="CC95" s="705">
        <f t="shared" si="113"/>
        <v>0</v>
      </c>
      <c r="CD95" s="705">
        <f t="shared" si="113"/>
        <v>0</v>
      </c>
      <c r="CE95" s="705">
        <f t="shared" si="113"/>
        <v>0</v>
      </c>
      <c r="CF95" s="705">
        <f t="shared" si="113"/>
        <v>0</v>
      </c>
      <c r="CG95" s="705">
        <f t="shared" si="113"/>
        <v>0</v>
      </c>
      <c r="CH95" s="705">
        <f t="shared" si="113"/>
        <v>0</v>
      </c>
      <c r="CI95" s="705">
        <f t="shared" si="113"/>
        <v>0</v>
      </c>
      <c r="CJ95" s="705">
        <f t="shared" si="113"/>
        <v>0</v>
      </c>
      <c r="CK95" s="705">
        <f t="shared" si="113"/>
        <v>0</v>
      </c>
      <c r="CL95" s="705">
        <f t="shared" si="113"/>
        <v>0</v>
      </c>
      <c r="CM95" s="705">
        <f t="shared" si="113"/>
        <v>0</v>
      </c>
      <c r="CN95" s="705">
        <f t="shared" si="113"/>
        <v>0</v>
      </c>
      <c r="CO95" s="705">
        <f t="shared" si="113"/>
        <v>0</v>
      </c>
      <c r="CP95" s="705">
        <f t="shared" si="113"/>
        <v>0</v>
      </c>
      <c r="CQ95" s="705">
        <f t="shared" si="113"/>
        <v>0</v>
      </c>
      <c r="CR95" s="705">
        <f t="shared" si="113"/>
        <v>0</v>
      </c>
      <c r="CS95" s="705">
        <f t="shared" si="113"/>
        <v>0</v>
      </c>
      <c r="CT95" s="705">
        <f t="shared" si="113"/>
        <v>0</v>
      </c>
      <c r="CU95" s="705">
        <f t="shared" si="113"/>
        <v>0</v>
      </c>
      <c r="CV95" s="705">
        <f t="shared" si="113"/>
        <v>0</v>
      </c>
      <c r="CW95" s="705">
        <f t="shared" si="113"/>
        <v>0</v>
      </c>
      <c r="CX95" s="705">
        <f t="shared" si="113"/>
        <v>0</v>
      </c>
      <c r="CY95" s="705">
        <f t="shared" si="113"/>
        <v>0</v>
      </c>
      <c r="CZ95" s="705">
        <f t="shared" si="113"/>
        <v>0</v>
      </c>
      <c r="DA95" s="705">
        <f t="shared" si="113"/>
        <v>0</v>
      </c>
      <c r="DB95" s="705">
        <f t="shared" si="113"/>
        <v>0</v>
      </c>
      <c r="DC95" s="705">
        <f t="shared" ref="DC95:EA95" si="114">DC75+DC85</f>
        <v>0</v>
      </c>
      <c r="DD95" s="705">
        <f t="shared" si="114"/>
        <v>0</v>
      </c>
      <c r="DE95" s="705">
        <f t="shared" si="114"/>
        <v>0</v>
      </c>
      <c r="DF95" s="705">
        <f t="shared" si="114"/>
        <v>0</v>
      </c>
      <c r="DG95" s="705">
        <f t="shared" si="114"/>
        <v>0</v>
      </c>
      <c r="DH95" s="705">
        <f t="shared" si="114"/>
        <v>0</v>
      </c>
      <c r="DI95" s="705">
        <f t="shared" si="114"/>
        <v>0</v>
      </c>
      <c r="DJ95" s="705">
        <f t="shared" si="114"/>
        <v>0</v>
      </c>
      <c r="DK95" s="705">
        <f t="shared" si="114"/>
        <v>0</v>
      </c>
      <c r="DL95" s="705">
        <f t="shared" si="114"/>
        <v>0</v>
      </c>
      <c r="DM95" s="705">
        <f t="shared" si="114"/>
        <v>0</v>
      </c>
      <c r="DN95" s="705">
        <f t="shared" si="114"/>
        <v>0</v>
      </c>
      <c r="DO95" s="705">
        <f t="shared" si="114"/>
        <v>0</v>
      </c>
      <c r="DP95" s="705">
        <f t="shared" si="114"/>
        <v>0</v>
      </c>
      <c r="DQ95" s="705">
        <f t="shared" si="114"/>
        <v>0</v>
      </c>
      <c r="DR95" s="705">
        <f t="shared" si="114"/>
        <v>0</v>
      </c>
      <c r="DS95" s="705">
        <f t="shared" si="114"/>
        <v>0</v>
      </c>
      <c r="DT95" s="705">
        <f t="shared" si="114"/>
        <v>0</v>
      </c>
      <c r="DU95" s="705">
        <f t="shared" si="114"/>
        <v>0</v>
      </c>
      <c r="DV95" s="705">
        <f t="shared" si="114"/>
        <v>0</v>
      </c>
      <c r="DW95" s="705">
        <f t="shared" si="114"/>
        <v>0</v>
      </c>
      <c r="DX95" s="705">
        <f t="shared" si="114"/>
        <v>0</v>
      </c>
      <c r="DY95" s="705">
        <f t="shared" si="114"/>
        <v>0</v>
      </c>
      <c r="DZ95" s="705">
        <f t="shared" si="114"/>
        <v>0</v>
      </c>
      <c r="EA95" s="705">
        <f t="shared" si="114"/>
        <v>0</v>
      </c>
      <c r="EB95" s="389"/>
      <c r="EC95" s="392" t="s">
        <v>65</v>
      </c>
    </row>
    <row r="96" spans="1:133" s="390" customFormat="1" ht="15" customHeight="1">
      <c r="A96" s="389"/>
      <c r="B96" s="389"/>
      <c r="C96" s="389"/>
      <c r="D96" s="706" t="s">
        <v>507</v>
      </c>
      <c r="E96" s="703"/>
      <c r="F96" s="703"/>
      <c r="G96" s="703"/>
      <c r="H96" s="389"/>
      <c r="I96" s="804">
        <f t="shared" ca="1" si="86"/>
        <v>-54984255.295205027</v>
      </c>
      <c r="J96" s="389"/>
      <c r="K96" s="421">
        <f>SUM(K89:K95)</f>
        <v>0</v>
      </c>
      <c r="L96" s="421">
        <f t="shared" ref="L96:BW96" ca="1" si="115">SUM(L89:L95)</f>
        <v>-5200000</v>
      </c>
      <c r="M96" s="421">
        <f t="shared" ca="1" si="115"/>
        <v>-391153.00715178321</v>
      </c>
      <c r="N96" s="421">
        <f t="shared" ca="1" si="115"/>
        <v>-2750737.3328289636</v>
      </c>
      <c r="O96" s="421">
        <f t="shared" ca="1" si="115"/>
        <v>-2750737.3328289636</v>
      </c>
      <c r="P96" s="421">
        <f t="shared" ca="1" si="115"/>
        <v>-2750737.3328289636</v>
      </c>
      <c r="Q96" s="421">
        <f t="shared" ca="1" si="115"/>
        <v>-2750737.3328289636</v>
      </c>
      <c r="R96" s="421">
        <f t="shared" ca="1" si="115"/>
        <v>-2750737.3328289636</v>
      </c>
      <c r="S96" s="421">
        <f t="shared" ca="1" si="115"/>
        <v>-3128392.349461819</v>
      </c>
      <c r="T96" s="421">
        <f t="shared" ca="1" si="115"/>
        <v>-2880963.2006333964</v>
      </c>
      <c r="U96" s="421">
        <f t="shared" ca="1" si="115"/>
        <v>-2880963.2006333964</v>
      </c>
      <c r="V96" s="421">
        <f t="shared" ca="1" si="115"/>
        <v>-2880963.2006333964</v>
      </c>
      <c r="W96" s="421">
        <f t="shared" ca="1" si="115"/>
        <v>-2880963.2006333964</v>
      </c>
      <c r="X96" s="421">
        <f t="shared" ca="1" si="115"/>
        <v>-2880963.2006333964</v>
      </c>
      <c r="Y96" s="421">
        <f t="shared" ca="1" si="115"/>
        <v>-2880963.2006333964</v>
      </c>
      <c r="Z96" s="421">
        <f t="shared" ca="1" si="115"/>
        <v>-2880963.2006333964</v>
      </c>
      <c r="AA96" s="789">
        <f t="shared" ca="1" si="115"/>
        <v>-2955963.2006333964</v>
      </c>
      <c r="AB96" s="789">
        <f t="shared" ca="1" si="115"/>
        <v>-2955963.2006333964</v>
      </c>
      <c r="AC96" s="789">
        <f t="shared" ca="1" si="115"/>
        <v>-2955963.2006333964</v>
      </c>
      <c r="AD96" s="421">
        <f t="shared" ca="1" si="115"/>
        <v>-2564810.1934816134</v>
      </c>
      <c r="AE96" s="421">
        <f t="shared" ca="1" si="115"/>
        <v>-130225.86780443294</v>
      </c>
      <c r="AF96" s="421">
        <f t="shared" ca="1" si="115"/>
        <v>-130225.86780443294</v>
      </c>
      <c r="AG96" s="421">
        <f t="shared" ca="1" si="115"/>
        <v>-130225.86780443294</v>
      </c>
      <c r="AH96" s="421">
        <f t="shared" ca="1" si="115"/>
        <v>-130225.86780443294</v>
      </c>
      <c r="AI96" s="421">
        <f t="shared" ca="1" si="115"/>
        <v>-130225.86780443294</v>
      </c>
      <c r="AJ96" s="421">
        <f t="shared" ca="1" si="115"/>
        <v>-130225.86780443294</v>
      </c>
      <c r="AK96" s="421">
        <f t="shared" ca="1" si="115"/>
        <v>-130225.86780443294</v>
      </c>
      <c r="AL96" s="421">
        <f t="shared" ca="1" si="115"/>
        <v>0</v>
      </c>
      <c r="AM96" s="421">
        <f t="shared" ca="1" si="115"/>
        <v>0</v>
      </c>
      <c r="AN96" s="421">
        <f t="shared" ca="1" si="115"/>
        <v>0</v>
      </c>
      <c r="AO96" s="421">
        <f t="shared" ca="1" si="115"/>
        <v>0</v>
      </c>
      <c r="AP96" s="421">
        <f t="shared" ca="1" si="115"/>
        <v>0</v>
      </c>
      <c r="AQ96" s="421">
        <f t="shared" ca="1" si="115"/>
        <v>0</v>
      </c>
      <c r="AR96" s="421">
        <f t="shared" ca="1" si="115"/>
        <v>0</v>
      </c>
      <c r="AS96" s="421">
        <f t="shared" ca="1" si="115"/>
        <v>0</v>
      </c>
      <c r="AT96" s="421">
        <f t="shared" ca="1" si="115"/>
        <v>0</v>
      </c>
      <c r="AU96" s="421">
        <f t="shared" ca="1" si="115"/>
        <v>0</v>
      </c>
      <c r="AV96" s="421">
        <f t="shared" ca="1" si="115"/>
        <v>0</v>
      </c>
      <c r="AW96" s="421">
        <f t="shared" ca="1" si="115"/>
        <v>0</v>
      </c>
      <c r="AX96" s="421">
        <f t="shared" ca="1" si="115"/>
        <v>0</v>
      </c>
      <c r="AY96" s="421">
        <f t="shared" ca="1" si="115"/>
        <v>0</v>
      </c>
      <c r="AZ96" s="421">
        <f t="shared" ca="1" si="115"/>
        <v>0</v>
      </c>
      <c r="BA96" s="421">
        <f t="shared" ca="1" si="115"/>
        <v>0</v>
      </c>
      <c r="BB96" s="421">
        <f t="shared" ca="1" si="115"/>
        <v>0</v>
      </c>
      <c r="BC96" s="421">
        <f t="shared" ca="1" si="115"/>
        <v>0</v>
      </c>
      <c r="BD96" s="421">
        <f t="shared" ca="1" si="115"/>
        <v>0</v>
      </c>
      <c r="BE96" s="421">
        <f t="shared" ca="1" si="115"/>
        <v>0</v>
      </c>
      <c r="BF96" s="421">
        <f t="shared" ca="1" si="115"/>
        <v>0</v>
      </c>
      <c r="BG96" s="421">
        <f t="shared" ca="1" si="115"/>
        <v>0</v>
      </c>
      <c r="BH96" s="421">
        <f t="shared" ca="1" si="115"/>
        <v>0</v>
      </c>
      <c r="BI96" s="421">
        <f t="shared" ca="1" si="115"/>
        <v>0</v>
      </c>
      <c r="BJ96" s="421">
        <f t="shared" ca="1" si="115"/>
        <v>0</v>
      </c>
      <c r="BK96" s="421">
        <f t="shared" ca="1" si="115"/>
        <v>0</v>
      </c>
      <c r="BL96" s="421">
        <f t="shared" ca="1" si="115"/>
        <v>0</v>
      </c>
      <c r="BM96" s="421">
        <f t="shared" ca="1" si="115"/>
        <v>0</v>
      </c>
      <c r="BN96" s="421">
        <f t="shared" ca="1" si="115"/>
        <v>0</v>
      </c>
      <c r="BO96" s="421">
        <f t="shared" ca="1" si="115"/>
        <v>0</v>
      </c>
      <c r="BP96" s="421">
        <f t="shared" ca="1" si="115"/>
        <v>0</v>
      </c>
      <c r="BQ96" s="421">
        <f t="shared" ca="1" si="115"/>
        <v>0</v>
      </c>
      <c r="BR96" s="421">
        <f t="shared" ca="1" si="115"/>
        <v>0</v>
      </c>
      <c r="BS96" s="421">
        <f t="shared" ca="1" si="115"/>
        <v>0</v>
      </c>
      <c r="BT96" s="421">
        <f t="shared" ca="1" si="115"/>
        <v>0</v>
      </c>
      <c r="BU96" s="421">
        <f t="shared" ca="1" si="115"/>
        <v>0</v>
      </c>
      <c r="BV96" s="421">
        <f t="shared" ca="1" si="115"/>
        <v>0</v>
      </c>
      <c r="BW96" s="421">
        <f t="shared" ca="1" si="115"/>
        <v>0</v>
      </c>
      <c r="BX96" s="421">
        <f t="shared" ref="BX96:EA96" ca="1" si="116">SUM(BX89:BX95)</f>
        <v>0</v>
      </c>
      <c r="BY96" s="421">
        <f t="shared" ca="1" si="116"/>
        <v>0</v>
      </c>
      <c r="BZ96" s="421">
        <f t="shared" ca="1" si="116"/>
        <v>0</v>
      </c>
      <c r="CA96" s="421">
        <f t="shared" ca="1" si="116"/>
        <v>0</v>
      </c>
      <c r="CB96" s="421">
        <f t="shared" ca="1" si="116"/>
        <v>0</v>
      </c>
      <c r="CC96" s="421">
        <f t="shared" ca="1" si="116"/>
        <v>0</v>
      </c>
      <c r="CD96" s="421">
        <f t="shared" ca="1" si="116"/>
        <v>0</v>
      </c>
      <c r="CE96" s="421">
        <f t="shared" ca="1" si="116"/>
        <v>0</v>
      </c>
      <c r="CF96" s="421">
        <f t="shared" ca="1" si="116"/>
        <v>0</v>
      </c>
      <c r="CG96" s="421">
        <f t="shared" ca="1" si="116"/>
        <v>0</v>
      </c>
      <c r="CH96" s="421">
        <f t="shared" ca="1" si="116"/>
        <v>0</v>
      </c>
      <c r="CI96" s="421">
        <f t="shared" ca="1" si="116"/>
        <v>0</v>
      </c>
      <c r="CJ96" s="421">
        <f t="shared" ca="1" si="116"/>
        <v>0</v>
      </c>
      <c r="CK96" s="421">
        <f t="shared" ca="1" si="116"/>
        <v>0</v>
      </c>
      <c r="CL96" s="421">
        <f t="shared" ca="1" si="116"/>
        <v>0</v>
      </c>
      <c r="CM96" s="421">
        <f t="shared" ca="1" si="116"/>
        <v>0</v>
      </c>
      <c r="CN96" s="421">
        <f t="shared" ca="1" si="116"/>
        <v>0</v>
      </c>
      <c r="CO96" s="421">
        <f t="shared" ca="1" si="116"/>
        <v>0</v>
      </c>
      <c r="CP96" s="421">
        <f t="shared" ca="1" si="116"/>
        <v>0</v>
      </c>
      <c r="CQ96" s="421">
        <f t="shared" ca="1" si="116"/>
        <v>0</v>
      </c>
      <c r="CR96" s="421">
        <f t="shared" ca="1" si="116"/>
        <v>0</v>
      </c>
      <c r="CS96" s="421">
        <f t="shared" ca="1" si="116"/>
        <v>0</v>
      </c>
      <c r="CT96" s="421">
        <f t="shared" ca="1" si="116"/>
        <v>0</v>
      </c>
      <c r="CU96" s="421">
        <f t="shared" ca="1" si="116"/>
        <v>0</v>
      </c>
      <c r="CV96" s="421">
        <f t="shared" ca="1" si="116"/>
        <v>0</v>
      </c>
      <c r="CW96" s="421">
        <f t="shared" ca="1" si="116"/>
        <v>0</v>
      </c>
      <c r="CX96" s="421">
        <f t="shared" ca="1" si="116"/>
        <v>0</v>
      </c>
      <c r="CY96" s="421">
        <f t="shared" ca="1" si="116"/>
        <v>0</v>
      </c>
      <c r="CZ96" s="421">
        <f t="shared" ca="1" si="116"/>
        <v>0</v>
      </c>
      <c r="DA96" s="421">
        <f t="shared" ca="1" si="116"/>
        <v>0</v>
      </c>
      <c r="DB96" s="421">
        <f t="shared" ca="1" si="116"/>
        <v>0</v>
      </c>
      <c r="DC96" s="421">
        <f t="shared" ca="1" si="116"/>
        <v>0</v>
      </c>
      <c r="DD96" s="421">
        <f t="shared" ca="1" si="116"/>
        <v>0</v>
      </c>
      <c r="DE96" s="421">
        <f t="shared" ca="1" si="116"/>
        <v>0</v>
      </c>
      <c r="DF96" s="421">
        <f t="shared" ca="1" si="116"/>
        <v>0</v>
      </c>
      <c r="DG96" s="421">
        <f t="shared" ca="1" si="116"/>
        <v>0</v>
      </c>
      <c r="DH96" s="421">
        <f t="shared" ca="1" si="116"/>
        <v>0</v>
      </c>
      <c r="DI96" s="421">
        <f t="shared" ca="1" si="116"/>
        <v>0</v>
      </c>
      <c r="DJ96" s="421">
        <f t="shared" ca="1" si="116"/>
        <v>0</v>
      </c>
      <c r="DK96" s="421">
        <f t="shared" ca="1" si="116"/>
        <v>0</v>
      </c>
      <c r="DL96" s="421">
        <f t="shared" ca="1" si="116"/>
        <v>0</v>
      </c>
      <c r="DM96" s="421">
        <f t="shared" ca="1" si="116"/>
        <v>0</v>
      </c>
      <c r="DN96" s="421">
        <f t="shared" ca="1" si="116"/>
        <v>0</v>
      </c>
      <c r="DO96" s="421">
        <f t="shared" ca="1" si="116"/>
        <v>0</v>
      </c>
      <c r="DP96" s="421">
        <f t="shared" ca="1" si="116"/>
        <v>0</v>
      </c>
      <c r="DQ96" s="421">
        <f t="shared" ca="1" si="116"/>
        <v>0</v>
      </c>
      <c r="DR96" s="421">
        <f t="shared" ca="1" si="116"/>
        <v>0</v>
      </c>
      <c r="DS96" s="421">
        <f t="shared" ca="1" si="116"/>
        <v>0</v>
      </c>
      <c r="DT96" s="421">
        <f t="shared" ca="1" si="116"/>
        <v>0</v>
      </c>
      <c r="DU96" s="421">
        <f t="shared" ca="1" si="116"/>
        <v>0</v>
      </c>
      <c r="DV96" s="421">
        <f t="shared" ca="1" si="116"/>
        <v>0</v>
      </c>
      <c r="DW96" s="421">
        <f t="shared" ca="1" si="116"/>
        <v>0</v>
      </c>
      <c r="DX96" s="421">
        <f t="shared" ca="1" si="116"/>
        <v>0</v>
      </c>
      <c r="DY96" s="421">
        <f t="shared" ca="1" si="116"/>
        <v>0</v>
      </c>
      <c r="DZ96" s="421">
        <f t="shared" ca="1" si="116"/>
        <v>0</v>
      </c>
      <c r="EA96" s="421">
        <f t="shared" ca="1" si="116"/>
        <v>0</v>
      </c>
      <c r="EB96" s="389"/>
      <c r="EC96" s="392" t="s">
        <v>65</v>
      </c>
    </row>
    <row r="97" spans="1:133" s="390" customFormat="1" ht="15" customHeight="1">
      <c r="A97" s="389"/>
      <c r="B97" s="389"/>
      <c r="C97" s="389"/>
      <c r="D97" s="709"/>
      <c r="E97" s="713"/>
      <c r="F97" s="713"/>
      <c r="G97" s="713"/>
      <c r="H97" s="457"/>
      <c r="I97" s="795"/>
      <c r="J97" s="389"/>
      <c r="K97" s="705"/>
      <c r="L97" s="705"/>
      <c r="M97" s="705"/>
      <c r="N97" s="705"/>
      <c r="O97" s="705"/>
      <c r="P97" s="705"/>
      <c r="Q97" s="705"/>
      <c r="R97" s="705"/>
      <c r="S97" s="705"/>
      <c r="T97" s="705"/>
      <c r="U97" s="705"/>
      <c r="V97" s="705"/>
      <c r="W97" s="705"/>
      <c r="X97" s="705"/>
      <c r="Y97" s="705"/>
      <c r="Z97" s="705"/>
      <c r="AA97" s="705"/>
      <c r="AB97" s="705"/>
      <c r="AC97" s="705"/>
      <c r="AD97" s="705"/>
      <c r="AE97" s="705"/>
      <c r="AF97" s="705"/>
      <c r="AG97" s="705"/>
      <c r="AH97" s="705"/>
      <c r="AI97" s="705"/>
      <c r="AJ97" s="705"/>
      <c r="AK97" s="705"/>
      <c r="AL97" s="705"/>
      <c r="AM97" s="705"/>
      <c r="AN97" s="705"/>
      <c r="AO97" s="705"/>
      <c r="AP97" s="705"/>
      <c r="AQ97" s="705"/>
      <c r="AR97" s="705"/>
      <c r="AS97" s="705"/>
      <c r="AT97" s="705"/>
      <c r="AU97" s="705"/>
      <c r="AV97" s="705"/>
      <c r="AW97" s="705"/>
      <c r="AX97" s="705"/>
      <c r="AY97" s="705"/>
      <c r="AZ97" s="705"/>
      <c r="BA97" s="705"/>
      <c r="BB97" s="705"/>
      <c r="BC97" s="705"/>
      <c r="BD97" s="705"/>
      <c r="BE97" s="705"/>
      <c r="BF97" s="705"/>
      <c r="BG97" s="705"/>
      <c r="BH97" s="705"/>
      <c r="BI97" s="705"/>
      <c r="BJ97" s="705"/>
      <c r="BK97" s="705"/>
      <c r="BL97" s="705"/>
      <c r="BM97" s="705"/>
      <c r="BN97" s="705"/>
      <c r="BO97" s="705"/>
      <c r="BP97" s="705"/>
      <c r="BQ97" s="705"/>
      <c r="BR97" s="705"/>
      <c r="BS97" s="705"/>
      <c r="BT97" s="705"/>
      <c r="BU97" s="705"/>
      <c r="BV97" s="705"/>
      <c r="BW97" s="705"/>
      <c r="BX97" s="705"/>
      <c r="BY97" s="705"/>
      <c r="BZ97" s="705"/>
      <c r="CA97" s="705"/>
      <c r="CB97" s="705"/>
      <c r="CC97" s="705"/>
      <c r="CD97" s="705"/>
      <c r="CE97" s="705"/>
      <c r="CF97" s="705"/>
      <c r="CG97" s="705"/>
      <c r="CH97" s="705"/>
      <c r="CI97" s="705"/>
      <c r="CJ97" s="705"/>
      <c r="CK97" s="705"/>
      <c r="CL97" s="705"/>
      <c r="CM97" s="705"/>
      <c r="CN97" s="705"/>
      <c r="CO97" s="705"/>
      <c r="CP97" s="705"/>
      <c r="CQ97" s="705"/>
      <c r="CR97" s="705"/>
      <c r="CS97" s="705"/>
      <c r="CT97" s="705"/>
      <c r="CU97" s="705"/>
      <c r="CV97" s="705"/>
      <c r="CW97" s="705"/>
      <c r="CX97" s="705"/>
      <c r="CY97" s="705"/>
      <c r="CZ97" s="705"/>
      <c r="DA97" s="705"/>
      <c r="DB97" s="705"/>
      <c r="DC97" s="705"/>
      <c r="DD97" s="705"/>
      <c r="DE97" s="705"/>
      <c r="DF97" s="705"/>
      <c r="DG97" s="705"/>
      <c r="DH97" s="705"/>
      <c r="DI97" s="705"/>
      <c r="DJ97" s="705"/>
      <c r="DK97" s="705"/>
      <c r="DL97" s="705"/>
      <c r="DM97" s="705"/>
      <c r="DN97" s="705"/>
      <c r="DO97" s="705"/>
      <c r="DP97" s="705"/>
      <c r="DQ97" s="705"/>
      <c r="DR97" s="705"/>
      <c r="DS97" s="705"/>
      <c r="DT97" s="705"/>
      <c r="DU97" s="705"/>
      <c r="DV97" s="705"/>
      <c r="DW97" s="705"/>
      <c r="DX97" s="705"/>
      <c r="DY97" s="705"/>
      <c r="DZ97" s="705"/>
      <c r="EA97" s="705"/>
      <c r="EB97" s="389"/>
      <c r="EC97" s="392" t="s">
        <v>65</v>
      </c>
    </row>
    <row r="98" spans="1:133" s="390" customFormat="1" ht="15" customHeight="1">
      <c r="A98" s="389"/>
      <c r="B98" s="389"/>
      <c r="C98" s="389"/>
      <c r="D98" s="422" t="s">
        <v>343</v>
      </c>
      <c r="E98" s="422"/>
      <c r="F98" s="422"/>
      <c r="G98" s="422"/>
      <c r="H98" s="422"/>
      <c r="I98" s="805">
        <f t="shared" ca="1" si="86"/>
        <v>65495875.834879532</v>
      </c>
      <c r="J98" s="422"/>
      <c r="K98" s="424">
        <f>K37+K96+K62+K58+K66</f>
        <v>0</v>
      </c>
      <c r="L98" s="424">
        <f ca="1">L37+L96+L62+L58+L66+L44</f>
        <v>-5200000</v>
      </c>
      <c r="M98" s="424">
        <f t="shared" ref="M98:BX98" ca="1" si="117">M37+M96+M62+M58+M66+M44</f>
        <v>-391153.00715178321</v>
      </c>
      <c r="N98" s="424">
        <f t="shared" ca="1" si="117"/>
        <v>-2750737.3328289636</v>
      </c>
      <c r="O98" s="424">
        <f t="shared" ca="1" si="117"/>
        <v>-2750737.3328289636</v>
      </c>
      <c r="P98" s="424">
        <f t="shared" ca="1" si="117"/>
        <v>-2750737.3328289636</v>
      </c>
      <c r="Q98" s="424">
        <f t="shared" ca="1" si="117"/>
        <v>-2750737.3328289636</v>
      </c>
      <c r="R98" s="424">
        <f t="shared" ca="1" si="117"/>
        <v>-2750737.3328289636</v>
      </c>
      <c r="S98" s="424">
        <f t="shared" ca="1" si="117"/>
        <v>-3128392.349461819</v>
      </c>
      <c r="T98" s="424">
        <f t="shared" ca="1" si="117"/>
        <v>-2880963.2006333964</v>
      </c>
      <c r="U98" s="424">
        <f t="shared" ca="1" si="117"/>
        <v>-2880963.2006333964</v>
      </c>
      <c r="V98" s="424">
        <f t="shared" ca="1" si="117"/>
        <v>-2880963.2006333964</v>
      </c>
      <c r="W98" s="424">
        <f t="shared" ca="1" si="117"/>
        <v>-2880963.2006333964</v>
      </c>
      <c r="X98" s="424">
        <f t="shared" ca="1" si="117"/>
        <v>-2880963.2006333964</v>
      </c>
      <c r="Y98" s="424">
        <f t="shared" ca="1" si="117"/>
        <v>-2880963.2006333964</v>
      </c>
      <c r="Z98" s="424">
        <f t="shared" ca="1" si="117"/>
        <v>-2880963.2006333964</v>
      </c>
      <c r="AA98" s="424">
        <f t="shared" ca="1" si="117"/>
        <v>-2955963.2006333964</v>
      </c>
      <c r="AB98" s="424">
        <f t="shared" ca="1" si="117"/>
        <v>-2955963.2006333964</v>
      </c>
      <c r="AC98" s="424">
        <f t="shared" ca="1" si="117"/>
        <v>-2955963.2006333964</v>
      </c>
      <c r="AD98" s="424">
        <f t="shared" ca="1" si="117"/>
        <v>-2564810.1934816134</v>
      </c>
      <c r="AE98" s="424">
        <f t="shared" ca="1" si="117"/>
        <v>1493.1568469843332</v>
      </c>
      <c r="AF98" s="424">
        <f t="shared" ca="1" si="117"/>
        <v>1493.1568469843332</v>
      </c>
      <c r="AG98" s="424">
        <f t="shared" ca="1" si="117"/>
        <v>1493.1568469843332</v>
      </c>
      <c r="AH98" s="424">
        <f t="shared" ca="1" si="117"/>
        <v>12884.558274084426</v>
      </c>
      <c r="AI98" s="424">
        <f t="shared" ca="1" si="117"/>
        <v>57667.161480629831</v>
      </c>
      <c r="AJ98" s="424">
        <f t="shared" ca="1" si="117"/>
        <v>93032.456097495728</v>
      </c>
      <c r="AK98" s="424">
        <f t="shared" ca="1" si="117"/>
        <v>76009.778197620806</v>
      </c>
      <c r="AL98" s="424">
        <f t="shared" ca="1" si="117"/>
        <v>237707.88351587654</v>
      </c>
      <c r="AM98" s="424">
        <f t="shared" ca="1" si="117"/>
        <v>281182.15799853031</v>
      </c>
      <c r="AN98" s="424">
        <f t="shared" ca="1" si="117"/>
        <v>376361.39378924511</v>
      </c>
      <c r="AO98" s="424">
        <f t="shared" ca="1" si="117"/>
        <v>262330.20811038307</v>
      </c>
      <c r="AP98" s="424">
        <f t="shared" ca="1" si="117"/>
        <v>192790.26715813929</v>
      </c>
      <c r="AQ98" s="424">
        <f t="shared" ca="1" si="117"/>
        <v>152907.44976458148</v>
      </c>
      <c r="AR98" s="424">
        <f t="shared" ca="1" si="117"/>
        <v>232891.88638836407</v>
      </c>
      <c r="AS98" s="424">
        <f t="shared" ca="1" si="117"/>
        <v>377390.11212870508</v>
      </c>
      <c r="AT98" s="424">
        <f t="shared" ca="1" si="117"/>
        <v>384827.74052563985</v>
      </c>
      <c r="AU98" s="424">
        <f t="shared" ca="1" si="117"/>
        <v>410402.60860605352</v>
      </c>
      <c r="AV98" s="424">
        <f t="shared" ca="1" si="117"/>
        <v>432600.3487501234</v>
      </c>
      <c r="AW98" s="424">
        <f t="shared" ca="1" si="117"/>
        <v>354811.38996826683</v>
      </c>
      <c r="AX98" s="424">
        <f t="shared" ca="1" si="117"/>
        <v>351951.61340581067</v>
      </c>
      <c r="AY98" s="424">
        <f t="shared" ca="1" si="117"/>
        <v>392251.12127424107</v>
      </c>
      <c r="AZ98" s="424">
        <f t="shared" ca="1" si="117"/>
        <v>493736.9005721233</v>
      </c>
      <c r="BA98" s="424">
        <f t="shared" ca="1" si="117"/>
        <v>340569.65246195381</v>
      </c>
      <c r="BB98" s="424">
        <f t="shared" ca="1" si="117"/>
        <v>246653.91045380486</v>
      </c>
      <c r="BC98" s="424">
        <f t="shared" ca="1" si="117"/>
        <v>191431.17204208873</v>
      </c>
      <c r="BD98" s="424">
        <f t="shared" ca="1" si="117"/>
        <v>271097.9843876271</v>
      </c>
      <c r="BE98" s="424">
        <f t="shared" ca="1" si="117"/>
        <v>417068.17055769113</v>
      </c>
      <c r="BF98" s="424">
        <f t="shared" ca="1" si="117"/>
        <v>411280.16831668385</v>
      </c>
      <c r="BG98" s="424">
        <f t="shared" ca="1" si="117"/>
        <v>424532.40955077979</v>
      </c>
      <c r="BH98" s="424">
        <f t="shared" ca="1" si="117"/>
        <v>433827.40795527992</v>
      </c>
      <c r="BI98" s="424">
        <f t="shared" ca="1" si="117"/>
        <v>354800.38204484957</v>
      </c>
      <c r="BJ98" s="424">
        <f t="shared" ca="1" si="117"/>
        <v>351904.57066839613</v>
      </c>
      <c r="BK98" s="424">
        <f t="shared" ca="1" si="117"/>
        <v>392842.68892356631</v>
      </c>
      <c r="BL98" s="424">
        <f t="shared" ca="1" si="117"/>
        <v>495890.25937920803</v>
      </c>
      <c r="BM98" s="424">
        <f t="shared" ca="1" si="117"/>
        <v>340381.25049054984</v>
      </c>
      <c r="BN98" s="424">
        <f t="shared" ca="1" si="117"/>
        <v>245037.5977826587</v>
      </c>
      <c r="BO98" s="424">
        <f t="shared" ca="1" si="117"/>
        <v>192100.47370748373</v>
      </c>
      <c r="BP98" s="424">
        <f t="shared" ca="1" si="117"/>
        <v>290018.54150457378</v>
      </c>
      <c r="BQ98" s="424">
        <f t="shared" ca="1" si="117"/>
        <v>421097.51619598671</v>
      </c>
      <c r="BR98" s="424">
        <f t="shared" ca="1" si="117"/>
        <v>415238.29654115374</v>
      </c>
      <c r="BS98" s="424">
        <f t="shared" ca="1" si="117"/>
        <v>428679.09687050153</v>
      </c>
      <c r="BT98" s="424">
        <f t="shared" ca="1" si="117"/>
        <v>438139.64307501965</v>
      </c>
      <c r="BU98" s="424">
        <f t="shared" ca="1" si="117"/>
        <v>357870.27607120527</v>
      </c>
      <c r="BV98" s="424">
        <f t="shared" ca="1" si="117"/>
        <v>354938.84159082023</v>
      </c>
      <c r="BW98" s="424">
        <f t="shared" ca="1" si="117"/>
        <v>396517.61729885335</v>
      </c>
      <c r="BX98" s="424">
        <f t="shared" ca="1" si="117"/>
        <v>501129.34918035223</v>
      </c>
      <c r="BY98" s="424">
        <f t="shared" ref="BY98:EA98" ca="1" si="118">BY37+BY96+BY62+BY58+BY66+BY44</f>
        <v>343275.92438979499</v>
      </c>
      <c r="BZ98" s="424">
        <f t="shared" ca="1" si="118"/>
        <v>246503.21050798488</v>
      </c>
      <c r="CA98" s="424">
        <f t="shared" ca="1" si="118"/>
        <v>192611.79087295389</v>
      </c>
      <c r="CB98" s="424">
        <f t="shared" ca="1" si="118"/>
        <v>274681.60965655767</v>
      </c>
      <c r="CC98" s="424">
        <f t="shared" ca="1" si="118"/>
        <v>424967.40667406778</v>
      </c>
      <c r="CD98" s="424">
        <f t="shared" ca="1" si="118"/>
        <v>419037.90576259588</v>
      </c>
      <c r="CE98" s="424">
        <f t="shared" ca="1" si="118"/>
        <v>432666.6517158004</v>
      </c>
      <c r="CF98" s="424">
        <f t="shared" ca="1" si="118"/>
        <v>442294.18381704832</v>
      </c>
      <c r="CG98" s="424">
        <f t="shared" ca="1" si="118"/>
        <v>360779.05957756599</v>
      </c>
      <c r="CH98" s="424">
        <f t="shared" ca="1" si="118"/>
        <v>357812.47083725291</v>
      </c>
      <c r="CI98" s="424">
        <f t="shared" ca="1" si="118"/>
        <v>400033.49913889094</v>
      </c>
      <c r="CJ98" s="424">
        <f t="shared" ca="1" si="118"/>
        <v>506210.499318388</v>
      </c>
      <c r="CK98" s="424">
        <f t="shared" ca="1" si="118"/>
        <v>346011.95177981781</v>
      </c>
      <c r="CL98" s="424">
        <f t="shared" ca="1" si="118"/>
        <v>247810.24234109037</v>
      </c>
      <c r="CM98" s="424">
        <f t="shared" ca="1" si="118"/>
        <v>192954.91282427995</v>
      </c>
      <c r="CN98" s="424">
        <f t="shared" ca="1" si="118"/>
        <v>276225.74441799597</v>
      </c>
      <c r="CO98" s="424">
        <f t="shared" ca="1" si="118"/>
        <v>428664.51899852138</v>
      </c>
      <c r="CP98" s="424">
        <f t="shared" ca="1" si="118"/>
        <v>422665.79325270181</v>
      </c>
      <c r="CQ98" s="424">
        <f t="shared" ca="1" si="118"/>
        <v>436481.66484689759</v>
      </c>
      <c r="CR98" s="424">
        <f t="shared" ca="1" si="118"/>
        <v>449216.91980496567</v>
      </c>
      <c r="CS98" s="424">
        <f t="shared" ca="1" si="118"/>
        <v>366453.53532597859</v>
      </c>
      <c r="CT98" s="424">
        <f t="shared" ca="1" si="118"/>
        <v>363452.32136117399</v>
      </c>
      <c r="CU98" s="424">
        <f t="shared" ca="1" si="118"/>
        <v>406316.71651389613</v>
      </c>
      <c r="CV98" s="424">
        <f t="shared" ca="1" si="118"/>
        <v>514058.75053057808</v>
      </c>
      <c r="CW98" s="424">
        <f t="shared" ca="1" si="118"/>
        <v>351516.44096142554</v>
      </c>
      <c r="CX98" s="424">
        <f t="shared" ca="1" si="118"/>
        <v>251887.09167485946</v>
      </c>
      <c r="CY98" s="424">
        <f t="shared" ca="1" si="118"/>
        <v>202732.69464630942</v>
      </c>
      <c r="CZ98" s="424">
        <f t="shared" ca="1" si="118"/>
        <v>288501.65118783718</v>
      </c>
      <c r="DA98" s="424">
        <f t="shared" ca="1" si="118"/>
        <v>445513.58900577843</v>
      </c>
      <c r="DB98" s="424">
        <f t="shared" ca="1" si="118"/>
        <v>439334.90148758405</v>
      </c>
      <c r="DC98" s="424">
        <f t="shared" ca="1" si="118"/>
        <v>453565.24922960572</v>
      </c>
      <c r="DD98" s="424">
        <f t="shared" ca="1" si="118"/>
        <v>441125.22886876669</v>
      </c>
      <c r="DE98" s="424">
        <f t="shared" ca="1" si="118"/>
        <v>355878.94285541034</v>
      </c>
      <c r="DF98" s="424">
        <f t="shared" ca="1" si="118"/>
        <v>352787.69247166166</v>
      </c>
      <c r="DG98" s="424">
        <f t="shared" ca="1" si="118"/>
        <v>396938.01947896526</v>
      </c>
      <c r="DH98" s="424">
        <f t="shared" ca="1" si="118"/>
        <v>507912.31451614766</v>
      </c>
      <c r="DI98" s="424">
        <f t="shared" ca="1" si="118"/>
        <v>340493.73565992049</v>
      </c>
      <c r="DJ98" s="424">
        <f t="shared" ca="1" si="118"/>
        <v>237875.5058947574</v>
      </c>
      <c r="DK98" s="424">
        <f t="shared" ca="1" si="118"/>
        <v>187246.47695535107</v>
      </c>
      <c r="DL98" s="424">
        <f t="shared" ca="1" si="118"/>
        <v>294191.77011494024</v>
      </c>
      <c r="DM98" s="424">
        <f t="shared" ca="1" si="118"/>
        <v>437310.79814560385</v>
      </c>
      <c r="DN98" s="424">
        <f t="shared" ca="1" si="118"/>
        <v>430946.75000186352</v>
      </c>
      <c r="DO98" s="424">
        <f t="shared" ca="1" si="118"/>
        <v>445604.00817614619</v>
      </c>
      <c r="DP98" s="424">
        <f t="shared" ca="1" si="118"/>
        <v>454316.4748033561</v>
      </c>
      <c r="DQ98" s="424">
        <f t="shared" ca="1" si="118"/>
        <v>366512.80020959908</v>
      </c>
      <c r="DR98" s="424">
        <f t="shared" ca="1" si="118"/>
        <v>363328.81231433759</v>
      </c>
      <c r="DS98" s="424">
        <f t="shared" ca="1" si="118"/>
        <v>408803.6491318607</v>
      </c>
      <c r="DT98" s="424">
        <f t="shared" ca="1" si="118"/>
        <v>523107.17302015878</v>
      </c>
      <c r="DU98" s="424">
        <f t="shared" ca="1" si="118"/>
        <v>350666.03679824469</v>
      </c>
      <c r="DV98" s="424">
        <f t="shared" ca="1" si="118"/>
        <v>244969.2601401266</v>
      </c>
      <c r="DW98" s="424">
        <f t="shared" ca="1" si="118"/>
        <v>192821.360332538</v>
      </c>
      <c r="DX98" s="424">
        <f t="shared" ca="1" si="118"/>
        <v>283813.6463274447</v>
      </c>
      <c r="DY98" s="424">
        <f t="shared" ca="1" si="118"/>
        <v>450387.61115849821</v>
      </c>
      <c r="DZ98" s="424">
        <f t="shared" ca="1" si="118"/>
        <v>443832.6415704462</v>
      </c>
      <c r="EA98" s="424">
        <f t="shared" ca="1" si="118"/>
        <v>85882176.660449222</v>
      </c>
      <c r="EB98" s="389"/>
      <c r="EC98" s="392" t="s">
        <v>65</v>
      </c>
    </row>
    <row r="99" spans="1:133" s="390" customFormat="1" ht="15" customHeight="1">
      <c r="A99" s="389"/>
      <c r="B99" s="389"/>
      <c r="C99" s="389"/>
      <c r="D99" s="425" t="s">
        <v>344</v>
      </c>
      <c r="E99" s="426">
        <f ca="1">XIRR(L98:EA98,L8:EA8)</f>
        <v>0.10644598603248598</v>
      </c>
      <c r="F99" s="397"/>
      <c r="G99" s="397"/>
      <c r="H99" s="397"/>
      <c r="I99" s="796"/>
      <c r="J99" s="397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  <c r="BT99" s="389"/>
      <c r="BU99" s="389"/>
      <c r="BV99" s="389"/>
      <c r="BW99" s="389"/>
      <c r="BX99" s="389"/>
      <c r="BY99" s="389"/>
      <c r="BZ99" s="389"/>
      <c r="CA99" s="389"/>
      <c r="CB99" s="389"/>
      <c r="CC99" s="389"/>
      <c r="CD99" s="389"/>
      <c r="CE99" s="389"/>
      <c r="CF99" s="389"/>
      <c r="CG99" s="389"/>
      <c r="CH99" s="389"/>
      <c r="CI99" s="389"/>
      <c r="CJ99" s="389"/>
      <c r="CK99" s="389"/>
      <c r="CL99" s="389"/>
      <c r="CM99" s="389"/>
      <c r="CN99" s="389"/>
      <c r="CO99" s="389"/>
      <c r="CP99" s="389"/>
      <c r="CQ99" s="389"/>
      <c r="CR99" s="389"/>
      <c r="CS99" s="389"/>
      <c r="CT99" s="389"/>
      <c r="CU99" s="389"/>
      <c r="CV99" s="389"/>
      <c r="CW99" s="389"/>
      <c r="CX99" s="389"/>
      <c r="CY99" s="389"/>
      <c r="CZ99" s="389"/>
      <c r="DA99" s="389"/>
      <c r="DB99" s="389"/>
      <c r="DC99" s="389"/>
      <c r="DD99" s="389"/>
      <c r="DE99" s="389"/>
      <c r="DF99" s="389"/>
      <c r="DG99" s="389"/>
      <c r="DH99" s="389"/>
      <c r="DI99" s="389"/>
      <c r="DJ99" s="389"/>
      <c r="DK99" s="389"/>
      <c r="DL99" s="389"/>
      <c r="DM99" s="389"/>
      <c r="DN99" s="389"/>
      <c r="DO99" s="389"/>
      <c r="DP99" s="389"/>
      <c r="DQ99" s="389"/>
      <c r="DR99" s="389"/>
      <c r="DS99" s="389"/>
      <c r="DT99" s="389"/>
      <c r="DU99" s="389"/>
      <c r="DV99" s="389"/>
      <c r="DW99" s="389"/>
      <c r="DX99" s="389"/>
      <c r="DY99" s="389"/>
      <c r="DZ99" s="389"/>
      <c r="EA99" s="389"/>
      <c r="EB99" s="389"/>
      <c r="EC99" s="392" t="s">
        <v>65</v>
      </c>
    </row>
    <row r="100" spans="1:133" s="390" customFormat="1" ht="15" customHeight="1">
      <c r="A100" s="389"/>
      <c r="B100" s="389"/>
      <c r="C100" s="389"/>
      <c r="D100" s="427" t="s">
        <v>345</v>
      </c>
      <c r="E100" s="428">
        <f ca="1">(F105+I98)/I98</f>
        <v>1.3358028553359595</v>
      </c>
      <c r="F100" s="573"/>
      <c r="G100" s="573"/>
      <c r="H100" s="573"/>
      <c r="I100" s="796"/>
      <c r="J100" s="573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  <c r="BU100" s="389"/>
      <c r="BV100" s="389"/>
      <c r="BW100" s="389"/>
      <c r="BX100" s="389"/>
      <c r="BY100" s="389"/>
      <c r="BZ100" s="389"/>
      <c r="CA100" s="389"/>
      <c r="CB100" s="389"/>
      <c r="CC100" s="389"/>
      <c r="CD100" s="389"/>
      <c r="CE100" s="389"/>
      <c r="CF100" s="389"/>
      <c r="CG100" s="389"/>
      <c r="CH100" s="389"/>
      <c r="CI100" s="389"/>
      <c r="CJ100" s="389"/>
      <c r="CK100" s="389"/>
      <c r="CL100" s="389"/>
      <c r="CM100" s="389"/>
      <c r="CN100" s="389"/>
      <c r="CO100" s="389"/>
      <c r="CP100" s="389"/>
      <c r="CQ100" s="389"/>
      <c r="CR100" s="389"/>
      <c r="CS100" s="389"/>
      <c r="CT100" s="389"/>
      <c r="CU100" s="389"/>
      <c r="CV100" s="389"/>
      <c r="CW100" s="389"/>
      <c r="CX100" s="389"/>
      <c r="CY100" s="389"/>
      <c r="CZ100" s="389"/>
      <c r="DA100" s="389"/>
      <c r="DB100" s="389"/>
      <c r="DC100" s="389"/>
      <c r="DD100" s="389"/>
      <c r="DE100" s="389"/>
      <c r="DF100" s="389"/>
      <c r="DG100" s="389"/>
      <c r="DH100" s="389"/>
      <c r="DI100" s="389"/>
      <c r="DJ100" s="389"/>
      <c r="DK100" s="389"/>
      <c r="DL100" s="389"/>
      <c r="DM100" s="389"/>
      <c r="DN100" s="389"/>
      <c r="DO100" s="389"/>
      <c r="DP100" s="389"/>
      <c r="DQ100" s="389"/>
      <c r="DR100" s="389"/>
      <c r="DS100" s="389"/>
      <c r="DT100" s="389"/>
      <c r="DU100" s="389"/>
      <c r="DV100" s="389"/>
      <c r="DW100" s="389"/>
      <c r="DX100" s="389"/>
      <c r="DY100" s="389"/>
      <c r="DZ100" s="389"/>
      <c r="EA100" s="389"/>
      <c r="EB100" s="389"/>
      <c r="EC100" s="392" t="s">
        <v>65</v>
      </c>
    </row>
    <row r="101" spans="1:133" s="390" customFormat="1" ht="15" customHeight="1">
      <c r="A101" s="389"/>
      <c r="B101" s="389"/>
      <c r="C101" s="389"/>
      <c r="D101" s="416"/>
      <c r="E101" s="389"/>
      <c r="F101" s="389"/>
      <c r="G101" s="389"/>
      <c r="H101" s="389"/>
      <c r="I101" s="798"/>
      <c r="J101" s="389"/>
      <c r="K101" s="420"/>
      <c r="L101" s="420"/>
      <c r="M101" s="420"/>
      <c r="N101" s="420"/>
      <c r="O101" s="420"/>
      <c r="P101" s="420"/>
      <c r="Q101" s="420"/>
      <c r="R101" s="420"/>
      <c r="S101" s="420"/>
      <c r="T101" s="420"/>
      <c r="U101" s="420"/>
      <c r="V101" s="420"/>
      <c r="W101" s="420"/>
      <c r="X101" s="420"/>
      <c r="Y101" s="420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  <c r="AK101" s="420"/>
      <c r="AL101" s="420"/>
      <c r="AM101" s="420"/>
      <c r="AN101" s="420"/>
      <c r="AO101" s="420"/>
      <c r="AP101" s="420"/>
      <c r="AQ101" s="420"/>
      <c r="AR101" s="420"/>
      <c r="AS101" s="420"/>
      <c r="AT101" s="420"/>
      <c r="AU101" s="420"/>
      <c r="AV101" s="420"/>
      <c r="AW101" s="420"/>
      <c r="AX101" s="420"/>
      <c r="AY101" s="420"/>
      <c r="AZ101" s="420"/>
      <c r="BA101" s="420"/>
      <c r="BB101" s="420"/>
      <c r="BC101" s="420"/>
      <c r="BD101" s="420"/>
      <c r="BE101" s="420"/>
      <c r="BF101" s="420"/>
      <c r="BG101" s="420"/>
      <c r="BH101" s="420"/>
      <c r="BI101" s="420"/>
      <c r="BJ101" s="420"/>
      <c r="BK101" s="420"/>
      <c r="BL101" s="420"/>
      <c r="BM101" s="420"/>
      <c r="BN101" s="420"/>
      <c r="BO101" s="420"/>
      <c r="BP101" s="420"/>
      <c r="BQ101" s="420"/>
      <c r="BR101" s="420"/>
      <c r="BS101" s="420"/>
      <c r="BT101" s="420"/>
      <c r="BU101" s="420"/>
      <c r="BV101" s="420"/>
      <c r="BW101" s="420"/>
      <c r="BX101" s="420"/>
      <c r="BY101" s="420"/>
      <c r="BZ101" s="420"/>
      <c r="CA101" s="420"/>
      <c r="CB101" s="420"/>
      <c r="CC101" s="420"/>
      <c r="CD101" s="420"/>
      <c r="CE101" s="420"/>
      <c r="CF101" s="420"/>
      <c r="CG101" s="420"/>
      <c r="CH101" s="420"/>
      <c r="CI101" s="420"/>
      <c r="CJ101" s="420"/>
      <c r="CK101" s="420"/>
      <c r="CL101" s="420"/>
      <c r="CM101" s="420"/>
      <c r="CN101" s="420"/>
      <c r="CO101" s="420"/>
      <c r="CP101" s="420"/>
      <c r="CQ101" s="420"/>
      <c r="CR101" s="420"/>
      <c r="CS101" s="420"/>
      <c r="CT101" s="420"/>
      <c r="CU101" s="420"/>
      <c r="CV101" s="420"/>
      <c r="CW101" s="420"/>
      <c r="CX101" s="420"/>
      <c r="CY101" s="420"/>
      <c r="CZ101" s="420"/>
      <c r="DA101" s="420"/>
      <c r="DB101" s="420"/>
      <c r="DC101" s="420"/>
      <c r="DD101" s="420"/>
      <c r="DE101" s="420"/>
      <c r="DF101" s="420"/>
      <c r="DG101" s="420"/>
      <c r="DH101" s="420"/>
      <c r="DI101" s="420"/>
      <c r="DJ101" s="420"/>
      <c r="DK101" s="420"/>
      <c r="DL101" s="420"/>
      <c r="DM101" s="420"/>
      <c r="DN101" s="420"/>
      <c r="DO101" s="420"/>
      <c r="DP101" s="420"/>
      <c r="DQ101" s="420"/>
      <c r="DR101" s="420"/>
      <c r="DS101" s="420"/>
      <c r="DT101" s="420"/>
      <c r="DU101" s="420"/>
      <c r="DV101" s="420"/>
      <c r="DW101" s="420"/>
      <c r="DX101" s="420"/>
      <c r="DY101" s="420"/>
      <c r="DZ101" s="420"/>
      <c r="EA101" s="420"/>
      <c r="EB101" s="389"/>
      <c r="EC101" s="392" t="s">
        <v>65</v>
      </c>
    </row>
    <row r="102" spans="1:133" s="390" customFormat="1" ht="15" customHeight="1">
      <c r="A102" s="389"/>
      <c r="B102" s="389"/>
      <c r="C102" s="389"/>
      <c r="D102" s="433" t="s">
        <v>346</v>
      </c>
      <c r="E102" s="903" t="s">
        <v>482</v>
      </c>
      <c r="F102" s="903" t="s">
        <v>483</v>
      </c>
      <c r="G102" s="903" t="s">
        <v>128</v>
      </c>
      <c r="H102" s="389"/>
      <c r="I102" s="796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  <c r="BU102" s="389"/>
      <c r="BV102" s="389"/>
      <c r="BW102" s="389"/>
      <c r="BX102" s="389"/>
      <c r="BY102" s="389"/>
      <c r="BZ102" s="389"/>
      <c r="CA102" s="389"/>
      <c r="CB102" s="389"/>
      <c r="CC102" s="389"/>
      <c r="CD102" s="389"/>
      <c r="CE102" s="389"/>
      <c r="CF102" s="389"/>
      <c r="CG102" s="389"/>
      <c r="CH102" s="389"/>
      <c r="CI102" s="389"/>
      <c r="CJ102" s="389"/>
      <c r="CK102" s="389"/>
      <c r="CL102" s="389"/>
      <c r="CM102" s="389"/>
      <c r="CN102" s="389"/>
      <c r="CO102" s="389"/>
      <c r="CP102" s="389"/>
      <c r="CQ102" s="389"/>
      <c r="CR102" s="389"/>
      <c r="CS102" s="389"/>
      <c r="CT102" s="389"/>
      <c r="CU102" s="389"/>
      <c r="CV102" s="389"/>
      <c r="CW102" s="389"/>
      <c r="CX102" s="389"/>
      <c r="CY102" s="389"/>
      <c r="CZ102" s="389"/>
      <c r="DA102" s="389"/>
      <c r="DB102" s="389"/>
      <c r="DC102" s="389"/>
      <c r="DD102" s="389"/>
      <c r="DE102" s="389"/>
      <c r="DF102" s="389"/>
      <c r="DG102" s="389"/>
      <c r="DH102" s="389"/>
      <c r="DI102" s="389"/>
      <c r="DJ102" s="389"/>
      <c r="DK102" s="389"/>
      <c r="DL102" s="389"/>
      <c r="DM102" s="389"/>
      <c r="DN102" s="389"/>
      <c r="DO102" s="389"/>
      <c r="DP102" s="389"/>
      <c r="DQ102" s="389"/>
      <c r="DR102" s="389"/>
      <c r="DS102" s="389"/>
      <c r="DT102" s="389"/>
      <c r="DU102" s="389"/>
      <c r="DV102" s="389"/>
      <c r="DW102" s="389"/>
      <c r="DX102" s="389"/>
      <c r="DY102" s="389"/>
      <c r="DZ102" s="389"/>
      <c r="EA102" s="389"/>
      <c r="EB102" s="389"/>
      <c r="EC102" s="392" t="s">
        <v>65</v>
      </c>
    </row>
    <row r="103" spans="1:133" s="390" customFormat="1">
      <c r="A103" s="389"/>
      <c r="B103" s="389"/>
      <c r="C103" s="389"/>
      <c r="D103" s="389" t="s">
        <v>494</v>
      </c>
      <c r="E103" s="904">
        <f>1-Assumptions!$E$61</f>
        <v>0.4</v>
      </c>
      <c r="F103" s="763">
        <f ca="1">'Budget Detail'!I79*E103</f>
        <v>21993702.118082017</v>
      </c>
      <c r="G103" s="763">
        <f ca="1">(E103*I76)+F103</f>
        <v>0</v>
      </c>
      <c r="H103" s="389"/>
      <c r="I103" s="796">
        <f t="shared" ref="I103" ca="1" si="119">SUM(K103:EA103)</f>
        <v>21993702.118082017</v>
      </c>
      <c r="J103" s="389"/>
      <c r="K103" s="703">
        <f>IF(K76&lt;0,MIN(-K76,$F$103-SUM(J$103:$K103)),0)</f>
        <v>0</v>
      </c>
      <c r="L103" s="703">
        <f ca="1">IF(L76&lt;0,MIN(-L76,$F$103-SUM(K$103:$K103)),0)</f>
        <v>5200000</v>
      </c>
      <c r="M103" s="703">
        <f ca="1">IF(M76&lt;0,MIN(-M76,$F$103-SUM($K$103:L103)),0)</f>
        <v>391153.00715178321</v>
      </c>
      <c r="N103" s="703">
        <f ca="1">IF(N76&lt;0,MIN(-N76,$F$103-SUM($K$103:M103)),0)</f>
        <v>2750737.3328289636</v>
      </c>
      <c r="O103" s="703">
        <f ca="1">IF(O76&lt;0,MIN(-O76,$F$103-SUM($K$103:N103)),0)</f>
        <v>2750737.3328289636</v>
      </c>
      <c r="P103" s="703">
        <f ca="1">IF(P76&lt;0,MIN(-P76,$F$103-SUM($K$103:O103)),0)</f>
        <v>2750737.3328289636</v>
      </c>
      <c r="Q103" s="703">
        <f ca="1">IF(Q76&lt;0,MIN(-Q76,$F$103-SUM($K$103:P103)),0)</f>
        <v>2750737.3328289636</v>
      </c>
      <c r="R103" s="703">
        <f ca="1">IF(R76&lt;0,MIN(-R76,$F$103-SUM($K$103:Q103)),0)</f>
        <v>2750737.3328289636</v>
      </c>
      <c r="S103" s="703">
        <f ca="1">IF(S76&lt;0,MIN(-S76,$F$103-SUM($K$103:R103)),0)</f>
        <v>2648862.4467854165</v>
      </c>
      <c r="T103" s="703">
        <f ca="1">IF(T76&lt;0,MIN(-T76,$F$103-SUM($K$103:S103)),0)</f>
        <v>0</v>
      </c>
      <c r="U103" s="703">
        <f ca="1">IF(U76&lt;0,MIN(-U76,$F$103-SUM($K$103:T103)),0)</f>
        <v>0</v>
      </c>
      <c r="V103" s="703">
        <f ca="1">IF(V76&lt;0,MIN(-V76,$F$103-SUM($K$103:U103)),0)</f>
        <v>0</v>
      </c>
      <c r="W103" s="703">
        <f ca="1">IF(W76&lt;0,MIN(-W76,$F$103-SUM($K$103:V103)),0)</f>
        <v>0</v>
      </c>
      <c r="X103" s="703">
        <f ca="1">IF(X76&lt;0,MIN(-X76,$F$103-SUM($K$103:W103)),0)</f>
        <v>0</v>
      </c>
      <c r="Y103" s="703">
        <f ca="1">IF(Y76&lt;0,MIN(-Y76,$F$103-SUM($K$103:X103)),0)</f>
        <v>0</v>
      </c>
      <c r="Z103" s="703">
        <f ca="1">IF(Z76&lt;0,MIN(-Z76,$F$103-SUM($K$103:Y103)),0)</f>
        <v>0</v>
      </c>
      <c r="AA103" s="703">
        <f ca="1">IF(AA76&lt;0,MIN(-AA76,$F$103-SUM($K$103:Z103)),0)</f>
        <v>0</v>
      </c>
      <c r="AB103" s="703">
        <f ca="1">IF(AB76&lt;0,MIN(-AB76,$F$103-SUM($K$103:AA103)),0)</f>
        <v>0</v>
      </c>
      <c r="AC103" s="703">
        <f ca="1">IF(AC76&lt;0,MIN(-AC76,$F$103-SUM($K$103:AB103)),0)</f>
        <v>0</v>
      </c>
      <c r="AD103" s="703">
        <f ca="1">IF(AD76&lt;0,MIN(-AD76,$F$103-SUM($K$103:AC103)),0)</f>
        <v>0</v>
      </c>
      <c r="AE103" s="703">
        <f ca="1">IF(AE76&lt;0,MIN(-AE76,$F$103-SUM($K$103:AD103)),0)</f>
        <v>0</v>
      </c>
      <c r="AF103" s="703">
        <f ca="1">IF(AF76&lt;0,MIN(-AF76,$F$103-SUM($K$103:AE103)),0)</f>
        <v>0</v>
      </c>
      <c r="AG103" s="703">
        <f ca="1">IF(AG76&lt;0,MIN(-AG76,$F$103-SUM($K$103:AF103)),0)</f>
        <v>0</v>
      </c>
      <c r="AH103" s="703">
        <f ca="1">IF(AH76&lt;0,MIN(-AH76,$F$103-SUM($K$103:AG103)),0)</f>
        <v>0</v>
      </c>
      <c r="AI103" s="703">
        <f ca="1">IF(AI76&lt;0,MIN(-AI76,$F$103-SUM($K$103:AH103)),0)</f>
        <v>0</v>
      </c>
      <c r="AJ103" s="703">
        <f ca="1">IF(AJ76&lt;0,MIN(-AJ76,$F$103-SUM($K$103:AI103)),0)</f>
        <v>0</v>
      </c>
      <c r="AK103" s="703">
        <f ca="1">IF(AK76&lt;0,MIN(-AK76,$F$103-SUM($K$103:AJ103)),0)</f>
        <v>0</v>
      </c>
      <c r="AL103" s="703">
        <f ca="1">IF(AL76&lt;0,MIN(-AL76,$F$103-SUM($K$103:AK103)),0)</f>
        <v>0</v>
      </c>
      <c r="AM103" s="703">
        <f ca="1">IF(AM76&lt;0,MIN(-AM76,$F$103-SUM($K$103:AL103)),0)</f>
        <v>0</v>
      </c>
      <c r="AN103" s="703">
        <f ca="1">IF(AN76&lt;0,MIN(-AN76,$F$103-SUM($K$103:AM103)),0)</f>
        <v>0</v>
      </c>
      <c r="AO103" s="703">
        <f ca="1">IF(AO76&lt;0,MIN(-AO76,$F$103-SUM($K$103:AN103)),0)</f>
        <v>0</v>
      </c>
      <c r="AP103" s="703">
        <f ca="1">IF(AP76&lt;0,MIN(-AP76,$F$103-SUM($K$103:AO103)),0)</f>
        <v>0</v>
      </c>
      <c r="AQ103" s="703">
        <f ca="1">IF(AQ76&lt;0,MIN(-AQ76,$F$103-SUM($K$103:AP103)),0)</f>
        <v>0</v>
      </c>
      <c r="AR103" s="703">
        <f ca="1">IF(AR76&lt;0,MIN(-AR76,$F$103-SUM($K$103:AQ103)),0)</f>
        <v>0</v>
      </c>
      <c r="AS103" s="703">
        <f ca="1">IF(AS76&lt;0,MIN(-AS76,$F$103-SUM($K$103:AR103)),0)</f>
        <v>0</v>
      </c>
      <c r="AT103" s="703">
        <f ca="1">IF(AT76&lt;0,MIN(-AT76,$F$103-SUM($K$103:AS103)),0)</f>
        <v>0</v>
      </c>
      <c r="AU103" s="703">
        <f ca="1">IF(AU76&lt;0,MIN(-AU76,$F$103-SUM($K$103:AT103)),0)</f>
        <v>0</v>
      </c>
      <c r="AV103" s="703">
        <f ca="1">IF(AV76&lt;0,MIN(-AV76,$F$103-SUM($K$103:AU103)),0)</f>
        <v>0</v>
      </c>
      <c r="AW103" s="703">
        <f ca="1">IF(AW76&lt;0,MIN(-AW76,$F$103-SUM($K$103:AV103)),0)</f>
        <v>0</v>
      </c>
      <c r="AX103" s="703">
        <f ca="1">IF(AX76&lt;0,MIN(-AX76,$F$103-SUM($K$103:AW103)),0)</f>
        <v>0</v>
      </c>
      <c r="AY103" s="703">
        <f ca="1">IF(AY76&lt;0,MIN(-AY76,$F$103-SUM($K$103:AX103)),0)</f>
        <v>0</v>
      </c>
      <c r="AZ103" s="703">
        <f ca="1">IF(AZ76&lt;0,MIN(-AZ76,$F$103-SUM($K$103:AY103)),0)</f>
        <v>0</v>
      </c>
      <c r="BA103" s="703">
        <f ca="1">IF(BA76&lt;0,MIN(-BA76,$F$103-SUM($K$103:AZ103)),0)</f>
        <v>0</v>
      </c>
      <c r="BB103" s="703">
        <f ca="1">IF(BB76&lt;0,MIN(-BB76,$F$103-SUM($K$103:BA103)),0)</f>
        <v>0</v>
      </c>
      <c r="BC103" s="703">
        <f ca="1">IF(BC76&lt;0,MIN(-BC76,$F$103-SUM($K$103:BB103)),0)</f>
        <v>0</v>
      </c>
      <c r="BD103" s="703">
        <f ca="1">IF(BD76&lt;0,MIN(-BD76,$F$103-SUM($K$103:BC103)),0)</f>
        <v>0</v>
      </c>
      <c r="BE103" s="703">
        <f ca="1">IF(BE76&lt;0,MIN(-BE76,$F$103-SUM($K$103:BD103)),0)</f>
        <v>0</v>
      </c>
      <c r="BF103" s="703">
        <f ca="1">IF(BF76&lt;0,MIN(-BF76,$F$103-SUM($K$103:BE103)),0)</f>
        <v>0</v>
      </c>
      <c r="BG103" s="703">
        <f ca="1">IF(BG76&lt;0,MIN(-BG76,$F$103-SUM($K$103:BF103)),0)</f>
        <v>0</v>
      </c>
      <c r="BH103" s="703">
        <f ca="1">IF(BH76&lt;0,MIN(-BH76,$F$103-SUM($K$103:BG103)),0)</f>
        <v>0</v>
      </c>
      <c r="BI103" s="703">
        <f ca="1">IF(BI76&lt;0,MIN(-BI76,$F$103-SUM($K$103:BH103)),0)</f>
        <v>0</v>
      </c>
      <c r="BJ103" s="703">
        <f ca="1">IF(BJ76&lt;0,MIN(-BJ76,$F$103-SUM($K$103:BI103)),0)</f>
        <v>0</v>
      </c>
      <c r="BK103" s="703">
        <f ca="1">IF(BK76&lt;0,MIN(-BK76,$F$103-SUM($K$103:BJ103)),0)</f>
        <v>0</v>
      </c>
      <c r="BL103" s="703">
        <f ca="1">IF(BL76&lt;0,MIN(-BL76,$F$103-SUM($K$103:BK103)),0)</f>
        <v>0</v>
      </c>
      <c r="BM103" s="703">
        <f ca="1">IF(BM76&lt;0,MIN(-BM76,$F$103-SUM($K$103:BL103)),0)</f>
        <v>0</v>
      </c>
      <c r="BN103" s="703">
        <f ca="1">IF(BN76&lt;0,MIN(-BN76,$F$103-SUM($K$103:BM103)),0)</f>
        <v>0</v>
      </c>
      <c r="BO103" s="703">
        <f ca="1">IF(BO76&lt;0,MIN(-BO76,$F$103-SUM($K$103:BN103)),0)</f>
        <v>0</v>
      </c>
      <c r="BP103" s="703">
        <f ca="1">IF(BP76&lt;0,MIN(-BP76,$F$103-SUM($K$103:BO103)),0)</f>
        <v>0</v>
      </c>
      <c r="BQ103" s="703">
        <f ca="1">IF(BQ76&lt;0,MIN(-BQ76,$F$103-SUM($K$103:BP103)),0)</f>
        <v>0</v>
      </c>
      <c r="BR103" s="703">
        <f ca="1">IF(BR76&lt;0,MIN(-BR76,$F$103-SUM($K$103:BQ103)),0)</f>
        <v>0</v>
      </c>
      <c r="BS103" s="703">
        <f ca="1">IF(BS76&lt;0,MIN(-BS76,$F$103-SUM($K$103:BR103)),0)</f>
        <v>0</v>
      </c>
      <c r="BT103" s="703">
        <f ca="1">IF(BT76&lt;0,MIN(-BT76,$F$103-SUM($K$103:BS103)),0)</f>
        <v>0</v>
      </c>
      <c r="BU103" s="703">
        <f ca="1">IF(BU76&lt;0,MIN(-BU76,$F$103-SUM($K$103:BT103)),0)</f>
        <v>0</v>
      </c>
      <c r="BV103" s="703">
        <f ca="1">IF(BV76&lt;0,MIN(-BV76,$F$103-SUM($K$103:BU103)),0)</f>
        <v>0</v>
      </c>
      <c r="BW103" s="703">
        <f ca="1">IF(BW76&lt;0,MIN(-BW76,$F$103-SUM($K$103:BV103)),0)</f>
        <v>0</v>
      </c>
      <c r="BX103" s="703">
        <f ca="1">IF(BX76&lt;0,MIN(-BX76,$F$103-SUM($K$103:BW103)),0)</f>
        <v>0</v>
      </c>
      <c r="BY103" s="703">
        <f ca="1">IF(BY76&lt;0,MIN(-BY76,$F$103-SUM($K$103:BX103)),0)</f>
        <v>0</v>
      </c>
      <c r="BZ103" s="703">
        <f ca="1">IF(BZ76&lt;0,MIN(-BZ76,$F$103-SUM($K$103:BY103)),0)</f>
        <v>0</v>
      </c>
      <c r="CA103" s="703">
        <f ca="1">IF(CA76&lt;0,MIN(-CA76,$F$103-SUM($K$103:BZ103)),0)</f>
        <v>0</v>
      </c>
      <c r="CB103" s="703">
        <f ca="1">IF(CB76&lt;0,MIN(-CB76,$F$103-SUM($K$103:CA103)),0)</f>
        <v>0</v>
      </c>
      <c r="CC103" s="703">
        <f ca="1">IF(CC76&lt;0,MIN(-CC76,$F$103-SUM($K$103:CB103)),0)</f>
        <v>0</v>
      </c>
      <c r="CD103" s="703">
        <f ca="1">IF(CD76&lt;0,MIN(-CD76,$F$103-SUM($K$103:CC103)),0)</f>
        <v>0</v>
      </c>
      <c r="CE103" s="703">
        <f ca="1">IF(CE76&lt;0,MIN(-CE76,$F$103-SUM($K$103:CD103)),0)</f>
        <v>0</v>
      </c>
      <c r="CF103" s="703">
        <f ca="1">IF(CF76&lt;0,MIN(-CF76,$F$103-SUM($K$103:CE103)),0)</f>
        <v>0</v>
      </c>
      <c r="CG103" s="703">
        <f ca="1">IF(CG76&lt;0,MIN(-CG76,$F$103-SUM($K$103:CF103)),0)</f>
        <v>0</v>
      </c>
      <c r="CH103" s="703">
        <f ca="1">IF(CH76&lt;0,MIN(-CH76,$F$103-SUM($K$103:CG103)),0)</f>
        <v>0</v>
      </c>
      <c r="CI103" s="703">
        <f ca="1">IF(CI76&lt;0,MIN(-CI76,$F$103-SUM($K$103:CH103)),0)</f>
        <v>0</v>
      </c>
      <c r="CJ103" s="703">
        <f ca="1">IF(CJ76&lt;0,MIN(-CJ76,$F$103-SUM($K$103:CI103)),0)</f>
        <v>0</v>
      </c>
      <c r="CK103" s="703">
        <f ca="1">IF(CK76&lt;0,MIN(-CK76,$F$103-SUM($K$103:CJ103)),0)</f>
        <v>0</v>
      </c>
      <c r="CL103" s="703">
        <f ca="1">IF(CL76&lt;0,MIN(-CL76,$F$103-SUM($K$103:CK103)),0)</f>
        <v>0</v>
      </c>
      <c r="CM103" s="703">
        <f ca="1">IF(CM76&lt;0,MIN(-CM76,$F$103-SUM($K$103:CL103)),0)</f>
        <v>0</v>
      </c>
      <c r="CN103" s="703">
        <f ca="1">IF(CN76&lt;0,MIN(-CN76,$F$103-SUM($K$103:CM103)),0)</f>
        <v>0</v>
      </c>
      <c r="CO103" s="703">
        <f ca="1">IF(CO76&lt;0,MIN(-CO76,$F$103-SUM($K$103:CN103)),0)</f>
        <v>0</v>
      </c>
      <c r="CP103" s="703">
        <f ca="1">IF(CP76&lt;0,MIN(-CP76,$F$103-SUM($K$103:CO103)),0)</f>
        <v>0</v>
      </c>
      <c r="CQ103" s="703">
        <f ca="1">IF(CQ76&lt;0,MIN(-CQ76,$F$103-SUM($K$103:CP103)),0)</f>
        <v>0</v>
      </c>
      <c r="CR103" s="703">
        <f ca="1">IF(CR76&lt;0,MIN(-CR76,$F$103-SUM($K$103:CQ103)),0)</f>
        <v>0</v>
      </c>
      <c r="CS103" s="703">
        <f ca="1">IF(CS76&lt;0,MIN(-CS76,$F$103-SUM($K$103:CR103)),0)</f>
        <v>0</v>
      </c>
      <c r="CT103" s="703">
        <f ca="1">IF(CT76&lt;0,MIN(-CT76,$F$103-SUM($K$103:CS103)),0)</f>
        <v>0</v>
      </c>
      <c r="CU103" s="703">
        <f ca="1">IF(CU76&lt;0,MIN(-CU76,$F$103-SUM($K$103:CT103)),0)</f>
        <v>0</v>
      </c>
      <c r="CV103" s="703">
        <f ca="1">IF(CV76&lt;0,MIN(-CV76,$F$103-SUM($K$103:CU103)),0)</f>
        <v>0</v>
      </c>
      <c r="CW103" s="703">
        <f ca="1">IF(CW76&lt;0,MIN(-CW76,$F$103-SUM($K$103:CV103)),0)</f>
        <v>0</v>
      </c>
      <c r="CX103" s="703">
        <f ca="1">IF(CX76&lt;0,MIN(-CX76,$F$103-SUM($K$103:CW103)),0)</f>
        <v>0</v>
      </c>
      <c r="CY103" s="703">
        <f ca="1">IF(CY76&lt;0,MIN(-CY76,$F$103-SUM($K$103:CX103)),0)</f>
        <v>0</v>
      </c>
      <c r="CZ103" s="703">
        <f ca="1">IF(CZ76&lt;0,MIN(-CZ76,$F$103-SUM($K$103:CY103)),0)</f>
        <v>0</v>
      </c>
      <c r="DA103" s="703">
        <f ca="1">IF(DA76&lt;0,MIN(-DA76,$F$103-SUM($K$103:CZ103)),0)</f>
        <v>0</v>
      </c>
      <c r="DB103" s="703">
        <f ca="1">IF(DB76&lt;0,MIN(-DB76,$F$103-SUM($K$103:DA103)),0)</f>
        <v>0</v>
      </c>
      <c r="DC103" s="703">
        <f ca="1">IF(DC76&lt;0,MIN(-DC76,$F$103-SUM($K$103:DB103)),0)</f>
        <v>0</v>
      </c>
      <c r="DD103" s="703">
        <f ca="1">IF(DD76&lt;0,MIN(-DD76,$F$103-SUM($K$103:DC103)),0)</f>
        <v>0</v>
      </c>
      <c r="DE103" s="703">
        <f ca="1">IF(DE76&lt;0,MIN(-DE76,$F$103-SUM($K$103:DD103)),0)</f>
        <v>0</v>
      </c>
      <c r="DF103" s="703">
        <f ca="1">IF(DF76&lt;0,MIN(-DF76,$F$103-SUM($K$103:DE103)),0)</f>
        <v>0</v>
      </c>
      <c r="DG103" s="703">
        <f ca="1">IF(DG76&lt;0,MIN(-DG76,$F$103-SUM($K$103:DF103)),0)</f>
        <v>0</v>
      </c>
      <c r="DH103" s="703">
        <f ca="1">IF(DH76&lt;0,MIN(-DH76,$F$103-SUM($K$103:DG103)),0)</f>
        <v>0</v>
      </c>
      <c r="DI103" s="703">
        <f ca="1">IF(DI76&lt;0,MIN(-DI76,$F$103-SUM($K$103:DH103)),0)</f>
        <v>0</v>
      </c>
      <c r="DJ103" s="703">
        <f ca="1">IF(DJ76&lt;0,MIN(-DJ76,$F$103-SUM($K$103:DI103)),0)</f>
        <v>0</v>
      </c>
      <c r="DK103" s="703">
        <f ca="1">IF(DK76&lt;0,MIN(-DK76,$F$103-SUM($K$103:DJ103)),0)</f>
        <v>0</v>
      </c>
      <c r="DL103" s="703">
        <f ca="1">IF(DL76&lt;0,MIN(-DL76,$F$103-SUM($K$103:DK103)),0)</f>
        <v>0</v>
      </c>
      <c r="DM103" s="703">
        <f ca="1">IF(DM76&lt;0,MIN(-DM76,$F$103-SUM($K$103:DL103)),0)</f>
        <v>0</v>
      </c>
      <c r="DN103" s="703">
        <f ca="1">IF(DN76&lt;0,MIN(-DN76,$F$103-SUM($K$103:DM103)),0)</f>
        <v>0</v>
      </c>
      <c r="DO103" s="703">
        <f ca="1">IF(DO76&lt;0,MIN(-DO76,$F$103-SUM($K$103:DN103)),0)</f>
        <v>0</v>
      </c>
      <c r="DP103" s="703">
        <f ca="1">IF(DP76&lt;0,MIN(-DP76,$F$103-SUM($K$103:DO103)),0)</f>
        <v>0</v>
      </c>
      <c r="DQ103" s="703">
        <f ca="1">IF(DQ76&lt;0,MIN(-DQ76,$F$103-SUM($K$103:DP103)),0)</f>
        <v>0</v>
      </c>
      <c r="DR103" s="703">
        <f ca="1">IF(DR76&lt;0,MIN(-DR76,$F$103-SUM($K$103:DQ103)),0)</f>
        <v>0</v>
      </c>
      <c r="DS103" s="703">
        <f ca="1">IF(DS76&lt;0,MIN(-DS76,$F$103-SUM($K$103:DR103)),0)</f>
        <v>0</v>
      </c>
      <c r="DT103" s="703">
        <f ca="1">IF(DT76&lt;0,MIN(-DT76,$F$103-SUM($K$103:DS103)),0)</f>
        <v>0</v>
      </c>
      <c r="DU103" s="703">
        <f ca="1">IF(DU76&lt;0,MIN(-DU76,$F$103-SUM($K$103:DT103)),0)</f>
        <v>0</v>
      </c>
      <c r="DV103" s="703">
        <f ca="1">IF(DV76&lt;0,MIN(-DV76,$F$103-SUM($K$103:DU103)),0)</f>
        <v>0</v>
      </c>
      <c r="DW103" s="703">
        <f ca="1">IF(DW76&lt;0,MIN(-DW76,$F$103-SUM($K$103:DV103)),0)</f>
        <v>0</v>
      </c>
      <c r="DX103" s="703">
        <f ca="1">IF(DX76&lt;0,MIN(-DX76,$F$103-SUM($K$103:DW103)),0)</f>
        <v>0</v>
      </c>
      <c r="DY103" s="703">
        <f ca="1">IF(DY76&lt;0,MIN(-DY76,$F$103-SUM($K$103:DX103)),0)</f>
        <v>0</v>
      </c>
      <c r="DZ103" s="703">
        <f ca="1">IF(DZ76&lt;0,MIN(-DZ76,$F$103-SUM($K$103:DY103)),0)</f>
        <v>0</v>
      </c>
      <c r="EA103" s="703">
        <f ca="1">IF(EA76&lt;0,MIN(-EA76,$F$103-SUM($K$103:DZ103)),0)</f>
        <v>0</v>
      </c>
      <c r="EB103" s="389"/>
      <c r="EC103" s="392" t="s">
        <v>65</v>
      </c>
    </row>
    <row r="104" spans="1:133" s="390" customFormat="1">
      <c r="A104" s="389"/>
      <c r="B104" s="389"/>
      <c r="C104" s="389"/>
      <c r="D104" s="457" t="s">
        <v>495</v>
      </c>
      <c r="E104" s="905">
        <f>1-Assumptions!$E$61</f>
        <v>0.4</v>
      </c>
      <c r="F104" s="906">
        <f>'Budget Detail'!J79*E104</f>
        <v>0</v>
      </c>
      <c r="G104" s="906">
        <f ca="1">(E104*I86)+F104</f>
        <v>0</v>
      </c>
      <c r="H104" s="389"/>
      <c r="I104" s="796">
        <f t="shared" ref="I104" ca="1" si="120">SUM(K104:EA104)</f>
        <v>0</v>
      </c>
      <c r="J104" s="389"/>
      <c r="K104" s="703">
        <f>IF(K86&lt;0,MIN(-K86,$F$104-SUM(J$104:$K104)),0)</f>
        <v>0</v>
      </c>
      <c r="L104" s="703">
        <f ca="1">IF(L86&lt;0,MIN(-L86,$F$104-SUM(K$104:$K104)),0)</f>
        <v>0</v>
      </c>
      <c r="M104" s="703">
        <f>IF(M86&lt;0,MIN(-M86,$F$104-SUM($K$104:L104)),0)</f>
        <v>0</v>
      </c>
      <c r="N104" s="703">
        <f>IF(N86&lt;0,MIN(-N86,$F$104-SUM($K$104:M104)),0)</f>
        <v>0</v>
      </c>
      <c r="O104" s="703">
        <f>IF(O86&lt;0,MIN(-O86,$F$104-SUM($K$104:N104)),0)</f>
        <v>0</v>
      </c>
      <c r="P104" s="703">
        <f>IF(P86&lt;0,MIN(-P86,$F$104-SUM($K$104:O104)),0)</f>
        <v>0</v>
      </c>
      <c r="Q104" s="703">
        <f>IF(Q86&lt;0,MIN(-Q86,$F$104-SUM($K$104:P104)),0)</f>
        <v>0</v>
      </c>
      <c r="R104" s="703">
        <f>IF(R86&lt;0,MIN(-R86,$F$104-SUM($K$104:Q104)),0)</f>
        <v>0</v>
      </c>
      <c r="S104" s="703">
        <f>IF(S86&lt;0,MIN(-S86,$F$104-SUM($K$104:R104)),0)</f>
        <v>0</v>
      </c>
      <c r="T104" s="703">
        <f>IF(T86&lt;0,MIN(-T86,$F$104-SUM($K$104:S104)),0)</f>
        <v>0</v>
      </c>
      <c r="U104" s="703">
        <f>IF(U86&lt;0,MIN(-U86,$F$104-SUM($K$104:T104)),0)</f>
        <v>0</v>
      </c>
      <c r="V104" s="703">
        <f>IF(V86&lt;0,MIN(-V86,$F$104-SUM($K$104:U104)),0)</f>
        <v>0</v>
      </c>
      <c r="W104" s="703">
        <f>IF(W86&lt;0,MIN(-W86,$F$104-SUM($K$104:V104)),0)</f>
        <v>0</v>
      </c>
      <c r="X104" s="703">
        <f>IF(X86&lt;0,MIN(-X86,$F$104-SUM($K$104:W104)),0)</f>
        <v>0</v>
      </c>
      <c r="Y104" s="703">
        <f>IF(Y86&lt;0,MIN(-Y86,$F$104-SUM($K$104:X104)),0)</f>
        <v>0</v>
      </c>
      <c r="Z104" s="703">
        <f>IF(Z86&lt;0,MIN(-Z86,$F$104-SUM($K$104:Y104)),0)</f>
        <v>0</v>
      </c>
      <c r="AA104" s="703">
        <f>IF(AA86&lt;0,MIN(-AA86,$F$104-SUM($K$104:Z104)),0)</f>
        <v>0</v>
      </c>
      <c r="AB104" s="703">
        <f>IF(AB86&lt;0,MIN(-AB86,$F$104-SUM($K$104:AA104)),0)</f>
        <v>0</v>
      </c>
      <c r="AC104" s="703">
        <f>IF(AC86&lt;0,MIN(-AC86,$F$104-SUM($K$104:AB104)),0)</f>
        <v>0</v>
      </c>
      <c r="AD104" s="703">
        <f>IF(AD86&lt;0,MIN(-AD86,$F$104-SUM($K$104:AC104)),0)</f>
        <v>0</v>
      </c>
      <c r="AE104" s="703">
        <f>IF(AE86&lt;0,MIN(-AE86,$F$104-SUM($K$104:AD104)),0)</f>
        <v>0</v>
      </c>
      <c r="AF104" s="703">
        <f>IF(AF86&lt;0,MIN(-AF86,$F$104-SUM($K$104:AE104)),0)</f>
        <v>0</v>
      </c>
      <c r="AG104" s="703">
        <f>IF(AG86&lt;0,MIN(-AG86,$F$104-SUM($K$104:AF104)),0)</f>
        <v>0</v>
      </c>
      <c r="AH104" s="703">
        <f>IF(AH86&lt;0,MIN(-AH86,$F$104-SUM($K$104:AG104)),0)</f>
        <v>0</v>
      </c>
      <c r="AI104" s="703">
        <f>IF(AI86&lt;0,MIN(-AI86,$F$104-SUM($K$104:AH104)),0)</f>
        <v>0</v>
      </c>
      <c r="AJ104" s="703">
        <f>IF(AJ86&lt;0,MIN(-AJ86,$F$104-SUM($K$104:AI104)),0)</f>
        <v>0</v>
      </c>
      <c r="AK104" s="703">
        <f>IF(AK86&lt;0,MIN(-AK86,$F$104-SUM($K$104:AJ104)),0)</f>
        <v>0</v>
      </c>
      <c r="AL104" s="703">
        <f>IF(AL86&lt;0,MIN(-AL86,$F$104-SUM($K$104:AK104)),0)</f>
        <v>0</v>
      </c>
      <c r="AM104" s="703">
        <f>IF(AM86&lt;0,MIN(-AM86,$F$104-SUM($K$104:AL104)),0)</f>
        <v>0</v>
      </c>
      <c r="AN104" s="703">
        <f>IF(AN86&lt;0,MIN(-AN86,$F$104-SUM($K$104:AM104)),0)</f>
        <v>0</v>
      </c>
      <c r="AO104" s="703">
        <f>IF(AO86&lt;0,MIN(-AO86,$F$104-SUM($K$104:AN104)),0)</f>
        <v>0</v>
      </c>
      <c r="AP104" s="703">
        <f>IF(AP86&lt;0,MIN(-AP86,$F$104-SUM($K$104:AO104)),0)</f>
        <v>0</v>
      </c>
      <c r="AQ104" s="703">
        <f>IF(AQ86&lt;0,MIN(-AQ86,$F$104-SUM($K$104:AP104)),0)</f>
        <v>0</v>
      </c>
      <c r="AR104" s="703">
        <f>IF(AR86&lt;0,MIN(-AR86,$F$104-SUM($K$104:AQ104)),0)</f>
        <v>0</v>
      </c>
      <c r="AS104" s="703">
        <f>IF(AS86&lt;0,MIN(-AS86,$F$104-SUM($K$104:AR104)),0)</f>
        <v>0</v>
      </c>
      <c r="AT104" s="703">
        <f>IF(AT86&lt;0,MIN(-AT86,$F$104-SUM($K$104:AS104)),0)</f>
        <v>0</v>
      </c>
      <c r="AU104" s="703">
        <f>IF(AU86&lt;0,MIN(-AU86,$F$104-SUM($K$104:AT104)),0)</f>
        <v>0</v>
      </c>
      <c r="AV104" s="703">
        <f>IF(AV86&lt;0,MIN(-AV86,$F$104-SUM($K$104:AU104)),0)</f>
        <v>0</v>
      </c>
      <c r="AW104" s="703">
        <f>IF(AW86&lt;0,MIN(-AW86,$F$104-SUM($K$104:AV104)),0)</f>
        <v>0</v>
      </c>
      <c r="AX104" s="703">
        <f>IF(AX86&lt;0,MIN(-AX86,$F$104-SUM($K$104:AW104)),0)</f>
        <v>0</v>
      </c>
      <c r="AY104" s="703">
        <f>IF(AY86&lt;0,MIN(-AY86,$F$104-SUM($K$104:AX104)),0)</f>
        <v>0</v>
      </c>
      <c r="AZ104" s="703">
        <f>IF(AZ86&lt;0,MIN(-AZ86,$F$104-SUM($K$104:AY104)),0)</f>
        <v>0</v>
      </c>
      <c r="BA104" s="703">
        <f>IF(BA86&lt;0,MIN(-BA86,$F$104-SUM($K$104:AZ104)),0)</f>
        <v>0</v>
      </c>
      <c r="BB104" s="703">
        <f>IF(BB86&lt;0,MIN(-BB86,$F$104-SUM($K$104:BA104)),0)</f>
        <v>0</v>
      </c>
      <c r="BC104" s="703">
        <f>IF(BC86&lt;0,MIN(-BC86,$F$104-SUM($K$104:BB104)),0)</f>
        <v>0</v>
      </c>
      <c r="BD104" s="703">
        <f>IF(BD86&lt;0,MIN(-BD86,$F$104-SUM($K$104:BC104)),0)</f>
        <v>0</v>
      </c>
      <c r="BE104" s="703">
        <f>IF(BE86&lt;0,MIN(-BE86,$F$104-SUM($K$104:BD104)),0)</f>
        <v>0</v>
      </c>
      <c r="BF104" s="703">
        <f>IF(BF86&lt;0,MIN(-BF86,$F$104-SUM($K$104:BE104)),0)</f>
        <v>0</v>
      </c>
      <c r="BG104" s="703">
        <f>IF(BG86&lt;0,MIN(-BG86,$F$104-SUM($K$104:BF104)),0)</f>
        <v>0</v>
      </c>
      <c r="BH104" s="703">
        <f>IF(BH86&lt;0,MIN(-BH86,$F$104-SUM($K$104:BG104)),0)</f>
        <v>0</v>
      </c>
      <c r="BI104" s="703">
        <f>IF(BI86&lt;0,MIN(-BI86,$F$104-SUM($K$104:BH104)),0)</f>
        <v>0</v>
      </c>
      <c r="BJ104" s="703">
        <f>IF(BJ86&lt;0,MIN(-BJ86,$F$104-SUM($K$104:BI104)),0)</f>
        <v>0</v>
      </c>
      <c r="BK104" s="703">
        <f>IF(BK86&lt;0,MIN(-BK86,$F$104-SUM($K$104:BJ104)),0)</f>
        <v>0</v>
      </c>
      <c r="BL104" s="703">
        <f>IF(BL86&lt;0,MIN(-BL86,$F$104-SUM($K$104:BK104)),0)</f>
        <v>0</v>
      </c>
      <c r="BM104" s="703">
        <f>IF(BM86&lt;0,MIN(-BM86,$F$104-SUM($K$104:BL104)),0)</f>
        <v>0</v>
      </c>
      <c r="BN104" s="703">
        <f>IF(BN86&lt;0,MIN(-BN86,$F$104-SUM($K$104:BM104)),0)</f>
        <v>0</v>
      </c>
      <c r="BO104" s="703">
        <f>IF(BO86&lt;0,MIN(-BO86,$F$104-SUM($K$104:BN104)),0)</f>
        <v>0</v>
      </c>
      <c r="BP104" s="703">
        <f>IF(BP86&lt;0,MIN(-BP86,$F$104-SUM($K$104:BO104)),0)</f>
        <v>0</v>
      </c>
      <c r="BQ104" s="703">
        <f>IF(BQ86&lt;0,MIN(-BQ86,$F$104-SUM($K$104:BP104)),0)</f>
        <v>0</v>
      </c>
      <c r="BR104" s="703">
        <f>IF(BR86&lt;0,MIN(-BR86,$F$104-SUM($K$104:BQ104)),0)</f>
        <v>0</v>
      </c>
      <c r="BS104" s="703">
        <f>IF(BS86&lt;0,MIN(-BS86,$F$104-SUM($K$104:BR104)),0)</f>
        <v>0</v>
      </c>
      <c r="BT104" s="703">
        <f>IF(BT86&lt;0,MIN(-BT86,$F$104-SUM($K$104:BS104)),0)</f>
        <v>0</v>
      </c>
      <c r="BU104" s="703">
        <f>IF(BU86&lt;0,MIN(-BU86,$F$104-SUM($K$104:BT104)),0)</f>
        <v>0</v>
      </c>
      <c r="BV104" s="703">
        <f>IF(BV86&lt;0,MIN(-BV86,$F$104-SUM($K$104:BU104)),0)</f>
        <v>0</v>
      </c>
      <c r="BW104" s="703">
        <f>IF(BW86&lt;0,MIN(-BW86,$F$104-SUM($K$104:BV104)),0)</f>
        <v>0</v>
      </c>
      <c r="BX104" s="703">
        <f>IF(BX86&lt;0,MIN(-BX86,$F$104-SUM($K$104:BW104)),0)</f>
        <v>0</v>
      </c>
      <c r="BY104" s="703">
        <f>IF(BY86&lt;0,MIN(-BY86,$F$104-SUM($K$104:BX104)),0)</f>
        <v>0</v>
      </c>
      <c r="BZ104" s="703">
        <f>IF(BZ86&lt;0,MIN(-BZ86,$F$104-SUM($K$104:BY104)),0)</f>
        <v>0</v>
      </c>
      <c r="CA104" s="703">
        <f>IF(CA86&lt;0,MIN(-CA86,$F$104-SUM($K$104:BZ104)),0)</f>
        <v>0</v>
      </c>
      <c r="CB104" s="703">
        <f>IF(CB86&lt;0,MIN(-CB86,$F$104-SUM($K$104:CA104)),0)</f>
        <v>0</v>
      </c>
      <c r="CC104" s="703">
        <f>IF(CC86&lt;0,MIN(-CC86,$F$104-SUM($K$104:CB104)),0)</f>
        <v>0</v>
      </c>
      <c r="CD104" s="703">
        <f>IF(CD86&lt;0,MIN(-CD86,$F$104-SUM($K$104:CC104)),0)</f>
        <v>0</v>
      </c>
      <c r="CE104" s="703">
        <f>IF(CE86&lt;0,MIN(-CE86,$F$104-SUM($K$104:CD104)),0)</f>
        <v>0</v>
      </c>
      <c r="CF104" s="703">
        <f>IF(CF86&lt;0,MIN(-CF86,$F$104-SUM($K$104:CE104)),0)</f>
        <v>0</v>
      </c>
      <c r="CG104" s="703">
        <f>IF(CG86&lt;0,MIN(-CG86,$F$104-SUM($K$104:CF104)),0)</f>
        <v>0</v>
      </c>
      <c r="CH104" s="703">
        <f>IF(CH86&lt;0,MIN(-CH86,$F$104-SUM($K$104:CG104)),0)</f>
        <v>0</v>
      </c>
      <c r="CI104" s="703">
        <f>IF(CI86&lt;0,MIN(-CI86,$F$104-SUM($K$104:CH104)),0)</f>
        <v>0</v>
      </c>
      <c r="CJ104" s="703">
        <f>IF(CJ86&lt;0,MIN(-CJ86,$F$104-SUM($K$104:CI104)),0)</f>
        <v>0</v>
      </c>
      <c r="CK104" s="703">
        <f>IF(CK86&lt;0,MIN(-CK86,$F$104-SUM($K$104:CJ104)),0)</f>
        <v>0</v>
      </c>
      <c r="CL104" s="703">
        <f>IF(CL86&lt;0,MIN(-CL86,$F$104-SUM($K$104:CK104)),0)</f>
        <v>0</v>
      </c>
      <c r="CM104" s="703">
        <f>IF(CM86&lt;0,MIN(-CM86,$F$104-SUM($K$104:CL104)),0)</f>
        <v>0</v>
      </c>
      <c r="CN104" s="703">
        <f>IF(CN86&lt;0,MIN(-CN86,$F$104-SUM($K$104:CM104)),0)</f>
        <v>0</v>
      </c>
      <c r="CO104" s="703">
        <f>IF(CO86&lt;0,MIN(-CO86,$F$104-SUM($K$104:CN104)),0)</f>
        <v>0</v>
      </c>
      <c r="CP104" s="703">
        <f>IF(CP86&lt;0,MIN(-CP86,$F$104-SUM($K$104:CO104)),0)</f>
        <v>0</v>
      </c>
      <c r="CQ104" s="703">
        <f>IF(CQ86&lt;0,MIN(-CQ86,$F$104-SUM($K$104:CP104)),0)</f>
        <v>0</v>
      </c>
      <c r="CR104" s="703">
        <f>IF(CR86&lt;0,MIN(-CR86,$F$104-SUM($K$104:CQ104)),0)</f>
        <v>0</v>
      </c>
      <c r="CS104" s="703">
        <f>IF(CS86&lt;0,MIN(-CS86,$F$104-SUM($K$104:CR104)),0)</f>
        <v>0</v>
      </c>
      <c r="CT104" s="703">
        <f>IF(CT86&lt;0,MIN(-CT86,$F$104-SUM($K$104:CS104)),0)</f>
        <v>0</v>
      </c>
      <c r="CU104" s="703">
        <f>IF(CU86&lt;0,MIN(-CU86,$F$104-SUM($K$104:CT104)),0)</f>
        <v>0</v>
      </c>
      <c r="CV104" s="703">
        <f>IF(CV86&lt;0,MIN(-CV86,$F$104-SUM($K$104:CU104)),0)</f>
        <v>0</v>
      </c>
      <c r="CW104" s="703">
        <f>IF(CW86&lt;0,MIN(-CW86,$F$104-SUM($K$104:CV104)),0)</f>
        <v>0</v>
      </c>
      <c r="CX104" s="703">
        <f>IF(CX86&lt;0,MIN(-CX86,$F$104-SUM($K$104:CW104)),0)</f>
        <v>0</v>
      </c>
      <c r="CY104" s="703">
        <f>IF(CY86&lt;0,MIN(-CY86,$F$104-SUM($K$104:CX104)),0)</f>
        <v>0</v>
      </c>
      <c r="CZ104" s="703">
        <f>IF(CZ86&lt;0,MIN(-CZ86,$F$104-SUM($K$104:CY104)),0)</f>
        <v>0</v>
      </c>
      <c r="DA104" s="703">
        <f>IF(DA86&lt;0,MIN(-DA86,$F$104-SUM($K$104:CZ104)),0)</f>
        <v>0</v>
      </c>
      <c r="DB104" s="703">
        <f>IF(DB86&lt;0,MIN(-DB86,$F$104-SUM($K$104:DA104)),0)</f>
        <v>0</v>
      </c>
      <c r="DC104" s="703">
        <f>IF(DC86&lt;0,MIN(-DC86,$F$104-SUM($K$104:DB104)),0)</f>
        <v>0</v>
      </c>
      <c r="DD104" s="703">
        <f>IF(DD86&lt;0,MIN(-DD86,$F$104-SUM($K$104:DC104)),0)</f>
        <v>0</v>
      </c>
      <c r="DE104" s="703">
        <f>IF(DE86&lt;0,MIN(-DE86,$F$104-SUM($K$104:DD104)),0)</f>
        <v>0</v>
      </c>
      <c r="DF104" s="703">
        <f>IF(DF86&lt;0,MIN(-DF86,$F$104-SUM($K$104:DE104)),0)</f>
        <v>0</v>
      </c>
      <c r="DG104" s="703">
        <f>IF(DG86&lt;0,MIN(-DG86,$F$104-SUM($K$104:DF104)),0)</f>
        <v>0</v>
      </c>
      <c r="DH104" s="703">
        <f>IF(DH86&lt;0,MIN(-DH86,$F$104-SUM($K$104:DG104)),0)</f>
        <v>0</v>
      </c>
      <c r="DI104" s="703">
        <f>IF(DI86&lt;0,MIN(-DI86,$F$104-SUM($K$104:DH104)),0)</f>
        <v>0</v>
      </c>
      <c r="DJ104" s="703">
        <f>IF(DJ86&lt;0,MIN(-DJ86,$F$104-SUM($K$104:DI104)),0)</f>
        <v>0</v>
      </c>
      <c r="DK104" s="703">
        <f>IF(DK86&lt;0,MIN(-DK86,$F$104-SUM($K$104:DJ104)),0)</f>
        <v>0</v>
      </c>
      <c r="DL104" s="703">
        <f>IF(DL86&lt;0,MIN(-DL86,$F$104-SUM($K$104:DK104)),0)</f>
        <v>0</v>
      </c>
      <c r="DM104" s="703">
        <f>IF(DM86&lt;0,MIN(-DM86,$F$104-SUM($K$104:DL104)),0)</f>
        <v>0</v>
      </c>
      <c r="DN104" s="703">
        <f>IF(DN86&lt;0,MIN(-DN86,$F$104-SUM($K$104:DM104)),0)</f>
        <v>0</v>
      </c>
      <c r="DO104" s="703">
        <f>IF(DO86&lt;0,MIN(-DO86,$F$104-SUM($K$104:DN104)),0)</f>
        <v>0</v>
      </c>
      <c r="DP104" s="703">
        <f>IF(DP86&lt;0,MIN(-DP86,$F$104-SUM($K$104:DO104)),0)</f>
        <v>0</v>
      </c>
      <c r="DQ104" s="703">
        <f>IF(DQ86&lt;0,MIN(-DQ86,$F$104-SUM($K$104:DP104)),0)</f>
        <v>0</v>
      </c>
      <c r="DR104" s="703">
        <f>IF(DR86&lt;0,MIN(-DR86,$F$104-SUM($K$104:DQ104)),0)</f>
        <v>0</v>
      </c>
      <c r="DS104" s="703">
        <f>IF(DS86&lt;0,MIN(-DS86,$F$104-SUM($K$104:DR104)),0)</f>
        <v>0</v>
      </c>
      <c r="DT104" s="703">
        <f>IF(DT86&lt;0,MIN(-DT86,$F$104-SUM($K$104:DS104)),0)</f>
        <v>0</v>
      </c>
      <c r="DU104" s="703">
        <f>IF(DU86&lt;0,MIN(-DU86,$F$104-SUM($K$104:DT104)),0)</f>
        <v>0</v>
      </c>
      <c r="DV104" s="703">
        <f>IF(DV86&lt;0,MIN(-DV86,$F$104-SUM($K$104:DU104)),0)</f>
        <v>0</v>
      </c>
      <c r="DW104" s="703">
        <f>IF(DW86&lt;0,MIN(-DW86,$F$104-SUM($K$104:DV104)),0)</f>
        <v>0</v>
      </c>
      <c r="DX104" s="703">
        <f>IF(DX86&lt;0,MIN(-DX86,$F$104-SUM($K$104:DW104)),0)</f>
        <v>0</v>
      </c>
      <c r="DY104" s="703">
        <f>IF(DY86&lt;0,MIN(-DY86,$F$104-SUM($K$104:DX104)),0)</f>
        <v>0</v>
      </c>
      <c r="DZ104" s="703">
        <f>IF(DZ86&lt;0,MIN(-DZ86,$F$104-SUM($K$104:DY104)),0)</f>
        <v>0</v>
      </c>
      <c r="EA104" s="703">
        <f>IF(EA86&lt;0,MIN(-EA86,$F$104-SUM($K$104:DZ104)),0)</f>
        <v>0</v>
      </c>
      <c r="EB104" s="389"/>
      <c r="EC104" s="392" t="s">
        <v>65</v>
      </c>
    </row>
    <row r="105" spans="1:133" s="390" customFormat="1">
      <c r="A105" s="389"/>
      <c r="B105" s="389"/>
      <c r="C105" s="389"/>
      <c r="D105" s="389" t="s">
        <v>506</v>
      </c>
      <c r="E105" s="904">
        <f ca="1">F105/-I96</f>
        <v>0.40000000000000013</v>
      </c>
      <c r="F105" s="763">
        <f ca="1">SUM(F103:F104)</f>
        <v>21993702.118082017</v>
      </c>
      <c r="G105" s="763">
        <f ca="1">SUM(G103:G104)</f>
        <v>0</v>
      </c>
      <c r="H105" s="389"/>
      <c r="I105" s="796"/>
      <c r="J105" s="389"/>
      <c r="K105" s="700"/>
      <c r="L105" s="718"/>
      <c r="M105" s="718"/>
      <c r="N105" s="718"/>
      <c r="O105" s="704"/>
      <c r="P105" s="704"/>
      <c r="Q105" s="704"/>
      <c r="R105" s="704"/>
      <c r="S105" s="704"/>
      <c r="T105" s="704"/>
      <c r="U105" s="704"/>
      <c r="V105" s="704"/>
      <c r="W105" s="704"/>
      <c r="X105" s="704"/>
      <c r="Y105" s="704"/>
      <c r="Z105" s="704"/>
      <c r="AA105" s="704"/>
      <c r="AB105" s="704"/>
      <c r="AC105" s="704"/>
      <c r="AD105" s="704"/>
      <c r="AE105" s="704"/>
      <c r="AF105" s="704"/>
      <c r="AG105" s="704"/>
      <c r="AH105" s="704"/>
      <c r="AI105" s="704"/>
      <c r="AJ105" s="704"/>
      <c r="AK105" s="704"/>
      <c r="AL105" s="704"/>
      <c r="AM105" s="704"/>
      <c r="AN105" s="704"/>
      <c r="AO105" s="704"/>
      <c r="AP105" s="704"/>
      <c r="AQ105" s="704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  <c r="BC105" s="704"/>
      <c r="BD105" s="704"/>
      <c r="BE105" s="704"/>
      <c r="BF105" s="704"/>
      <c r="BG105" s="704"/>
      <c r="BH105" s="704"/>
      <c r="BI105" s="704"/>
      <c r="BJ105" s="704"/>
      <c r="BK105" s="704"/>
      <c r="BL105" s="704"/>
      <c r="BM105" s="704"/>
      <c r="BN105" s="704"/>
      <c r="BO105" s="704"/>
      <c r="BP105" s="704"/>
      <c r="BQ105" s="704"/>
      <c r="BR105" s="704"/>
      <c r="BS105" s="704"/>
      <c r="BT105" s="704"/>
      <c r="BU105" s="704"/>
      <c r="BV105" s="704"/>
      <c r="BW105" s="704"/>
      <c r="BX105" s="704"/>
      <c r="BY105" s="704"/>
      <c r="BZ105" s="704"/>
      <c r="CA105" s="704"/>
      <c r="CB105" s="704"/>
      <c r="CC105" s="704"/>
      <c r="CD105" s="704"/>
      <c r="CE105" s="704"/>
      <c r="CF105" s="704"/>
      <c r="CG105" s="704"/>
      <c r="CH105" s="704"/>
      <c r="CI105" s="704"/>
      <c r="CJ105" s="704"/>
      <c r="CK105" s="704"/>
      <c r="CL105" s="704"/>
      <c r="CM105" s="704"/>
      <c r="CN105" s="704"/>
      <c r="CO105" s="704"/>
      <c r="CP105" s="704"/>
      <c r="CQ105" s="704"/>
      <c r="CR105" s="704"/>
      <c r="CS105" s="704"/>
      <c r="CT105" s="704"/>
      <c r="CU105" s="704"/>
      <c r="CV105" s="704"/>
      <c r="CW105" s="704"/>
      <c r="CX105" s="704"/>
      <c r="CY105" s="704"/>
      <c r="CZ105" s="704"/>
      <c r="DA105" s="704"/>
      <c r="DB105" s="704"/>
      <c r="DC105" s="704"/>
      <c r="DD105" s="704"/>
      <c r="DE105" s="704"/>
      <c r="DF105" s="704"/>
      <c r="DG105" s="704"/>
      <c r="DH105" s="704"/>
      <c r="DI105" s="704"/>
      <c r="DJ105" s="704"/>
      <c r="DK105" s="704"/>
      <c r="DL105" s="704"/>
      <c r="DM105" s="704"/>
      <c r="DN105" s="704"/>
      <c r="DO105" s="704"/>
      <c r="DP105" s="704"/>
      <c r="DQ105" s="704"/>
      <c r="DR105" s="704"/>
      <c r="DS105" s="704"/>
      <c r="DT105" s="704"/>
      <c r="DU105" s="704"/>
      <c r="DV105" s="704"/>
      <c r="DW105" s="704"/>
      <c r="DX105" s="704"/>
      <c r="DY105" s="704"/>
      <c r="DZ105" s="704"/>
      <c r="EA105" s="704"/>
      <c r="EB105" s="389"/>
      <c r="EC105" s="392" t="s">
        <v>65</v>
      </c>
    </row>
    <row r="106" spans="1:133" s="390" customFormat="1">
      <c r="A106" s="389"/>
      <c r="B106" s="389"/>
      <c r="C106" s="389"/>
      <c r="D106" s="389"/>
      <c r="E106" s="907"/>
      <c r="F106" s="763"/>
      <c r="G106" s="908"/>
      <c r="H106" s="389"/>
      <c r="I106" s="796"/>
      <c r="J106" s="389"/>
      <c r="K106" s="700"/>
      <c r="L106" s="718"/>
      <c r="M106" s="718"/>
      <c r="N106" s="718"/>
      <c r="O106" s="704"/>
      <c r="P106" s="704"/>
      <c r="Q106" s="704"/>
      <c r="R106" s="704"/>
      <c r="S106" s="704"/>
      <c r="T106" s="704"/>
      <c r="U106" s="704"/>
      <c r="V106" s="704"/>
      <c r="W106" s="704"/>
      <c r="X106" s="704"/>
      <c r="Y106" s="704"/>
      <c r="Z106" s="704"/>
      <c r="AA106" s="704"/>
      <c r="AB106" s="704"/>
      <c r="AC106" s="704"/>
      <c r="AD106" s="704"/>
      <c r="AE106" s="704"/>
      <c r="AF106" s="704"/>
      <c r="AG106" s="704"/>
      <c r="AH106" s="704"/>
      <c r="AI106" s="704"/>
      <c r="AJ106" s="704"/>
      <c r="AK106" s="704"/>
      <c r="AL106" s="704"/>
      <c r="AM106" s="704"/>
      <c r="AN106" s="704"/>
      <c r="AO106" s="704"/>
      <c r="AP106" s="704"/>
      <c r="AQ106" s="704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  <c r="BC106" s="704"/>
      <c r="BD106" s="704"/>
      <c r="BE106" s="704"/>
      <c r="BF106" s="704"/>
      <c r="BG106" s="704"/>
      <c r="BH106" s="704"/>
      <c r="BI106" s="704"/>
      <c r="BJ106" s="704"/>
      <c r="BK106" s="704"/>
      <c r="BL106" s="704"/>
      <c r="BM106" s="704"/>
      <c r="BN106" s="704"/>
      <c r="BO106" s="704"/>
      <c r="BP106" s="704"/>
      <c r="BQ106" s="704"/>
      <c r="BR106" s="704"/>
      <c r="BS106" s="704"/>
      <c r="BT106" s="704"/>
      <c r="BU106" s="704"/>
      <c r="BV106" s="704"/>
      <c r="BW106" s="704"/>
      <c r="BX106" s="704"/>
      <c r="BY106" s="704"/>
      <c r="BZ106" s="704"/>
      <c r="CA106" s="704"/>
      <c r="CB106" s="704"/>
      <c r="CC106" s="704"/>
      <c r="CD106" s="704"/>
      <c r="CE106" s="704"/>
      <c r="CF106" s="704"/>
      <c r="CG106" s="704"/>
      <c r="CH106" s="704"/>
      <c r="CI106" s="704"/>
      <c r="CJ106" s="704"/>
      <c r="CK106" s="704"/>
      <c r="CL106" s="704"/>
      <c r="CM106" s="704"/>
      <c r="CN106" s="704"/>
      <c r="CO106" s="704"/>
      <c r="CP106" s="704"/>
      <c r="CQ106" s="704"/>
      <c r="CR106" s="704"/>
      <c r="CS106" s="704"/>
      <c r="CT106" s="704"/>
      <c r="CU106" s="704"/>
      <c r="CV106" s="704"/>
      <c r="CW106" s="704"/>
      <c r="CX106" s="704"/>
      <c r="CY106" s="704"/>
      <c r="CZ106" s="704"/>
      <c r="DA106" s="704"/>
      <c r="DB106" s="704"/>
      <c r="DC106" s="704"/>
      <c r="DD106" s="704"/>
      <c r="DE106" s="704"/>
      <c r="DF106" s="704"/>
      <c r="DG106" s="704"/>
      <c r="DH106" s="704"/>
      <c r="DI106" s="704"/>
      <c r="DJ106" s="704"/>
      <c r="DK106" s="704"/>
      <c r="DL106" s="704"/>
      <c r="DM106" s="704"/>
      <c r="DN106" s="704"/>
      <c r="DO106" s="704"/>
      <c r="DP106" s="704"/>
      <c r="DQ106" s="704"/>
      <c r="DR106" s="704"/>
      <c r="DS106" s="704"/>
      <c r="DT106" s="704"/>
      <c r="DU106" s="704"/>
      <c r="DV106" s="704"/>
      <c r="DW106" s="704"/>
      <c r="DX106" s="704"/>
      <c r="DY106" s="704"/>
      <c r="DZ106" s="704"/>
      <c r="EA106" s="704"/>
      <c r="EB106" s="389"/>
      <c r="EC106" s="392" t="s">
        <v>65</v>
      </c>
    </row>
    <row r="107" spans="1:133" s="390" customFormat="1">
      <c r="A107" s="389"/>
      <c r="B107" s="389"/>
      <c r="C107" s="389"/>
      <c r="D107" s="764" t="s">
        <v>496</v>
      </c>
      <c r="E107" s="903" t="s">
        <v>252</v>
      </c>
      <c r="F107" s="903" t="s">
        <v>251</v>
      </c>
      <c r="G107" s="903" t="s">
        <v>128</v>
      </c>
      <c r="H107" s="389"/>
      <c r="I107" s="796"/>
      <c r="J107" s="389"/>
      <c r="K107" s="763">
        <f t="shared" ref="K107" si="121">COUNTIF(K109,"&gt;"&amp;0)+J107</f>
        <v>0</v>
      </c>
      <c r="L107" s="763">
        <f t="shared" ref="L107" ca="1" si="122">COUNTIF(L109,"&gt;"&amp;0)+K107</f>
        <v>0</v>
      </c>
      <c r="M107" s="763">
        <f t="shared" ref="M107" ca="1" si="123">COUNTIF(M109,"&gt;"&amp;0)+L107</f>
        <v>0</v>
      </c>
      <c r="N107" s="763">
        <f t="shared" ref="N107" ca="1" si="124">COUNTIF(N109,"&gt;"&amp;0)+M107</f>
        <v>0</v>
      </c>
      <c r="O107" s="763">
        <f t="shared" ref="O107" ca="1" si="125">COUNTIF(O109,"&gt;"&amp;0)+N107</f>
        <v>0</v>
      </c>
      <c r="P107" s="763">
        <f t="shared" ref="P107" ca="1" si="126">COUNTIF(P109,"&gt;"&amp;0)+O107</f>
        <v>0</v>
      </c>
      <c r="Q107" s="763">
        <f t="shared" ref="Q107" ca="1" si="127">COUNTIF(Q109,"&gt;"&amp;0)+P107</f>
        <v>0</v>
      </c>
      <c r="R107" s="763">
        <f t="shared" ref="R107" ca="1" si="128">COUNTIF(R109,"&gt;"&amp;0)+Q107</f>
        <v>0</v>
      </c>
      <c r="S107" s="763">
        <f t="shared" ref="S107" ca="1" si="129">COUNTIF(S109,"&gt;"&amp;0)+R107</f>
        <v>1</v>
      </c>
      <c r="T107" s="763">
        <f t="shared" ref="T107" ca="1" si="130">COUNTIF(T109,"&gt;"&amp;0)+S107</f>
        <v>2</v>
      </c>
      <c r="U107" s="763">
        <f t="shared" ref="U107" ca="1" si="131">COUNTIF(U109,"&gt;"&amp;0)+T107</f>
        <v>3</v>
      </c>
      <c r="V107" s="763">
        <f t="shared" ref="V107" ca="1" si="132">COUNTIF(V109,"&gt;"&amp;0)+U107</f>
        <v>4</v>
      </c>
      <c r="W107" s="763">
        <f t="shared" ref="W107" ca="1" si="133">COUNTIF(W109,"&gt;"&amp;0)+V107</f>
        <v>5</v>
      </c>
      <c r="X107" s="763">
        <f t="shared" ref="X107" ca="1" si="134">COUNTIF(X109,"&gt;"&amp;0)+W107</f>
        <v>6</v>
      </c>
      <c r="Y107" s="763">
        <f t="shared" ref="Y107" ca="1" si="135">COUNTIF(Y109,"&gt;"&amp;0)+X107</f>
        <v>7</v>
      </c>
      <c r="Z107" s="763">
        <f t="shared" ref="Z107" ca="1" si="136">COUNTIF(Z109,"&gt;"&amp;0)+Y107</f>
        <v>8</v>
      </c>
      <c r="AA107" s="763">
        <f t="shared" ref="AA107" ca="1" si="137">COUNTIF(AA109,"&gt;"&amp;0)+Z107</f>
        <v>9</v>
      </c>
      <c r="AB107" s="763">
        <f t="shared" ref="AB107" ca="1" si="138">COUNTIF(AB109,"&gt;"&amp;0)+AA107</f>
        <v>10</v>
      </c>
      <c r="AC107" s="763">
        <f t="shared" ref="AC107" ca="1" si="139">COUNTIF(AC109,"&gt;"&amp;0)+AB107</f>
        <v>11</v>
      </c>
      <c r="AD107" s="763">
        <f t="shared" ref="AD107" ca="1" si="140">COUNTIF(AD109,"&gt;"&amp;0)+AC107</f>
        <v>12</v>
      </c>
      <c r="AE107" s="763">
        <f t="shared" ref="AE107" ca="1" si="141">COUNTIF(AE109,"&gt;"&amp;0)+AD107</f>
        <v>13</v>
      </c>
      <c r="AF107" s="763">
        <f t="shared" ref="AF107" ca="1" si="142">COUNTIF(AF109,"&gt;"&amp;0)+AE107</f>
        <v>14</v>
      </c>
      <c r="AG107" s="763">
        <f t="shared" ref="AG107" ca="1" si="143">COUNTIF(AG109,"&gt;"&amp;0)+AF107</f>
        <v>15</v>
      </c>
      <c r="AH107" s="763">
        <f t="shared" ref="AH107" ca="1" si="144">COUNTIF(AH109,"&gt;"&amp;0)+AG107</f>
        <v>16</v>
      </c>
      <c r="AI107" s="763">
        <f t="shared" ref="AI107" ca="1" si="145">COUNTIF(AI109,"&gt;"&amp;0)+AH107</f>
        <v>17</v>
      </c>
      <c r="AJ107" s="763">
        <f t="shared" ref="AJ107" ca="1" si="146">COUNTIF(AJ109,"&gt;"&amp;0)+AI107</f>
        <v>18</v>
      </c>
      <c r="AK107" s="763">
        <f t="shared" ref="AK107" ca="1" si="147">COUNTIF(AK109,"&gt;"&amp;0)+AJ107</f>
        <v>19</v>
      </c>
      <c r="AL107" s="763">
        <f t="shared" ref="AL107" ca="1" si="148">COUNTIF(AL109,"&gt;"&amp;0)+AK107</f>
        <v>19</v>
      </c>
      <c r="AM107" s="763">
        <f t="shared" ref="AM107" ca="1" si="149">COUNTIF(AM109,"&gt;"&amp;0)+AL107</f>
        <v>19</v>
      </c>
      <c r="AN107" s="763">
        <f t="shared" ref="AN107" ca="1" si="150">COUNTIF(AN109,"&gt;"&amp;0)+AM107</f>
        <v>19</v>
      </c>
      <c r="AO107" s="763">
        <f t="shared" ref="AO107" ca="1" si="151">COUNTIF(AO109,"&gt;"&amp;0)+AN107</f>
        <v>19</v>
      </c>
      <c r="AP107" s="763">
        <f t="shared" ref="AP107" ca="1" si="152">COUNTIF(AP109,"&gt;"&amp;0)+AO107</f>
        <v>19</v>
      </c>
      <c r="AQ107" s="763">
        <f t="shared" ref="AQ107" ca="1" si="153">COUNTIF(AQ109,"&gt;"&amp;0)+AP107</f>
        <v>19</v>
      </c>
      <c r="AR107" s="763">
        <f t="shared" ref="AR107" ca="1" si="154">COUNTIF(AR109,"&gt;"&amp;0)+AQ107</f>
        <v>19</v>
      </c>
      <c r="AS107" s="763">
        <f t="shared" ref="AS107" ca="1" si="155">COUNTIF(AS109,"&gt;"&amp;0)+AR107</f>
        <v>19</v>
      </c>
      <c r="AT107" s="763">
        <f t="shared" ref="AT107" ca="1" si="156">COUNTIF(AT109,"&gt;"&amp;0)+AS107</f>
        <v>19</v>
      </c>
      <c r="AU107" s="763">
        <f t="shared" ref="AU107" ca="1" si="157">COUNTIF(AU109,"&gt;"&amp;0)+AT107</f>
        <v>19</v>
      </c>
      <c r="AV107" s="763">
        <f t="shared" ref="AV107" ca="1" si="158">COUNTIF(AV109,"&gt;"&amp;0)+AU107</f>
        <v>19</v>
      </c>
      <c r="AW107" s="763">
        <f t="shared" ref="AW107:CD107" ca="1" si="159">COUNTIF(AW109,"&gt;"&amp;0)+AV107</f>
        <v>19</v>
      </c>
      <c r="AX107" s="763">
        <f t="shared" ca="1" si="159"/>
        <v>19</v>
      </c>
      <c r="AY107" s="763">
        <f t="shared" ca="1" si="159"/>
        <v>19</v>
      </c>
      <c r="AZ107" s="763">
        <f t="shared" ca="1" si="159"/>
        <v>19</v>
      </c>
      <c r="BA107" s="763">
        <f t="shared" ca="1" si="159"/>
        <v>19</v>
      </c>
      <c r="BB107" s="763">
        <f t="shared" ca="1" si="159"/>
        <v>19</v>
      </c>
      <c r="BC107" s="763">
        <f t="shared" ca="1" si="159"/>
        <v>19</v>
      </c>
      <c r="BD107" s="763">
        <f t="shared" ca="1" si="159"/>
        <v>19</v>
      </c>
      <c r="BE107" s="763">
        <f t="shared" ca="1" si="159"/>
        <v>19</v>
      </c>
      <c r="BF107" s="763">
        <f t="shared" ca="1" si="159"/>
        <v>19</v>
      </c>
      <c r="BG107" s="763">
        <f t="shared" ca="1" si="159"/>
        <v>19</v>
      </c>
      <c r="BH107" s="763">
        <f t="shared" ca="1" si="159"/>
        <v>19</v>
      </c>
      <c r="BI107" s="763">
        <f t="shared" ca="1" si="159"/>
        <v>19</v>
      </c>
      <c r="BJ107" s="763">
        <f t="shared" ca="1" si="159"/>
        <v>19</v>
      </c>
      <c r="BK107" s="763">
        <f t="shared" ca="1" si="159"/>
        <v>19</v>
      </c>
      <c r="BL107" s="763">
        <f t="shared" ca="1" si="159"/>
        <v>19</v>
      </c>
      <c r="BM107" s="763">
        <f t="shared" ca="1" si="159"/>
        <v>19</v>
      </c>
      <c r="BN107" s="763">
        <f t="shared" ca="1" si="159"/>
        <v>19</v>
      </c>
      <c r="BO107" s="763">
        <f t="shared" ca="1" si="159"/>
        <v>19</v>
      </c>
      <c r="BP107" s="763">
        <f t="shared" ca="1" si="159"/>
        <v>19</v>
      </c>
      <c r="BQ107" s="763">
        <f t="shared" ca="1" si="159"/>
        <v>19</v>
      </c>
      <c r="BR107" s="763">
        <f t="shared" ca="1" si="159"/>
        <v>19</v>
      </c>
      <c r="BS107" s="763">
        <f t="shared" ca="1" si="159"/>
        <v>19</v>
      </c>
      <c r="BT107" s="763">
        <f t="shared" ca="1" si="159"/>
        <v>19</v>
      </c>
      <c r="BU107" s="763">
        <f t="shared" ca="1" si="159"/>
        <v>19</v>
      </c>
      <c r="BV107" s="763">
        <f t="shared" ca="1" si="159"/>
        <v>19</v>
      </c>
      <c r="BW107" s="763">
        <f t="shared" ca="1" si="159"/>
        <v>19</v>
      </c>
      <c r="BX107" s="763">
        <f t="shared" ca="1" si="159"/>
        <v>19</v>
      </c>
      <c r="BY107" s="763">
        <f t="shared" ca="1" si="159"/>
        <v>19</v>
      </c>
      <c r="BZ107" s="763">
        <f t="shared" ca="1" si="159"/>
        <v>19</v>
      </c>
      <c r="CA107" s="763">
        <f t="shared" ca="1" si="159"/>
        <v>19</v>
      </c>
      <c r="CB107" s="763">
        <f t="shared" ca="1" si="159"/>
        <v>19</v>
      </c>
      <c r="CC107" s="763">
        <f t="shared" ca="1" si="159"/>
        <v>19</v>
      </c>
      <c r="CD107" s="763">
        <f t="shared" ca="1" si="159"/>
        <v>19</v>
      </c>
      <c r="CE107" s="763">
        <f t="shared" ref="CE107:EA107" ca="1" si="160">COUNTIF(CE109,"&gt;"&amp;0)+CD107</f>
        <v>19</v>
      </c>
      <c r="CF107" s="763">
        <f t="shared" ca="1" si="160"/>
        <v>19</v>
      </c>
      <c r="CG107" s="763">
        <f t="shared" ca="1" si="160"/>
        <v>19</v>
      </c>
      <c r="CH107" s="763">
        <f t="shared" ca="1" si="160"/>
        <v>19</v>
      </c>
      <c r="CI107" s="763">
        <f t="shared" ca="1" si="160"/>
        <v>19</v>
      </c>
      <c r="CJ107" s="763">
        <f t="shared" ca="1" si="160"/>
        <v>19</v>
      </c>
      <c r="CK107" s="763">
        <f t="shared" ca="1" si="160"/>
        <v>19</v>
      </c>
      <c r="CL107" s="763">
        <f t="shared" ca="1" si="160"/>
        <v>19</v>
      </c>
      <c r="CM107" s="763">
        <f t="shared" ca="1" si="160"/>
        <v>19</v>
      </c>
      <c r="CN107" s="763">
        <f t="shared" ca="1" si="160"/>
        <v>19</v>
      </c>
      <c r="CO107" s="763">
        <f t="shared" ca="1" si="160"/>
        <v>19</v>
      </c>
      <c r="CP107" s="763">
        <f t="shared" ca="1" si="160"/>
        <v>19</v>
      </c>
      <c r="CQ107" s="763">
        <f t="shared" ca="1" si="160"/>
        <v>19</v>
      </c>
      <c r="CR107" s="763">
        <f t="shared" ca="1" si="160"/>
        <v>19</v>
      </c>
      <c r="CS107" s="763">
        <f t="shared" ca="1" si="160"/>
        <v>19</v>
      </c>
      <c r="CT107" s="763">
        <f t="shared" ca="1" si="160"/>
        <v>19</v>
      </c>
      <c r="CU107" s="763">
        <f t="shared" ca="1" si="160"/>
        <v>19</v>
      </c>
      <c r="CV107" s="763">
        <f t="shared" ca="1" si="160"/>
        <v>19</v>
      </c>
      <c r="CW107" s="763">
        <f t="shared" ca="1" si="160"/>
        <v>19</v>
      </c>
      <c r="CX107" s="763">
        <f t="shared" ca="1" si="160"/>
        <v>19</v>
      </c>
      <c r="CY107" s="763">
        <f t="shared" ca="1" si="160"/>
        <v>19</v>
      </c>
      <c r="CZ107" s="763">
        <f t="shared" ca="1" si="160"/>
        <v>19</v>
      </c>
      <c r="DA107" s="763">
        <f t="shared" ca="1" si="160"/>
        <v>19</v>
      </c>
      <c r="DB107" s="763">
        <f t="shared" ca="1" si="160"/>
        <v>19</v>
      </c>
      <c r="DC107" s="763">
        <f t="shared" ca="1" si="160"/>
        <v>19</v>
      </c>
      <c r="DD107" s="763">
        <f t="shared" ca="1" si="160"/>
        <v>19</v>
      </c>
      <c r="DE107" s="763">
        <f t="shared" ca="1" si="160"/>
        <v>19</v>
      </c>
      <c r="DF107" s="763">
        <f t="shared" ca="1" si="160"/>
        <v>19</v>
      </c>
      <c r="DG107" s="763">
        <f t="shared" ca="1" si="160"/>
        <v>19</v>
      </c>
      <c r="DH107" s="763">
        <f t="shared" ca="1" si="160"/>
        <v>19</v>
      </c>
      <c r="DI107" s="763">
        <f t="shared" ca="1" si="160"/>
        <v>19</v>
      </c>
      <c r="DJ107" s="763">
        <f t="shared" ca="1" si="160"/>
        <v>19</v>
      </c>
      <c r="DK107" s="763">
        <f t="shared" ca="1" si="160"/>
        <v>19</v>
      </c>
      <c r="DL107" s="763">
        <f t="shared" ca="1" si="160"/>
        <v>19</v>
      </c>
      <c r="DM107" s="763">
        <f t="shared" ca="1" si="160"/>
        <v>19</v>
      </c>
      <c r="DN107" s="763">
        <f t="shared" ca="1" si="160"/>
        <v>19</v>
      </c>
      <c r="DO107" s="763">
        <f t="shared" ca="1" si="160"/>
        <v>19</v>
      </c>
      <c r="DP107" s="763">
        <f t="shared" ca="1" si="160"/>
        <v>19</v>
      </c>
      <c r="DQ107" s="763">
        <f t="shared" ca="1" si="160"/>
        <v>19</v>
      </c>
      <c r="DR107" s="763">
        <f t="shared" ca="1" si="160"/>
        <v>19</v>
      </c>
      <c r="DS107" s="763">
        <f t="shared" ca="1" si="160"/>
        <v>19</v>
      </c>
      <c r="DT107" s="763">
        <f t="shared" ca="1" si="160"/>
        <v>19</v>
      </c>
      <c r="DU107" s="763">
        <f t="shared" ca="1" si="160"/>
        <v>19</v>
      </c>
      <c r="DV107" s="763">
        <f t="shared" ca="1" si="160"/>
        <v>19</v>
      </c>
      <c r="DW107" s="763">
        <f t="shared" ca="1" si="160"/>
        <v>19</v>
      </c>
      <c r="DX107" s="763">
        <f t="shared" ca="1" si="160"/>
        <v>19</v>
      </c>
      <c r="DY107" s="763">
        <f t="shared" ca="1" si="160"/>
        <v>19</v>
      </c>
      <c r="DZ107" s="763">
        <f t="shared" ca="1" si="160"/>
        <v>19</v>
      </c>
      <c r="EA107" s="763">
        <f t="shared" ca="1" si="160"/>
        <v>19</v>
      </c>
      <c r="EB107" s="389"/>
      <c r="EC107" s="392" t="s">
        <v>65</v>
      </c>
    </row>
    <row r="108" spans="1:133" s="390" customFormat="1">
      <c r="A108" s="389"/>
      <c r="B108" s="389"/>
      <c r="C108" s="389"/>
      <c r="D108" s="707" t="s">
        <v>133</v>
      </c>
      <c r="E108" s="763">
        <f ca="1">F105+I109+I116</f>
        <v>54984255.295205027</v>
      </c>
      <c r="F108" s="763">
        <f ca="1">-I86-I76</f>
        <v>54984255.295205027</v>
      </c>
      <c r="G108" s="763">
        <f ca="1">E108-F108</f>
        <v>0</v>
      </c>
      <c r="H108" s="389"/>
      <c r="I108" s="795">
        <v>0</v>
      </c>
      <c r="J108" s="389"/>
      <c r="K108" s="712">
        <f>J111</f>
        <v>0</v>
      </c>
      <c r="L108" s="712">
        <f>K111</f>
        <v>0</v>
      </c>
      <c r="M108" s="712">
        <f t="shared" ref="M108:BX108" ca="1" si="161">L111</f>
        <v>0</v>
      </c>
      <c r="N108" s="712">
        <f t="shared" ca="1" si="161"/>
        <v>0</v>
      </c>
      <c r="O108" s="703">
        <f t="shared" ca="1" si="161"/>
        <v>0</v>
      </c>
      <c r="P108" s="703">
        <f t="shared" ca="1" si="161"/>
        <v>0</v>
      </c>
      <c r="Q108" s="703">
        <f t="shared" ca="1" si="161"/>
        <v>0</v>
      </c>
      <c r="R108" s="703">
        <f t="shared" ca="1" si="161"/>
        <v>0</v>
      </c>
      <c r="S108" s="703">
        <f t="shared" ca="1" si="161"/>
        <v>0</v>
      </c>
      <c r="T108" s="703">
        <f t="shared" ca="1" si="161"/>
        <v>479529.90267640259</v>
      </c>
      <c r="U108" s="703">
        <f t="shared" ca="1" si="161"/>
        <v>3360493.103309799</v>
      </c>
      <c r="V108" s="703">
        <f t="shared" ca="1" si="161"/>
        <v>6241456.3039431954</v>
      </c>
      <c r="W108" s="703">
        <f t="shared" ca="1" si="161"/>
        <v>9122419.5045765918</v>
      </c>
      <c r="X108" s="703">
        <f t="shared" ca="1" si="161"/>
        <v>12003382.705209989</v>
      </c>
      <c r="Y108" s="703">
        <f t="shared" ca="1" si="161"/>
        <v>14884345.905843385</v>
      </c>
      <c r="Z108" s="703">
        <f t="shared" ca="1" si="161"/>
        <v>17765309.10647678</v>
      </c>
      <c r="AA108" s="703">
        <f t="shared" ca="1" si="161"/>
        <v>20646272.307110175</v>
      </c>
      <c r="AB108" s="703">
        <f t="shared" ca="1" si="161"/>
        <v>23602235.507743571</v>
      </c>
      <c r="AC108" s="703">
        <f t="shared" ca="1" si="161"/>
        <v>26558198.708376966</v>
      </c>
      <c r="AD108" s="703">
        <f t="shared" ca="1" si="161"/>
        <v>29514161.909010362</v>
      </c>
      <c r="AE108" s="703">
        <f t="shared" ca="1" si="161"/>
        <v>32078972.102491975</v>
      </c>
      <c r="AF108" s="703">
        <f t="shared" ca="1" si="161"/>
        <v>32209197.970296409</v>
      </c>
      <c r="AG108" s="703">
        <f t="shared" ca="1" si="161"/>
        <v>32339423.838100843</v>
      </c>
      <c r="AH108" s="703">
        <f t="shared" ca="1" si="161"/>
        <v>32469649.705905277</v>
      </c>
      <c r="AI108" s="703">
        <f t="shared" ca="1" si="161"/>
        <v>32599875.573709711</v>
      </c>
      <c r="AJ108" s="703">
        <f t="shared" ca="1" si="161"/>
        <v>32730101.441514146</v>
      </c>
      <c r="AK108" s="703">
        <f t="shared" ca="1" si="161"/>
        <v>32860327.30931858</v>
      </c>
      <c r="AL108" s="703">
        <f t="shared" ca="1" si="161"/>
        <v>0</v>
      </c>
      <c r="AM108" s="703">
        <f t="shared" ca="1" si="161"/>
        <v>0</v>
      </c>
      <c r="AN108" s="703">
        <f t="shared" ca="1" si="161"/>
        <v>0</v>
      </c>
      <c r="AO108" s="703">
        <f t="shared" ca="1" si="161"/>
        <v>0</v>
      </c>
      <c r="AP108" s="703">
        <f t="shared" ca="1" si="161"/>
        <v>0</v>
      </c>
      <c r="AQ108" s="703">
        <f t="shared" ca="1" si="161"/>
        <v>0</v>
      </c>
      <c r="AR108" s="703">
        <f t="shared" ca="1" si="161"/>
        <v>0</v>
      </c>
      <c r="AS108" s="703">
        <f t="shared" ca="1" si="161"/>
        <v>0</v>
      </c>
      <c r="AT108" s="703">
        <f ca="1">AS111</f>
        <v>0</v>
      </c>
      <c r="AU108" s="703">
        <f ca="1">AT111</f>
        <v>0</v>
      </c>
      <c r="AV108" s="703">
        <f t="shared" ca="1" si="161"/>
        <v>0</v>
      </c>
      <c r="AW108" s="703">
        <f t="shared" ca="1" si="161"/>
        <v>0</v>
      </c>
      <c r="AX108" s="703">
        <f t="shared" ca="1" si="161"/>
        <v>0</v>
      </c>
      <c r="AY108" s="703">
        <f t="shared" ca="1" si="161"/>
        <v>0</v>
      </c>
      <c r="AZ108" s="703">
        <f t="shared" ca="1" si="161"/>
        <v>0</v>
      </c>
      <c r="BA108" s="703">
        <f t="shared" ca="1" si="161"/>
        <v>0</v>
      </c>
      <c r="BB108" s="703">
        <f t="shared" ca="1" si="161"/>
        <v>0</v>
      </c>
      <c r="BC108" s="703">
        <f t="shared" ca="1" si="161"/>
        <v>0</v>
      </c>
      <c r="BD108" s="703">
        <f t="shared" ca="1" si="161"/>
        <v>0</v>
      </c>
      <c r="BE108" s="703">
        <f t="shared" ca="1" si="161"/>
        <v>0</v>
      </c>
      <c r="BF108" s="703">
        <f t="shared" ca="1" si="161"/>
        <v>0</v>
      </c>
      <c r="BG108" s="703">
        <f t="shared" ca="1" si="161"/>
        <v>0</v>
      </c>
      <c r="BH108" s="703">
        <f t="shared" ca="1" si="161"/>
        <v>0</v>
      </c>
      <c r="BI108" s="703">
        <f t="shared" ca="1" si="161"/>
        <v>0</v>
      </c>
      <c r="BJ108" s="703">
        <f t="shared" ca="1" si="161"/>
        <v>0</v>
      </c>
      <c r="BK108" s="703">
        <f t="shared" ca="1" si="161"/>
        <v>0</v>
      </c>
      <c r="BL108" s="703">
        <f t="shared" ca="1" si="161"/>
        <v>0</v>
      </c>
      <c r="BM108" s="703">
        <f t="shared" ca="1" si="161"/>
        <v>0</v>
      </c>
      <c r="BN108" s="703">
        <f t="shared" ca="1" si="161"/>
        <v>0</v>
      </c>
      <c r="BO108" s="703">
        <f t="shared" ca="1" si="161"/>
        <v>0</v>
      </c>
      <c r="BP108" s="703">
        <f t="shared" ca="1" si="161"/>
        <v>0</v>
      </c>
      <c r="BQ108" s="703">
        <f t="shared" ca="1" si="161"/>
        <v>0</v>
      </c>
      <c r="BR108" s="703">
        <f t="shared" ca="1" si="161"/>
        <v>0</v>
      </c>
      <c r="BS108" s="703">
        <f t="shared" ca="1" si="161"/>
        <v>0</v>
      </c>
      <c r="BT108" s="703">
        <f t="shared" ca="1" si="161"/>
        <v>0</v>
      </c>
      <c r="BU108" s="703">
        <f t="shared" ca="1" si="161"/>
        <v>0</v>
      </c>
      <c r="BV108" s="703">
        <f t="shared" ca="1" si="161"/>
        <v>0</v>
      </c>
      <c r="BW108" s="703">
        <f t="shared" ca="1" si="161"/>
        <v>0</v>
      </c>
      <c r="BX108" s="703">
        <f t="shared" ca="1" si="161"/>
        <v>0</v>
      </c>
      <c r="BY108" s="703">
        <f t="shared" ref="BY108:EA108" ca="1" si="162">BX111</f>
        <v>0</v>
      </c>
      <c r="BZ108" s="703">
        <f t="shared" ca="1" si="162"/>
        <v>0</v>
      </c>
      <c r="CA108" s="703">
        <f t="shared" ca="1" si="162"/>
        <v>0</v>
      </c>
      <c r="CB108" s="703">
        <f t="shared" ca="1" si="162"/>
        <v>0</v>
      </c>
      <c r="CC108" s="703">
        <f t="shared" ca="1" si="162"/>
        <v>0</v>
      </c>
      <c r="CD108" s="703">
        <f t="shared" ca="1" si="162"/>
        <v>0</v>
      </c>
      <c r="CE108" s="703">
        <f t="shared" ca="1" si="162"/>
        <v>0</v>
      </c>
      <c r="CF108" s="703">
        <f t="shared" ca="1" si="162"/>
        <v>0</v>
      </c>
      <c r="CG108" s="703">
        <f t="shared" ca="1" si="162"/>
        <v>0</v>
      </c>
      <c r="CH108" s="703">
        <f t="shared" ca="1" si="162"/>
        <v>0</v>
      </c>
      <c r="CI108" s="703">
        <f t="shared" ca="1" si="162"/>
        <v>0</v>
      </c>
      <c r="CJ108" s="703">
        <f t="shared" ca="1" si="162"/>
        <v>0</v>
      </c>
      <c r="CK108" s="703">
        <f t="shared" ca="1" si="162"/>
        <v>0</v>
      </c>
      <c r="CL108" s="703">
        <f t="shared" ca="1" si="162"/>
        <v>0</v>
      </c>
      <c r="CM108" s="703">
        <f t="shared" ca="1" si="162"/>
        <v>0</v>
      </c>
      <c r="CN108" s="703">
        <f t="shared" ca="1" si="162"/>
        <v>0</v>
      </c>
      <c r="CO108" s="703">
        <f t="shared" ca="1" si="162"/>
        <v>0</v>
      </c>
      <c r="CP108" s="703">
        <f t="shared" ca="1" si="162"/>
        <v>0</v>
      </c>
      <c r="CQ108" s="703">
        <f t="shared" ca="1" si="162"/>
        <v>0</v>
      </c>
      <c r="CR108" s="703">
        <f t="shared" ca="1" si="162"/>
        <v>0</v>
      </c>
      <c r="CS108" s="703">
        <f t="shared" ca="1" si="162"/>
        <v>0</v>
      </c>
      <c r="CT108" s="703">
        <f t="shared" ca="1" si="162"/>
        <v>0</v>
      </c>
      <c r="CU108" s="703">
        <f t="shared" ca="1" si="162"/>
        <v>0</v>
      </c>
      <c r="CV108" s="703">
        <f t="shared" ca="1" si="162"/>
        <v>0</v>
      </c>
      <c r="CW108" s="703">
        <f t="shared" ca="1" si="162"/>
        <v>0</v>
      </c>
      <c r="CX108" s="703">
        <f t="shared" ca="1" si="162"/>
        <v>0</v>
      </c>
      <c r="CY108" s="703">
        <f t="shared" ca="1" si="162"/>
        <v>0</v>
      </c>
      <c r="CZ108" s="703">
        <f t="shared" ca="1" si="162"/>
        <v>0</v>
      </c>
      <c r="DA108" s="703">
        <f t="shared" ca="1" si="162"/>
        <v>0</v>
      </c>
      <c r="DB108" s="703">
        <f t="shared" ca="1" si="162"/>
        <v>0</v>
      </c>
      <c r="DC108" s="703">
        <f t="shared" ca="1" si="162"/>
        <v>0</v>
      </c>
      <c r="DD108" s="703">
        <f t="shared" ca="1" si="162"/>
        <v>0</v>
      </c>
      <c r="DE108" s="703">
        <f t="shared" ca="1" si="162"/>
        <v>0</v>
      </c>
      <c r="DF108" s="703">
        <f t="shared" ca="1" si="162"/>
        <v>0</v>
      </c>
      <c r="DG108" s="703">
        <f t="shared" ca="1" si="162"/>
        <v>0</v>
      </c>
      <c r="DH108" s="703">
        <f t="shared" ca="1" si="162"/>
        <v>0</v>
      </c>
      <c r="DI108" s="703">
        <f t="shared" ca="1" si="162"/>
        <v>0</v>
      </c>
      <c r="DJ108" s="703">
        <f t="shared" ca="1" si="162"/>
        <v>0</v>
      </c>
      <c r="DK108" s="703">
        <f t="shared" ca="1" si="162"/>
        <v>0</v>
      </c>
      <c r="DL108" s="703">
        <f t="shared" ca="1" si="162"/>
        <v>0</v>
      </c>
      <c r="DM108" s="703">
        <f t="shared" ca="1" si="162"/>
        <v>0</v>
      </c>
      <c r="DN108" s="703">
        <f t="shared" ca="1" si="162"/>
        <v>0</v>
      </c>
      <c r="DO108" s="703">
        <f t="shared" ca="1" si="162"/>
        <v>0</v>
      </c>
      <c r="DP108" s="703">
        <f t="shared" ca="1" si="162"/>
        <v>0</v>
      </c>
      <c r="DQ108" s="703">
        <f t="shared" ca="1" si="162"/>
        <v>0</v>
      </c>
      <c r="DR108" s="703">
        <f t="shared" ca="1" si="162"/>
        <v>0</v>
      </c>
      <c r="DS108" s="703">
        <f t="shared" ca="1" si="162"/>
        <v>0</v>
      </c>
      <c r="DT108" s="703">
        <f t="shared" ca="1" si="162"/>
        <v>0</v>
      </c>
      <c r="DU108" s="703">
        <f t="shared" ca="1" si="162"/>
        <v>0</v>
      </c>
      <c r="DV108" s="703">
        <f t="shared" ca="1" si="162"/>
        <v>0</v>
      </c>
      <c r="DW108" s="703">
        <f t="shared" ca="1" si="162"/>
        <v>0</v>
      </c>
      <c r="DX108" s="703">
        <f t="shared" ca="1" si="162"/>
        <v>0</v>
      </c>
      <c r="DY108" s="703">
        <f t="shared" ca="1" si="162"/>
        <v>0</v>
      </c>
      <c r="DZ108" s="703">
        <f t="shared" ca="1" si="162"/>
        <v>0</v>
      </c>
      <c r="EA108" s="703">
        <f t="shared" ca="1" si="162"/>
        <v>0</v>
      </c>
      <c r="EB108" s="389"/>
      <c r="EC108" s="392" t="s">
        <v>65</v>
      </c>
    </row>
    <row r="109" spans="1:133" s="390" customFormat="1">
      <c r="A109" s="389"/>
      <c r="B109" s="389"/>
      <c r="C109" s="389"/>
      <c r="D109" s="708" t="s">
        <v>137</v>
      </c>
      <c r="E109" s="970">
        <f ca="1">E108-Dashboard!C37</f>
        <v>0</v>
      </c>
      <c r="H109" s="389"/>
      <c r="I109" s="795">
        <f t="shared" ref="I109:I112" ca="1" si="163">SUM(K109:EA109)</f>
        <v>32990553.177123014</v>
      </c>
      <c r="J109" s="389"/>
      <c r="K109" s="712">
        <f t="shared" ref="K109:AP109" si="164">-(K76+K103)</f>
        <v>0</v>
      </c>
      <c r="L109" s="712">
        <f t="shared" ca="1" si="164"/>
        <v>0</v>
      </c>
      <c r="M109" s="712">
        <f t="shared" ca="1" si="164"/>
        <v>0</v>
      </c>
      <c r="N109" s="712">
        <f t="shared" ca="1" si="164"/>
        <v>0</v>
      </c>
      <c r="O109" s="703">
        <f t="shared" ca="1" si="164"/>
        <v>0</v>
      </c>
      <c r="P109" s="703">
        <f t="shared" ca="1" si="164"/>
        <v>0</v>
      </c>
      <c r="Q109" s="703">
        <f t="shared" ca="1" si="164"/>
        <v>0</v>
      </c>
      <c r="R109" s="703">
        <f t="shared" ca="1" si="164"/>
        <v>0</v>
      </c>
      <c r="S109" s="703">
        <f t="shared" ca="1" si="164"/>
        <v>479529.90267640259</v>
      </c>
      <c r="T109" s="703">
        <f t="shared" ca="1" si="164"/>
        <v>2880963.2006333964</v>
      </c>
      <c r="U109" s="703">
        <f t="shared" ca="1" si="164"/>
        <v>2880963.2006333964</v>
      </c>
      <c r="V109" s="703">
        <f t="shared" ca="1" si="164"/>
        <v>2880963.2006333964</v>
      </c>
      <c r="W109" s="703">
        <f t="shared" ca="1" si="164"/>
        <v>2880963.2006333964</v>
      </c>
      <c r="X109" s="703">
        <f t="shared" ca="1" si="164"/>
        <v>2880963.2006333964</v>
      </c>
      <c r="Y109" s="703">
        <f t="shared" ca="1" si="164"/>
        <v>2880963.2006333964</v>
      </c>
      <c r="Z109" s="703">
        <f t="shared" ca="1" si="164"/>
        <v>2880963.2006333964</v>
      </c>
      <c r="AA109" s="703">
        <f t="shared" ca="1" si="164"/>
        <v>2955963.2006333964</v>
      </c>
      <c r="AB109" s="703">
        <f t="shared" ca="1" si="164"/>
        <v>2955963.2006333964</v>
      </c>
      <c r="AC109" s="703">
        <f t="shared" ca="1" si="164"/>
        <v>2955963.2006333964</v>
      </c>
      <c r="AD109" s="703">
        <f t="shared" ca="1" si="164"/>
        <v>2564810.1934816134</v>
      </c>
      <c r="AE109" s="703">
        <f t="shared" ca="1" si="164"/>
        <v>130225.86780443294</v>
      </c>
      <c r="AF109" s="703">
        <f t="shared" ca="1" si="164"/>
        <v>130225.86780443294</v>
      </c>
      <c r="AG109" s="703">
        <f t="shared" ca="1" si="164"/>
        <v>130225.86780443294</v>
      </c>
      <c r="AH109" s="703">
        <f t="shared" ca="1" si="164"/>
        <v>130225.86780443294</v>
      </c>
      <c r="AI109" s="703">
        <f t="shared" ca="1" si="164"/>
        <v>130225.86780443294</v>
      </c>
      <c r="AJ109" s="703">
        <f t="shared" ca="1" si="164"/>
        <v>130225.86780443294</v>
      </c>
      <c r="AK109" s="703">
        <f t="shared" ca="1" si="164"/>
        <v>130225.86780443294</v>
      </c>
      <c r="AL109" s="703">
        <f t="shared" ca="1" si="164"/>
        <v>0</v>
      </c>
      <c r="AM109" s="703">
        <f t="shared" ca="1" si="164"/>
        <v>0</v>
      </c>
      <c r="AN109" s="703">
        <f t="shared" ca="1" si="164"/>
        <v>0</v>
      </c>
      <c r="AO109" s="703">
        <f t="shared" ca="1" si="164"/>
        <v>0</v>
      </c>
      <c r="AP109" s="703">
        <f t="shared" ca="1" si="164"/>
        <v>0</v>
      </c>
      <c r="AQ109" s="703">
        <f t="shared" ref="AQ109:BV109" ca="1" si="165">-(AQ76+AQ103)</f>
        <v>0</v>
      </c>
      <c r="AR109" s="703">
        <f t="shared" ca="1" si="165"/>
        <v>0</v>
      </c>
      <c r="AS109" s="703">
        <f t="shared" ca="1" si="165"/>
        <v>0</v>
      </c>
      <c r="AT109" s="703">
        <f t="shared" ca="1" si="165"/>
        <v>0</v>
      </c>
      <c r="AU109" s="703">
        <f t="shared" ca="1" si="165"/>
        <v>0</v>
      </c>
      <c r="AV109" s="703">
        <f t="shared" ca="1" si="165"/>
        <v>0</v>
      </c>
      <c r="AW109" s="703">
        <f t="shared" ca="1" si="165"/>
        <v>0</v>
      </c>
      <c r="AX109" s="703">
        <f t="shared" ca="1" si="165"/>
        <v>0</v>
      </c>
      <c r="AY109" s="703">
        <f t="shared" ca="1" si="165"/>
        <v>0</v>
      </c>
      <c r="AZ109" s="703">
        <f t="shared" ca="1" si="165"/>
        <v>0</v>
      </c>
      <c r="BA109" s="703">
        <f t="shared" ca="1" si="165"/>
        <v>0</v>
      </c>
      <c r="BB109" s="703">
        <f t="shared" ca="1" si="165"/>
        <v>0</v>
      </c>
      <c r="BC109" s="703">
        <f t="shared" ca="1" si="165"/>
        <v>0</v>
      </c>
      <c r="BD109" s="703">
        <f t="shared" ca="1" si="165"/>
        <v>0</v>
      </c>
      <c r="BE109" s="703">
        <f t="shared" ca="1" si="165"/>
        <v>0</v>
      </c>
      <c r="BF109" s="703">
        <f t="shared" ca="1" si="165"/>
        <v>0</v>
      </c>
      <c r="BG109" s="703">
        <f t="shared" ca="1" si="165"/>
        <v>0</v>
      </c>
      <c r="BH109" s="703">
        <f t="shared" ca="1" si="165"/>
        <v>0</v>
      </c>
      <c r="BI109" s="703">
        <f t="shared" ca="1" si="165"/>
        <v>0</v>
      </c>
      <c r="BJ109" s="703">
        <f t="shared" ca="1" si="165"/>
        <v>0</v>
      </c>
      <c r="BK109" s="703">
        <f t="shared" ca="1" si="165"/>
        <v>0</v>
      </c>
      <c r="BL109" s="703">
        <f t="shared" ca="1" si="165"/>
        <v>0</v>
      </c>
      <c r="BM109" s="703">
        <f t="shared" ca="1" si="165"/>
        <v>0</v>
      </c>
      <c r="BN109" s="703">
        <f t="shared" ca="1" si="165"/>
        <v>0</v>
      </c>
      <c r="BO109" s="703">
        <f t="shared" ca="1" si="165"/>
        <v>0</v>
      </c>
      <c r="BP109" s="703">
        <f t="shared" ca="1" si="165"/>
        <v>0</v>
      </c>
      <c r="BQ109" s="703">
        <f t="shared" ca="1" si="165"/>
        <v>0</v>
      </c>
      <c r="BR109" s="703">
        <f t="shared" ca="1" si="165"/>
        <v>0</v>
      </c>
      <c r="BS109" s="703">
        <f t="shared" ca="1" si="165"/>
        <v>0</v>
      </c>
      <c r="BT109" s="703">
        <f t="shared" ca="1" si="165"/>
        <v>0</v>
      </c>
      <c r="BU109" s="703">
        <f t="shared" ca="1" si="165"/>
        <v>0</v>
      </c>
      <c r="BV109" s="703">
        <f t="shared" ca="1" si="165"/>
        <v>0</v>
      </c>
      <c r="BW109" s="703">
        <f t="shared" ref="BW109:DB109" ca="1" si="166">-(BW76+BW103)</f>
        <v>0</v>
      </c>
      <c r="BX109" s="703">
        <f t="shared" ca="1" si="166"/>
        <v>0</v>
      </c>
      <c r="BY109" s="703">
        <f t="shared" ca="1" si="166"/>
        <v>0</v>
      </c>
      <c r="BZ109" s="703">
        <f t="shared" ca="1" si="166"/>
        <v>0</v>
      </c>
      <c r="CA109" s="703">
        <f t="shared" ca="1" si="166"/>
        <v>0</v>
      </c>
      <c r="CB109" s="703">
        <f t="shared" ca="1" si="166"/>
        <v>0</v>
      </c>
      <c r="CC109" s="703">
        <f t="shared" ca="1" si="166"/>
        <v>0</v>
      </c>
      <c r="CD109" s="703">
        <f t="shared" ca="1" si="166"/>
        <v>0</v>
      </c>
      <c r="CE109" s="703">
        <f t="shared" ca="1" si="166"/>
        <v>0</v>
      </c>
      <c r="CF109" s="703">
        <f t="shared" ca="1" si="166"/>
        <v>0</v>
      </c>
      <c r="CG109" s="703">
        <f t="shared" ca="1" si="166"/>
        <v>0</v>
      </c>
      <c r="CH109" s="703">
        <f t="shared" ca="1" si="166"/>
        <v>0</v>
      </c>
      <c r="CI109" s="703">
        <f t="shared" ca="1" si="166"/>
        <v>0</v>
      </c>
      <c r="CJ109" s="703">
        <f t="shared" ca="1" si="166"/>
        <v>0</v>
      </c>
      <c r="CK109" s="703">
        <f t="shared" ca="1" si="166"/>
        <v>0</v>
      </c>
      <c r="CL109" s="703">
        <f t="shared" ca="1" si="166"/>
        <v>0</v>
      </c>
      <c r="CM109" s="703">
        <f t="shared" ca="1" si="166"/>
        <v>0</v>
      </c>
      <c r="CN109" s="703">
        <f t="shared" ca="1" si="166"/>
        <v>0</v>
      </c>
      <c r="CO109" s="703">
        <f t="shared" ca="1" si="166"/>
        <v>0</v>
      </c>
      <c r="CP109" s="703">
        <f t="shared" ca="1" si="166"/>
        <v>0</v>
      </c>
      <c r="CQ109" s="703">
        <f t="shared" ca="1" si="166"/>
        <v>0</v>
      </c>
      <c r="CR109" s="703">
        <f t="shared" ca="1" si="166"/>
        <v>0</v>
      </c>
      <c r="CS109" s="703">
        <f t="shared" ca="1" si="166"/>
        <v>0</v>
      </c>
      <c r="CT109" s="703">
        <f t="shared" ca="1" si="166"/>
        <v>0</v>
      </c>
      <c r="CU109" s="703">
        <f t="shared" ca="1" si="166"/>
        <v>0</v>
      </c>
      <c r="CV109" s="703">
        <f t="shared" ca="1" si="166"/>
        <v>0</v>
      </c>
      <c r="CW109" s="703">
        <f t="shared" ca="1" si="166"/>
        <v>0</v>
      </c>
      <c r="CX109" s="703">
        <f t="shared" ca="1" si="166"/>
        <v>0</v>
      </c>
      <c r="CY109" s="703">
        <f t="shared" ca="1" si="166"/>
        <v>0</v>
      </c>
      <c r="CZ109" s="703">
        <f t="shared" ca="1" si="166"/>
        <v>0</v>
      </c>
      <c r="DA109" s="703">
        <f t="shared" ca="1" si="166"/>
        <v>0</v>
      </c>
      <c r="DB109" s="703">
        <f t="shared" ca="1" si="166"/>
        <v>0</v>
      </c>
      <c r="DC109" s="703">
        <f t="shared" ref="DC109:EA109" ca="1" si="167">-(DC76+DC103)</f>
        <v>0</v>
      </c>
      <c r="DD109" s="703">
        <f t="shared" ca="1" si="167"/>
        <v>0</v>
      </c>
      <c r="DE109" s="703">
        <f t="shared" ca="1" si="167"/>
        <v>0</v>
      </c>
      <c r="DF109" s="703">
        <f t="shared" ca="1" si="167"/>
        <v>0</v>
      </c>
      <c r="DG109" s="703">
        <f t="shared" ca="1" si="167"/>
        <v>0</v>
      </c>
      <c r="DH109" s="703">
        <f t="shared" ca="1" si="167"/>
        <v>0</v>
      </c>
      <c r="DI109" s="703">
        <f t="shared" ca="1" si="167"/>
        <v>0</v>
      </c>
      <c r="DJ109" s="703">
        <f t="shared" ca="1" si="167"/>
        <v>0</v>
      </c>
      <c r="DK109" s="703">
        <f t="shared" ca="1" si="167"/>
        <v>0</v>
      </c>
      <c r="DL109" s="703">
        <f t="shared" ca="1" si="167"/>
        <v>0</v>
      </c>
      <c r="DM109" s="703">
        <f t="shared" ca="1" si="167"/>
        <v>0</v>
      </c>
      <c r="DN109" s="703">
        <f t="shared" ca="1" si="167"/>
        <v>0</v>
      </c>
      <c r="DO109" s="703">
        <f t="shared" ca="1" si="167"/>
        <v>0</v>
      </c>
      <c r="DP109" s="703">
        <f t="shared" ca="1" si="167"/>
        <v>0</v>
      </c>
      <c r="DQ109" s="703">
        <f t="shared" ca="1" si="167"/>
        <v>0</v>
      </c>
      <c r="DR109" s="703">
        <f t="shared" ca="1" si="167"/>
        <v>0</v>
      </c>
      <c r="DS109" s="703">
        <f t="shared" ca="1" si="167"/>
        <v>0</v>
      </c>
      <c r="DT109" s="703">
        <f t="shared" ca="1" si="167"/>
        <v>0</v>
      </c>
      <c r="DU109" s="703">
        <f t="shared" ca="1" si="167"/>
        <v>0</v>
      </c>
      <c r="DV109" s="703">
        <f t="shared" ca="1" si="167"/>
        <v>0</v>
      </c>
      <c r="DW109" s="703">
        <f t="shared" ca="1" si="167"/>
        <v>0</v>
      </c>
      <c r="DX109" s="703">
        <f t="shared" ca="1" si="167"/>
        <v>0</v>
      </c>
      <c r="DY109" s="703">
        <f t="shared" ca="1" si="167"/>
        <v>0</v>
      </c>
      <c r="DZ109" s="703">
        <f t="shared" ca="1" si="167"/>
        <v>0</v>
      </c>
      <c r="EA109" s="703">
        <f t="shared" ca="1" si="167"/>
        <v>0</v>
      </c>
      <c r="EB109" s="389"/>
      <c r="EC109" s="392" t="s">
        <v>65</v>
      </c>
    </row>
    <row r="110" spans="1:133" s="390" customFormat="1">
      <c r="A110" s="389"/>
      <c r="B110" s="389"/>
      <c r="C110" s="389"/>
      <c r="D110" s="708" t="s">
        <v>82</v>
      </c>
      <c r="E110" s="389"/>
      <c r="F110" s="389"/>
      <c r="G110" s="389"/>
      <c r="H110" s="389"/>
      <c r="I110" s="795">
        <f t="shared" ca="1" si="163"/>
        <v>-32990553.177123014</v>
      </c>
      <c r="J110" s="389"/>
      <c r="K110" s="712">
        <f>IF(K$8=Assumptions!$E$70,-K108-K109,0)</f>
        <v>0</v>
      </c>
      <c r="L110" s="712">
        <f>IF(L$8=Assumptions!$E$70,-L108-L109,0)</f>
        <v>0</v>
      </c>
      <c r="M110" s="712">
        <f>IF(M$8=Assumptions!$E$70,-M108-M109,0)</f>
        <v>0</v>
      </c>
      <c r="N110" s="712">
        <f>IF(N$8=Assumptions!$E$70,-N108-N109,0)</f>
        <v>0</v>
      </c>
      <c r="O110" s="703">
        <f>IF(O$8=Assumptions!$E$70,-O108-O109,0)</f>
        <v>0</v>
      </c>
      <c r="P110" s="703">
        <f>IF(P$8=Assumptions!$E$70,-P108-P109,0)</f>
        <v>0</v>
      </c>
      <c r="Q110" s="703">
        <f>IF(Q$8=Assumptions!$E$70,-Q108-Q109,0)</f>
        <v>0</v>
      </c>
      <c r="R110" s="703">
        <f>IF(R$8=Assumptions!$E$70,-R108-R109,0)</f>
        <v>0</v>
      </c>
      <c r="S110" s="703">
        <f>IF(S$8=Assumptions!$E$70,-S108-S109,0)</f>
        <v>0</v>
      </c>
      <c r="T110" s="703">
        <f>IF(T$8=Assumptions!$E$70,-T108-T109,0)</f>
        <v>0</v>
      </c>
      <c r="U110" s="703">
        <f>IF(U$8=Assumptions!$E$70,-U108-U109,0)</f>
        <v>0</v>
      </c>
      <c r="V110" s="703">
        <f>IF(V$8=Assumptions!$E$70,-V108-V109,0)</f>
        <v>0</v>
      </c>
      <c r="W110" s="703">
        <f>IF(W$8=Assumptions!$E$70,-W108-W109,0)</f>
        <v>0</v>
      </c>
      <c r="X110" s="703">
        <f>IF(X$8=Assumptions!$E$70,-X108-X109,0)</f>
        <v>0</v>
      </c>
      <c r="Y110" s="703">
        <f>IF(Y$8=Assumptions!$E$70,-Y108-Y109,0)</f>
        <v>0</v>
      </c>
      <c r="Z110" s="703">
        <f>IF(Z$8=Assumptions!$E$70,-Z108-Z109,0)</f>
        <v>0</v>
      </c>
      <c r="AA110" s="703">
        <f>IF(AA$8=Assumptions!$E$70,-AA108-AA109,0)</f>
        <v>0</v>
      </c>
      <c r="AB110" s="703">
        <f>IF(AB$8=Assumptions!$E$70,-AB108-AB109,0)</f>
        <v>0</v>
      </c>
      <c r="AC110" s="703">
        <f>IF(AC$8=Assumptions!$E$70,-AC108-AC109,0)</f>
        <v>0</v>
      </c>
      <c r="AD110" s="703">
        <f>IF(AD$8=Assumptions!$E$70,-AD108-AD109,0)</f>
        <v>0</v>
      </c>
      <c r="AE110" s="703">
        <f>IF(AE$8=Assumptions!$E$70,-AE108-AE109,0)</f>
        <v>0</v>
      </c>
      <c r="AF110" s="703">
        <f>IF(AF$8=Assumptions!$E$70,-AF108-AF109,0)</f>
        <v>0</v>
      </c>
      <c r="AG110" s="703">
        <f>IF(AG$8=Assumptions!$E$70,-AG108-AG109,0)</f>
        <v>0</v>
      </c>
      <c r="AH110" s="703">
        <f>IF(AH$8=Assumptions!$E$70,-AH108-AH109,0)</f>
        <v>0</v>
      </c>
      <c r="AI110" s="703">
        <f>IF(AI$8=Assumptions!$E$70,-AI108-AI109,0)</f>
        <v>0</v>
      </c>
      <c r="AJ110" s="703">
        <f>IF(AJ$8=Assumptions!$E$70,-AJ108-AJ109,0)</f>
        <v>0</v>
      </c>
      <c r="AK110" s="703">
        <f ca="1">IF(AK$8=Assumptions!$E$70,-AK108-AK109,0)</f>
        <v>-32990553.177123014</v>
      </c>
      <c r="AL110" s="703">
        <f>IF(AL$8=Assumptions!$E$70,-AL108-AL109,0)</f>
        <v>0</v>
      </c>
      <c r="AM110" s="703">
        <f>IF(AM$8=Assumptions!$E$70,-AM108-AM109,0)</f>
        <v>0</v>
      </c>
      <c r="AN110" s="703">
        <f>IF(AN$8=Assumptions!$E$70,-AN108-AN109,0)</f>
        <v>0</v>
      </c>
      <c r="AO110" s="703">
        <f>IF(AO$8=Assumptions!$E$70,-AO108-AO109,0)</f>
        <v>0</v>
      </c>
      <c r="AP110" s="703">
        <f>IF(AP$8=Assumptions!$E$70,-AP108-AP109,0)</f>
        <v>0</v>
      </c>
      <c r="AQ110" s="703">
        <f>IF(AQ$8=Assumptions!$E$70,-AQ108-AQ109,0)</f>
        <v>0</v>
      </c>
      <c r="AR110" s="703">
        <f>IF(AR$8=Assumptions!$E$70,-AR108-AR109,0)</f>
        <v>0</v>
      </c>
      <c r="AS110" s="703">
        <f>IF(AS$8=Assumptions!$E$70,-AS108-AS109,0)</f>
        <v>0</v>
      </c>
      <c r="AT110" s="703">
        <f>IF(AT$8=Assumptions!$E$70,-AT108-AT109,0)</f>
        <v>0</v>
      </c>
      <c r="AU110" s="703">
        <f>IF(AU$8=Assumptions!$E$70,-AU108-AU109,0)</f>
        <v>0</v>
      </c>
      <c r="AV110" s="703">
        <f>IF(AV$8=Assumptions!$E$70,-AV108-AV109,0)</f>
        <v>0</v>
      </c>
      <c r="AW110" s="703">
        <f>IF(AW$8=Assumptions!$E$70,-AW108-AW109,0)</f>
        <v>0</v>
      </c>
      <c r="AX110" s="703">
        <f>IF(AX$8=Assumptions!$E$70,-AX108-AX109,0)</f>
        <v>0</v>
      </c>
      <c r="AY110" s="703">
        <f>IF(AY$8=Assumptions!$E$70,-AY108-AY109,0)</f>
        <v>0</v>
      </c>
      <c r="AZ110" s="703">
        <f>IF(AZ$8=Assumptions!$E$70,-AZ108-AZ109,0)</f>
        <v>0</v>
      </c>
      <c r="BA110" s="703">
        <f>IF(BA$8=Assumptions!$E$70,-BA108-BA109,0)</f>
        <v>0</v>
      </c>
      <c r="BB110" s="703">
        <f>IF(BB$8=Assumptions!$E$70,-BB108-BB109,0)</f>
        <v>0</v>
      </c>
      <c r="BC110" s="703">
        <f>IF(BC$8=Assumptions!$E$70,-BC108-BC109,0)</f>
        <v>0</v>
      </c>
      <c r="BD110" s="703">
        <f>IF(BD$8=Assumptions!$E$70,-BD108-BD109,0)</f>
        <v>0</v>
      </c>
      <c r="BE110" s="703">
        <f>IF(BE$8=Assumptions!$E$70,-BE108-BE109,0)</f>
        <v>0</v>
      </c>
      <c r="BF110" s="703">
        <f>IF(BF$8=Assumptions!$E$70,-BF108-BF109,0)</f>
        <v>0</v>
      </c>
      <c r="BG110" s="703">
        <f>IF(BG$8=Assumptions!$E$70,-BG108-BG109,0)</f>
        <v>0</v>
      </c>
      <c r="BH110" s="703">
        <f>IF(BH$8=Assumptions!$E$70,-BH108-BH109,0)</f>
        <v>0</v>
      </c>
      <c r="BI110" s="703">
        <f>IF(BI$8=Assumptions!$E$70,-BI108-BI109,0)</f>
        <v>0</v>
      </c>
      <c r="BJ110" s="703">
        <f>IF(BJ$8=Assumptions!$E$70,-BJ108-BJ109,0)</f>
        <v>0</v>
      </c>
      <c r="BK110" s="703">
        <f>IF(BK$8=Assumptions!$E$70,-BK108-BK109,0)</f>
        <v>0</v>
      </c>
      <c r="BL110" s="703">
        <f>IF(BL$8=Assumptions!$E$70,-BL108-BL109,0)</f>
        <v>0</v>
      </c>
      <c r="BM110" s="703">
        <f>IF(BM$8=Assumptions!$E$70,-BM108-BM109,0)</f>
        <v>0</v>
      </c>
      <c r="BN110" s="703">
        <f>IF(BN$8=Assumptions!$E$70,-BN108-BN109,0)</f>
        <v>0</v>
      </c>
      <c r="BO110" s="703">
        <f>IF(BO$8=Assumptions!$E$70,-BO108-BO109,0)</f>
        <v>0</v>
      </c>
      <c r="BP110" s="703">
        <f>IF(BP$8=Assumptions!$E$70,-BP108-BP109,0)</f>
        <v>0</v>
      </c>
      <c r="BQ110" s="703">
        <f>IF(BQ$8=Assumptions!$E$70,-BQ108-BQ109,0)</f>
        <v>0</v>
      </c>
      <c r="BR110" s="703">
        <f>IF(BR$8=Assumptions!$E$70,-BR108-BR109,0)</f>
        <v>0</v>
      </c>
      <c r="BS110" s="703">
        <f>IF(BS$8=Assumptions!$E$70,-BS108-BS109,0)</f>
        <v>0</v>
      </c>
      <c r="BT110" s="703">
        <f>IF(BT$8=Assumptions!$E$70,-BT108-BT109,0)</f>
        <v>0</v>
      </c>
      <c r="BU110" s="703">
        <f>IF(BU$8=Assumptions!$E$70,-BU108-BU109,0)</f>
        <v>0</v>
      </c>
      <c r="BV110" s="703">
        <f>IF(BV$8=Assumptions!$E$70,-BV108-BV109,0)</f>
        <v>0</v>
      </c>
      <c r="BW110" s="703">
        <f>IF(BW$8=Assumptions!$E$70,-BW108-BW109,0)</f>
        <v>0</v>
      </c>
      <c r="BX110" s="703">
        <f>IF(BX$8=Assumptions!$E$70,-BX108-BX109,0)</f>
        <v>0</v>
      </c>
      <c r="BY110" s="703">
        <f>IF(BY$8=Assumptions!$E$70,-BY108-BY109,0)</f>
        <v>0</v>
      </c>
      <c r="BZ110" s="703">
        <f>IF(BZ$8=Assumptions!$E$70,-BZ108-BZ109,0)</f>
        <v>0</v>
      </c>
      <c r="CA110" s="703">
        <f>IF(CA$8=Assumptions!$E$70,-CA108-CA109,0)</f>
        <v>0</v>
      </c>
      <c r="CB110" s="703">
        <f>IF(CB$8=Assumptions!$E$70,-CB108-CB109,0)</f>
        <v>0</v>
      </c>
      <c r="CC110" s="703">
        <f>IF(CC$8=Assumptions!$E$70,-CC108-CC109,0)</f>
        <v>0</v>
      </c>
      <c r="CD110" s="703">
        <f>IF(CD$8=Assumptions!$E$70,-CD108-CD109,0)</f>
        <v>0</v>
      </c>
      <c r="CE110" s="703">
        <f>IF(CE$8=Assumptions!$E$70,-CE108-CE109,0)</f>
        <v>0</v>
      </c>
      <c r="CF110" s="703">
        <f>IF(CF$8=Assumptions!$E$70,-CF108-CF109,0)</f>
        <v>0</v>
      </c>
      <c r="CG110" s="703">
        <f>IF(CG$8=Assumptions!$E$70,-CG108-CG109,0)</f>
        <v>0</v>
      </c>
      <c r="CH110" s="703">
        <f>IF(CH$8=Assumptions!$E$70,-CH108-CH109,0)</f>
        <v>0</v>
      </c>
      <c r="CI110" s="703">
        <f>IF(CI$8=Assumptions!$E$70,-CI108-CI109,0)</f>
        <v>0</v>
      </c>
      <c r="CJ110" s="703">
        <f>IF(CJ$8=Assumptions!$E$70,-CJ108-CJ109,0)</f>
        <v>0</v>
      </c>
      <c r="CK110" s="703">
        <f>IF(CK$8=Assumptions!$E$70,-CK108-CK109,0)</f>
        <v>0</v>
      </c>
      <c r="CL110" s="703">
        <f>IF(CL$8=Assumptions!$E$70,-CL108-CL109,0)</f>
        <v>0</v>
      </c>
      <c r="CM110" s="703">
        <f>IF(CM$8=Assumptions!$E$70,-CM108-CM109,0)</f>
        <v>0</v>
      </c>
      <c r="CN110" s="703">
        <f>IF(CN$8=Assumptions!$E$70,-CN108-CN109,0)</f>
        <v>0</v>
      </c>
      <c r="CO110" s="703">
        <f>IF(CO$8=Assumptions!$E$70,-CO108-CO109,0)</f>
        <v>0</v>
      </c>
      <c r="CP110" s="703">
        <f>IF(CP$8=Assumptions!$E$70,-CP108-CP109,0)</f>
        <v>0</v>
      </c>
      <c r="CQ110" s="703">
        <f>IF(CQ$8=Assumptions!$E$70,-CQ108-CQ109,0)</f>
        <v>0</v>
      </c>
      <c r="CR110" s="703">
        <f>IF(CR$8=Assumptions!$E$70,-CR108-CR109,0)</f>
        <v>0</v>
      </c>
      <c r="CS110" s="703">
        <f>IF(CS$8=Assumptions!$E$70,-CS108-CS109,0)</f>
        <v>0</v>
      </c>
      <c r="CT110" s="703">
        <f>IF(CT$8=Assumptions!$E$70,-CT108-CT109,0)</f>
        <v>0</v>
      </c>
      <c r="CU110" s="703">
        <f>IF(CU$8=Assumptions!$E$70,-CU108-CU109,0)</f>
        <v>0</v>
      </c>
      <c r="CV110" s="703">
        <f>IF(CV$8=Assumptions!$E$70,-CV108-CV109,0)</f>
        <v>0</v>
      </c>
      <c r="CW110" s="703">
        <f>IF(CW$8=Assumptions!$E$70,-CW108-CW109,0)</f>
        <v>0</v>
      </c>
      <c r="CX110" s="703">
        <f>IF(CX$8=Assumptions!$E$70,-CX108-CX109,0)</f>
        <v>0</v>
      </c>
      <c r="CY110" s="703">
        <f>IF(CY$8=Assumptions!$E$70,-CY108-CY109,0)</f>
        <v>0</v>
      </c>
      <c r="CZ110" s="703">
        <f>IF(CZ$8=Assumptions!$E$70,-CZ108-CZ109,0)</f>
        <v>0</v>
      </c>
      <c r="DA110" s="703">
        <f>IF(DA$8=Assumptions!$E$70,-DA108-DA109,0)</f>
        <v>0</v>
      </c>
      <c r="DB110" s="703">
        <f>IF(DB$8=Assumptions!$E$70,-DB108-DB109,0)</f>
        <v>0</v>
      </c>
      <c r="DC110" s="703">
        <f>IF(DC$8=Assumptions!$E$70,-DC108-DC109,0)</f>
        <v>0</v>
      </c>
      <c r="DD110" s="703">
        <f>IF(DD$8=Assumptions!$E$70,-DD108-DD109,0)</f>
        <v>0</v>
      </c>
      <c r="DE110" s="703">
        <f>IF(DE$8=Assumptions!$E$70,-DE108-DE109,0)</f>
        <v>0</v>
      </c>
      <c r="DF110" s="703">
        <f>IF(DF$8=Assumptions!$E$70,-DF108-DF109,0)</f>
        <v>0</v>
      </c>
      <c r="DG110" s="703">
        <f>IF(DG$8=Assumptions!$E$70,-DG108-DG109,0)</f>
        <v>0</v>
      </c>
      <c r="DH110" s="703">
        <f>IF(DH$8=Assumptions!$E$70,-DH108-DH109,0)</f>
        <v>0</v>
      </c>
      <c r="DI110" s="703">
        <f>IF(DI$8=Assumptions!$E$70,-DI108-DI109,0)</f>
        <v>0</v>
      </c>
      <c r="DJ110" s="703">
        <f>IF(DJ$8=Assumptions!$E$70,-DJ108-DJ109,0)</f>
        <v>0</v>
      </c>
      <c r="DK110" s="703">
        <f>IF(DK$8=Assumptions!$E$70,-DK108-DK109,0)</f>
        <v>0</v>
      </c>
      <c r="DL110" s="703">
        <f>IF(DL$8=Assumptions!$E$70,-DL108-DL109,0)</f>
        <v>0</v>
      </c>
      <c r="DM110" s="703">
        <f>IF(DM$8=Assumptions!$E$70,-DM108-DM109,0)</f>
        <v>0</v>
      </c>
      <c r="DN110" s="703">
        <f>IF(DN$8=Assumptions!$E$70,-DN108-DN109,0)</f>
        <v>0</v>
      </c>
      <c r="DO110" s="703">
        <f>IF(DO$8=Assumptions!$E$70,-DO108-DO109,0)</f>
        <v>0</v>
      </c>
      <c r="DP110" s="703">
        <f>IF(DP$8=Assumptions!$E$70,-DP108-DP109,0)</f>
        <v>0</v>
      </c>
      <c r="DQ110" s="703">
        <f>IF(DQ$8=Assumptions!$E$70,-DQ108-DQ109,0)</f>
        <v>0</v>
      </c>
      <c r="DR110" s="703">
        <f>IF(DR$8=Assumptions!$E$70,-DR108-DR109,0)</f>
        <v>0</v>
      </c>
      <c r="DS110" s="703">
        <f>IF(DS$8=Assumptions!$E$70,-DS108-DS109,0)</f>
        <v>0</v>
      </c>
      <c r="DT110" s="703">
        <f>IF(DT$8=Assumptions!$E$70,-DT108-DT109,0)</f>
        <v>0</v>
      </c>
      <c r="DU110" s="703">
        <f>IF(DU$8=Assumptions!$E$70,-DU108-DU109,0)</f>
        <v>0</v>
      </c>
      <c r="DV110" s="703">
        <f>IF(DV$8=Assumptions!$E$70,-DV108-DV109,0)</f>
        <v>0</v>
      </c>
      <c r="DW110" s="703">
        <f>IF(DW$8=Assumptions!$E$70,-DW108-DW109,0)</f>
        <v>0</v>
      </c>
      <c r="DX110" s="703">
        <f>IF(DX$8=Assumptions!$E$70,-DX108-DX109,0)</f>
        <v>0</v>
      </c>
      <c r="DY110" s="703">
        <f>IF(DY$8=Assumptions!$E$70,-DY108-DY109,0)</f>
        <v>0</v>
      </c>
      <c r="DZ110" s="703">
        <f>IF(DZ$8=Assumptions!$E$70,-DZ108-DZ109,0)</f>
        <v>0</v>
      </c>
      <c r="EA110" s="703">
        <f>IF(EA$8=Assumptions!$E$70,-EA108-EA109,0)</f>
        <v>0</v>
      </c>
      <c r="EB110" s="389"/>
      <c r="EC110" s="392" t="s">
        <v>65</v>
      </c>
    </row>
    <row r="111" spans="1:133" s="390" customFormat="1" ht="15" customHeight="1">
      <c r="A111" s="389"/>
      <c r="B111" s="389"/>
      <c r="C111" s="389"/>
      <c r="D111" s="429" t="s">
        <v>134</v>
      </c>
      <c r="E111" s="411"/>
      <c r="F111" s="411"/>
      <c r="G111" s="411"/>
      <c r="H111" s="411"/>
      <c r="I111" s="797">
        <f t="shared" ref="I111:AO111" ca="1" si="168">I109+I108+I110</f>
        <v>0</v>
      </c>
      <c r="J111" s="389"/>
      <c r="K111" s="717">
        <f t="shared" ref="K111" si="169">K109+K108+K110</f>
        <v>0</v>
      </c>
      <c r="L111" s="717">
        <f t="shared" ca="1" si="168"/>
        <v>0</v>
      </c>
      <c r="M111" s="717">
        <f t="shared" ca="1" si="168"/>
        <v>0</v>
      </c>
      <c r="N111" s="717">
        <f t="shared" ca="1" si="168"/>
        <v>0</v>
      </c>
      <c r="O111" s="411">
        <f t="shared" ca="1" si="168"/>
        <v>0</v>
      </c>
      <c r="P111" s="411">
        <f t="shared" ca="1" si="168"/>
        <v>0</v>
      </c>
      <c r="Q111" s="411">
        <f t="shared" ca="1" si="168"/>
        <v>0</v>
      </c>
      <c r="R111" s="411">
        <f t="shared" ca="1" si="168"/>
        <v>0</v>
      </c>
      <c r="S111" s="411">
        <f t="shared" ca="1" si="168"/>
        <v>479529.90267640259</v>
      </c>
      <c r="T111" s="411">
        <f t="shared" ca="1" si="168"/>
        <v>3360493.103309799</v>
      </c>
      <c r="U111" s="411">
        <f t="shared" ca="1" si="168"/>
        <v>6241456.3039431954</v>
      </c>
      <c r="V111" s="411">
        <f t="shared" ca="1" si="168"/>
        <v>9122419.5045765918</v>
      </c>
      <c r="W111" s="411">
        <f t="shared" ca="1" si="168"/>
        <v>12003382.705209989</v>
      </c>
      <c r="X111" s="411">
        <f t="shared" ca="1" si="168"/>
        <v>14884345.905843385</v>
      </c>
      <c r="Y111" s="411">
        <f t="shared" ca="1" si="168"/>
        <v>17765309.10647678</v>
      </c>
      <c r="Z111" s="411">
        <f t="shared" ca="1" si="168"/>
        <v>20646272.307110175</v>
      </c>
      <c r="AA111" s="411">
        <f t="shared" ca="1" si="168"/>
        <v>23602235.507743571</v>
      </c>
      <c r="AB111" s="411">
        <f t="shared" ca="1" si="168"/>
        <v>26558198.708376966</v>
      </c>
      <c r="AC111" s="411">
        <f t="shared" ca="1" si="168"/>
        <v>29514161.909010362</v>
      </c>
      <c r="AD111" s="411">
        <f t="shared" ca="1" si="168"/>
        <v>32078972.102491975</v>
      </c>
      <c r="AE111" s="411">
        <f t="shared" ca="1" si="168"/>
        <v>32209197.970296409</v>
      </c>
      <c r="AF111" s="411">
        <f t="shared" ca="1" si="168"/>
        <v>32339423.838100843</v>
      </c>
      <c r="AG111" s="411">
        <f t="shared" ca="1" si="168"/>
        <v>32469649.705905277</v>
      </c>
      <c r="AH111" s="411">
        <f t="shared" ca="1" si="168"/>
        <v>32599875.573709711</v>
      </c>
      <c r="AI111" s="411">
        <f t="shared" ca="1" si="168"/>
        <v>32730101.441514146</v>
      </c>
      <c r="AJ111" s="411">
        <f t="shared" ca="1" si="168"/>
        <v>32860327.30931858</v>
      </c>
      <c r="AK111" s="411">
        <f t="shared" ca="1" si="168"/>
        <v>0</v>
      </c>
      <c r="AL111" s="411">
        <f t="shared" ca="1" si="168"/>
        <v>0</v>
      </c>
      <c r="AM111" s="411">
        <f t="shared" ca="1" si="168"/>
        <v>0</v>
      </c>
      <c r="AN111" s="411">
        <f t="shared" ca="1" si="168"/>
        <v>0</v>
      </c>
      <c r="AO111" s="411">
        <f t="shared" ca="1" si="168"/>
        <v>0</v>
      </c>
      <c r="AP111" s="411">
        <f t="shared" ref="AP111:CW111" ca="1" si="170">AP109+AP108+AP110</f>
        <v>0</v>
      </c>
      <c r="AQ111" s="411">
        <f t="shared" ca="1" si="170"/>
        <v>0</v>
      </c>
      <c r="AR111" s="411">
        <f t="shared" ca="1" si="170"/>
        <v>0</v>
      </c>
      <c r="AS111" s="411">
        <f ca="1">AS109+AS108+AS110</f>
        <v>0</v>
      </c>
      <c r="AT111" s="411">
        <f t="shared" ca="1" si="170"/>
        <v>0</v>
      </c>
      <c r="AU111" s="411">
        <f t="shared" ca="1" si="170"/>
        <v>0</v>
      </c>
      <c r="AV111" s="411">
        <f t="shared" ca="1" si="170"/>
        <v>0</v>
      </c>
      <c r="AW111" s="411">
        <f t="shared" ca="1" si="170"/>
        <v>0</v>
      </c>
      <c r="AX111" s="411">
        <f t="shared" ca="1" si="170"/>
        <v>0</v>
      </c>
      <c r="AY111" s="411">
        <f t="shared" ca="1" si="170"/>
        <v>0</v>
      </c>
      <c r="AZ111" s="411">
        <f t="shared" ca="1" si="170"/>
        <v>0</v>
      </c>
      <c r="BA111" s="411">
        <f t="shared" ca="1" si="170"/>
        <v>0</v>
      </c>
      <c r="BB111" s="411">
        <f t="shared" ca="1" si="170"/>
        <v>0</v>
      </c>
      <c r="BC111" s="411">
        <f t="shared" ca="1" si="170"/>
        <v>0</v>
      </c>
      <c r="BD111" s="411">
        <f t="shared" ca="1" si="170"/>
        <v>0</v>
      </c>
      <c r="BE111" s="411">
        <f t="shared" ca="1" si="170"/>
        <v>0</v>
      </c>
      <c r="BF111" s="411">
        <f t="shared" ca="1" si="170"/>
        <v>0</v>
      </c>
      <c r="BG111" s="411">
        <f t="shared" ca="1" si="170"/>
        <v>0</v>
      </c>
      <c r="BH111" s="411">
        <f t="shared" ca="1" si="170"/>
        <v>0</v>
      </c>
      <c r="BI111" s="411">
        <f t="shared" ca="1" si="170"/>
        <v>0</v>
      </c>
      <c r="BJ111" s="411">
        <f t="shared" ca="1" si="170"/>
        <v>0</v>
      </c>
      <c r="BK111" s="411">
        <f t="shared" ca="1" si="170"/>
        <v>0</v>
      </c>
      <c r="BL111" s="411">
        <f t="shared" ca="1" si="170"/>
        <v>0</v>
      </c>
      <c r="BM111" s="411">
        <f t="shared" ca="1" si="170"/>
        <v>0</v>
      </c>
      <c r="BN111" s="411">
        <f t="shared" ca="1" si="170"/>
        <v>0</v>
      </c>
      <c r="BO111" s="411">
        <f t="shared" ca="1" si="170"/>
        <v>0</v>
      </c>
      <c r="BP111" s="411">
        <f t="shared" ca="1" si="170"/>
        <v>0</v>
      </c>
      <c r="BQ111" s="411">
        <f t="shared" ca="1" si="170"/>
        <v>0</v>
      </c>
      <c r="BR111" s="411">
        <f t="shared" ca="1" si="170"/>
        <v>0</v>
      </c>
      <c r="BS111" s="411">
        <f t="shared" ca="1" si="170"/>
        <v>0</v>
      </c>
      <c r="BT111" s="411">
        <f t="shared" ca="1" si="170"/>
        <v>0</v>
      </c>
      <c r="BU111" s="411">
        <f t="shared" ca="1" si="170"/>
        <v>0</v>
      </c>
      <c r="BV111" s="411">
        <f t="shared" ca="1" si="170"/>
        <v>0</v>
      </c>
      <c r="BW111" s="411">
        <f t="shared" ca="1" si="170"/>
        <v>0</v>
      </c>
      <c r="BX111" s="411">
        <f t="shared" ca="1" si="170"/>
        <v>0</v>
      </c>
      <c r="BY111" s="411">
        <f t="shared" ca="1" si="170"/>
        <v>0</v>
      </c>
      <c r="BZ111" s="411">
        <f t="shared" ca="1" si="170"/>
        <v>0</v>
      </c>
      <c r="CA111" s="411">
        <f t="shared" ca="1" si="170"/>
        <v>0</v>
      </c>
      <c r="CB111" s="411">
        <f t="shared" ca="1" si="170"/>
        <v>0</v>
      </c>
      <c r="CC111" s="411">
        <f t="shared" ca="1" si="170"/>
        <v>0</v>
      </c>
      <c r="CD111" s="411">
        <f t="shared" ca="1" si="170"/>
        <v>0</v>
      </c>
      <c r="CE111" s="411">
        <f t="shared" ca="1" si="170"/>
        <v>0</v>
      </c>
      <c r="CF111" s="411">
        <f t="shared" ca="1" si="170"/>
        <v>0</v>
      </c>
      <c r="CG111" s="411">
        <f t="shared" ca="1" si="170"/>
        <v>0</v>
      </c>
      <c r="CH111" s="411">
        <f t="shared" ca="1" si="170"/>
        <v>0</v>
      </c>
      <c r="CI111" s="411">
        <f t="shared" ca="1" si="170"/>
        <v>0</v>
      </c>
      <c r="CJ111" s="411">
        <f t="shared" ca="1" si="170"/>
        <v>0</v>
      </c>
      <c r="CK111" s="411">
        <f t="shared" ca="1" si="170"/>
        <v>0</v>
      </c>
      <c r="CL111" s="411">
        <f t="shared" ca="1" si="170"/>
        <v>0</v>
      </c>
      <c r="CM111" s="411">
        <f t="shared" ca="1" si="170"/>
        <v>0</v>
      </c>
      <c r="CN111" s="411">
        <f t="shared" ca="1" si="170"/>
        <v>0</v>
      </c>
      <c r="CO111" s="411">
        <f t="shared" ca="1" si="170"/>
        <v>0</v>
      </c>
      <c r="CP111" s="411">
        <f t="shared" ca="1" si="170"/>
        <v>0</v>
      </c>
      <c r="CQ111" s="411">
        <f t="shared" ca="1" si="170"/>
        <v>0</v>
      </c>
      <c r="CR111" s="411">
        <f t="shared" ca="1" si="170"/>
        <v>0</v>
      </c>
      <c r="CS111" s="411">
        <f t="shared" ca="1" si="170"/>
        <v>0</v>
      </c>
      <c r="CT111" s="411">
        <f t="shared" ca="1" si="170"/>
        <v>0</v>
      </c>
      <c r="CU111" s="411">
        <f t="shared" ca="1" si="170"/>
        <v>0</v>
      </c>
      <c r="CV111" s="411">
        <f t="shared" ca="1" si="170"/>
        <v>0</v>
      </c>
      <c r="CW111" s="411">
        <f t="shared" ca="1" si="170"/>
        <v>0</v>
      </c>
      <c r="CX111" s="411">
        <f t="shared" ref="CX111:EA111" ca="1" si="171">CX109+CX108+CX110</f>
        <v>0</v>
      </c>
      <c r="CY111" s="411">
        <f t="shared" ca="1" si="171"/>
        <v>0</v>
      </c>
      <c r="CZ111" s="411">
        <f t="shared" ca="1" si="171"/>
        <v>0</v>
      </c>
      <c r="DA111" s="411">
        <f t="shared" ca="1" si="171"/>
        <v>0</v>
      </c>
      <c r="DB111" s="411">
        <f t="shared" ca="1" si="171"/>
        <v>0</v>
      </c>
      <c r="DC111" s="411">
        <f t="shared" ca="1" si="171"/>
        <v>0</v>
      </c>
      <c r="DD111" s="411">
        <f t="shared" ca="1" si="171"/>
        <v>0</v>
      </c>
      <c r="DE111" s="411">
        <f t="shared" ca="1" si="171"/>
        <v>0</v>
      </c>
      <c r="DF111" s="411">
        <f t="shared" ca="1" si="171"/>
        <v>0</v>
      </c>
      <c r="DG111" s="411">
        <f t="shared" ca="1" si="171"/>
        <v>0</v>
      </c>
      <c r="DH111" s="411">
        <f t="shared" ca="1" si="171"/>
        <v>0</v>
      </c>
      <c r="DI111" s="411">
        <f t="shared" ca="1" si="171"/>
        <v>0</v>
      </c>
      <c r="DJ111" s="411">
        <f t="shared" ca="1" si="171"/>
        <v>0</v>
      </c>
      <c r="DK111" s="411">
        <f t="shared" ca="1" si="171"/>
        <v>0</v>
      </c>
      <c r="DL111" s="411">
        <f t="shared" ca="1" si="171"/>
        <v>0</v>
      </c>
      <c r="DM111" s="411">
        <f t="shared" ca="1" si="171"/>
        <v>0</v>
      </c>
      <c r="DN111" s="411">
        <f t="shared" ca="1" si="171"/>
        <v>0</v>
      </c>
      <c r="DO111" s="411">
        <f t="shared" ca="1" si="171"/>
        <v>0</v>
      </c>
      <c r="DP111" s="411">
        <f t="shared" ca="1" si="171"/>
        <v>0</v>
      </c>
      <c r="DQ111" s="411">
        <f t="shared" ca="1" si="171"/>
        <v>0</v>
      </c>
      <c r="DR111" s="411">
        <f t="shared" ca="1" si="171"/>
        <v>0</v>
      </c>
      <c r="DS111" s="411">
        <f t="shared" ca="1" si="171"/>
        <v>0</v>
      </c>
      <c r="DT111" s="411">
        <f t="shared" ca="1" si="171"/>
        <v>0</v>
      </c>
      <c r="DU111" s="411">
        <f t="shared" ca="1" si="171"/>
        <v>0</v>
      </c>
      <c r="DV111" s="411">
        <f t="shared" ca="1" si="171"/>
        <v>0</v>
      </c>
      <c r="DW111" s="411">
        <f t="shared" ca="1" si="171"/>
        <v>0</v>
      </c>
      <c r="DX111" s="411">
        <f t="shared" ca="1" si="171"/>
        <v>0</v>
      </c>
      <c r="DY111" s="411">
        <f t="shared" ca="1" si="171"/>
        <v>0</v>
      </c>
      <c r="DZ111" s="411">
        <f t="shared" ca="1" si="171"/>
        <v>0</v>
      </c>
      <c r="EA111" s="411">
        <f t="shared" ca="1" si="171"/>
        <v>0</v>
      </c>
      <c r="EB111" s="389"/>
      <c r="EC111" s="392" t="s">
        <v>65</v>
      </c>
    </row>
    <row r="112" spans="1:133" s="390" customFormat="1" ht="15" customHeight="1">
      <c r="A112" s="389"/>
      <c r="B112" s="389"/>
      <c r="C112" s="389"/>
      <c r="D112" s="416" t="s">
        <v>571</v>
      </c>
      <c r="E112" s="413"/>
      <c r="F112" s="413"/>
      <c r="G112" s="413"/>
      <c r="H112" s="413"/>
      <c r="I112" s="795">
        <f t="shared" ca="1" si="163"/>
        <v>0</v>
      </c>
      <c r="J112" s="389"/>
      <c r="K112" s="719"/>
      <c r="L112" s="507">
        <f t="shared" ref="L112:M112" ca="1" si="172">IF(L108*(L147/12)&lt;L44,-L108*(L147/12),0)</f>
        <v>0</v>
      </c>
      <c r="M112" s="507">
        <f t="shared" ca="1" si="172"/>
        <v>0</v>
      </c>
      <c r="N112" s="507"/>
      <c r="O112" s="507"/>
      <c r="P112" s="507"/>
      <c r="Q112" s="507"/>
      <c r="R112" s="507"/>
      <c r="S112" s="507"/>
      <c r="T112" s="507"/>
      <c r="U112" s="507"/>
      <c r="V112" s="507"/>
      <c r="W112" s="507"/>
      <c r="X112" s="507"/>
      <c r="Y112" s="507"/>
      <c r="Z112" s="507"/>
      <c r="AA112" s="507"/>
      <c r="AB112" s="507"/>
      <c r="AC112" s="507"/>
      <c r="AD112" s="507"/>
      <c r="AE112" s="507"/>
      <c r="AF112" s="507"/>
      <c r="AG112" s="507"/>
      <c r="AH112" s="507"/>
      <c r="AI112" s="507"/>
      <c r="AJ112" s="507"/>
      <c r="AK112" s="507"/>
      <c r="AL112" s="507"/>
      <c r="AM112" s="507"/>
      <c r="AN112" s="507"/>
      <c r="AO112" s="507"/>
      <c r="AP112" s="507"/>
      <c r="AQ112" s="507"/>
      <c r="AR112" s="507"/>
      <c r="AS112" s="507"/>
      <c r="AT112" s="507"/>
      <c r="AU112" s="507"/>
      <c r="AV112" s="507"/>
      <c r="AW112" s="507"/>
      <c r="AX112" s="507"/>
      <c r="AY112" s="507"/>
      <c r="AZ112" s="507"/>
      <c r="BA112" s="507"/>
      <c r="BB112" s="507"/>
      <c r="BC112" s="507"/>
      <c r="BD112" s="507"/>
      <c r="BE112" s="507"/>
      <c r="BF112" s="507"/>
      <c r="BG112" s="507"/>
      <c r="BH112" s="507"/>
      <c r="BI112" s="507"/>
      <c r="BJ112" s="507"/>
      <c r="BK112" s="507"/>
      <c r="BL112" s="507"/>
      <c r="BM112" s="507"/>
      <c r="BN112" s="507"/>
      <c r="BO112" s="507"/>
      <c r="BP112" s="507"/>
      <c r="BQ112" s="507"/>
      <c r="BR112" s="507"/>
      <c r="BS112" s="507"/>
      <c r="BT112" s="507"/>
      <c r="BU112" s="507"/>
      <c r="BV112" s="507"/>
      <c r="BW112" s="507"/>
      <c r="BX112" s="507"/>
      <c r="BY112" s="507"/>
      <c r="BZ112" s="507"/>
      <c r="CA112" s="507"/>
      <c r="CB112" s="507"/>
      <c r="CC112" s="507"/>
      <c r="CD112" s="507"/>
      <c r="CE112" s="507"/>
      <c r="CF112" s="507"/>
      <c r="CG112" s="507"/>
      <c r="CH112" s="507"/>
      <c r="CI112" s="507"/>
      <c r="CJ112" s="507"/>
      <c r="CK112" s="507"/>
      <c r="CL112" s="507"/>
      <c r="CM112" s="507"/>
      <c r="CN112" s="507"/>
      <c r="CO112" s="507"/>
      <c r="CP112" s="507"/>
      <c r="CQ112" s="507"/>
      <c r="CR112" s="507"/>
      <c r="CS112" s="507"/>
      <c r="CT112" s="507"/>
      <c r="CU112" s="507"/>
      <c r="CV112" s="507"/>
      <c r="CW112" s="507"/>
      <c r="CX112" s="507"/>
      <c r="CY112" s="507"/>
      <c r="CZ112" s="507"/>
      <c r="DA112" s="507"/>
      <c r="DB112" s="507"/>
      <c r="DC112" s="507"/>
      <c r="DD112" s="507"/>
      <c r="DE112" s="507"/>
      <c r="DF112" s="507"/>
      <c r="DG112" s="507"/>
      <c r="DH112" s="507"/>
      <c r="DI112" s="507"/>
      <c r="DJ112" s="507"/>
      <c r="DK112" s="507"/>
      <c r="DL112" s="507"/>
      <c r="DM112" s="507"/>
      <c r="DN112" s="507"/>
      <c r="DO112" s="507"/>
      <c r="DP112" s="507"/>
      <c r="DQ112" s="507"/>
      <c r="DR112" s="507"/>
      <c r="DS112" s="507"/>
      <c r="DT112" s="507"/>
      <c r="DU112" s="507"/>
      <c r="DV112" s="507"/>
      <c r="DW112" s="507"/>
      <c r="DX112" s="507"/>
      <c r="DY112" s="507"/>
      <c r="DZ112" s="507"/>
      <c r="EA112" s="507"/>
      <c r="EB112" s="389"/>
      <c r="EC112" s="392" t="s">
        <v>65</v>
      </c>
    </row>
    <row r="113" spans="1:133" s="390" customFormat="1">
      <c r="A113" s="389"/>
      <c r="B113" s="389"/>
      <c r="C113" s="389"/>
      <c r="D113" s="403"/>
      <c r="E113" s="389"/>
      <c r="F113" s="389"/>
      <c r="G113" s="389"/>
      <c r="H113" s="389"/>
      <c r="I113" s="796"/>
      <c r="J113" s="389"/>
      <c r="K113" s="389"/>
      <c r="L113" s="712"/>
      <c r="M113" s="712"/>
      <c r="N113" s="712"/>
      <c r="O113" s="703"/>
      <c r="P113" s="703"/>
      <c r="Q113" s="703"/>
      <c r="R113" s="703"/>
      <c r="S113" s="703"/>
      <c r="T113" s="703"/>
      <c r="U113" s="703"/>
      <c r="V113" s="703"/>
      <c r="W113" s="703"/>
      <c r="X113" s="703"/>
      <c r="Y113" s="703"/>
      <c r="Z113" s="703"/>
      <c r="AA113" s="703"/>
      <c r="AB113" s="703"/>
      <c r="AC113" s="703"/>
      <c r="AD113" s="703"/>
      <c r="AE113" s="703"/>
      <c r="AF113" s="703"/>
      <c r="AG113" s="703"/>
      <c r="AH113" s="703"/>
      <c r="AI113" s="703"/>
      <c r="AJ113" s="703"/>
      <c r="AK113" s="703"/>
      <c r="AL113" s="703"/>
      <c r="AM113" s="703"/>
      <c r="AN113" s="703"/>
      <c r="AO113" s="703"/>
      <c r="AP113" s="703"/>
      <c r="AQ113" s="703"/>
      <c r="AR113" s="703"/>
      <c r="AS113" s="703"/>
      <c r="AT113" s="703"/>
      <c r="AU113" s="703"/>
      <c r="AV113" s="703"/>
      <c r="AW113" s="703"/>
      <c r="AX113" s="703"/>
      <c r="AY113" s="703"/>
      <c r="AZ113" s="703"/>
      <c r="BA113" s="703"/>
      <c r="BB113" s="703"/>
      <c r="BC113" s="703"/>
      <c r="BD113" s="703"/>
      <c r="BE113" s="703"/>
      <c r="BF113" s="703"/>
      <c r="BG113" s="703"/>
      <c r="BH113" s="703"/>
      <c r="BI113" s="703"/>
      <c r="BJ113" s="703"/>
      <c r="BK113" s="703"/>
      <c r="BL113" s="703"/>
      <c r="BM113" s="703"/>
      <c r="BN113" s="703"/>
      <c r="BO113" s="703"/>
      <c r="BP113" s="703"/>
      <c r="BQ113" s="703"/>
      <c r="BR113" s="703"/>
      <c r="BS113" s="703"/>
      <c r="BT113" s="703"/>
      <c r="BU113" s="703"/>
      <c r="BV113" s="703"/>
      <c r="BW113" s="703"/>
      <c r="BX113" s="703"/>
      <c r="BY113" s="703"/>
      <c r="BZ113" s="703"/>
      <c r="CA113" s="703"/>
      <c r="CB113" s="703"/>
      <c r="CC113" s="703"/>
      <c r="CD113" s="703"/>
      <c r="CE113" s="703"/>
      <c r="CF113" s="703"/>
      <c r="CG113" s="703"/>
      <c r="CH113" s="703"/>
      <c r="CI113" s="703"/>
      <c r="CJ113" s="703"/>
      <c r="CK113" s="703"/>
      <c r="CL113" s="703"/>
      <c r="CM113" s="703"/>
      <c r="CN113" s="703"/>
      <c r="CO113" s="703"/>
      <c r="CP113" s="703"/>
      <c r="CQ113" s="703"/>
      <c r="CR113" s="703"/>
      <c r="CS113" s="703"/>
      <c r="CT113" s="703"/>
      <c r="CU113" s="703"/>
      <c r="CV113" s="703"/>
      <c r="CW113" s="703"/>
      <c r="CX113" s="703"/>
      <c r="CY113" s="703"/>
      <c r="CZ113" s="703"/>
      <c r="DA113" s="703"/>
      <c r="DB113" s="703"/>
      <c r="DC113" s="703"/>
      <c r="DD113" s="703"/>
      <c r="DE113" s="703"/>
      <c r="DF113" s="703"/>
      <c r="DG113" s="703"/>
      <c r="DH113" s="703"/>
      <c r="DI113" s="703"/>
      <c r="DJ113" s="703"/>
      <c r="DK113" s="703"/>
      <c r="DL113" s="703"/>
      <c r="DM113" s="703"/>
      <c r="DN113" s="703"/>
      <c r="DO113" s="703"/>
      <c r="DP113" s="703"/>
      <c r="DQ113" s="703"/>
      <c r="DR113" s="703"/>
      <c r="DS113" s="703"/>
      <c r="DT113" s="703"/>
      <c r="DU113" s="703"/>
      <c r="DV113" s="703"/>
      <c r="DW113" s="703"/>
      <c r="DX113" s="703"/>
      <c r="DY113" s="703"/>
      <c r="DZ113" s="703"/>
      <c r="EA113" s="703"/>
      <c r="EB113" s="389"/>
      <c r="EC113" s="392" t="s">
        <v>65</v>
      </c>
    </row>
    <row r="114" spans="1:133" s="390" customFormat="1">
      <c r="A114" s="389"/>
      <c r="B114" s="389"/>
      <c r="C114" s="389"/>
      <c r="D114" s="764" t="s">
        <v>505</v>
      </c>
      <c r="E114" s="389"/>
      <c r="F114" s="389"/>
      <c r="G114" s="389"/>
      <c r="H114" s="389"/>
      <c r="I114" s="796"/>
      <c r="J114" s="389"/>
      <c r="K114" s="389"/>
      <c r="L114" s="763">
        <f t="shared" ref="L114:Q114" ca="1" si="173">COUNTIF(L116,"&gt;"&amp;0)+K114</f>
        <v>0</v>
      </c>
      <c r="M114" s="763">
        <f t="shared" ca="1" si="173"/>
        <v>0</v>
      </c>
      <c r="N114" s="763">
        <f t="shared" ca="1" si="173"/>
        <v>0</v>
      </c>
      <c r="O114" s="763">
        <f t="shared" ca="1" si="173"/>
        <v>0</v>
      </c>
      <c r="P114" s="763">
        <f t="shared" ca="1" si="173"/>
        <v>0</v>
      </c>
      <c r="Q114" s="763">
        <f t="shared" ca="1" si="173"/>
        <v>0</v>
      </c>
      <c r="R114" s="763">
        <f ca="1">COUNTIF(R116,"&gt;"&amp;0)+Q114</f>
        <v>0</v>
      </c>
      <c r="S114" s="763">
        <f t="shared" ref="S114:CD114" ca="1" si="174">COUNTIF(S116,"&gt;"&amp;0)+R114</f>
        <v>0</v>
      </c>
      <c r="T114" s="763">
        <f t="shared" ca="1" si="174"/>
        <v>0</v>
      </c>
      <c r="U114" s="763">
        <f t="shared" ca="1" si="174"/>
        <v>0</v>
      </c>
      <c r="V114" s="763">
        <f t="shared" ca="1" si="174"/>
        <v>0</v>
      </c>
      <c r="W114" s="763">
        <f t="shared" ca="1" si="174"/>
        <v>0</v>
      </c>
      <c r="X114" s="763">
        <f t="shared" ca="1" si="174"/>
        <v>0</v>
      </c>
      <c r="Y114" s="763">
        <f t="shared" ca="1" si="174"/>
        <v>0</v>
      </c>
      <c r="Z114" s="763">
        <f t="shared" ca="1" si="174"/>
        <v>0</v>
      </c>
      <c r="AA114" s="763">
        <f t="shared" ca="1" si="174"/>
        <v>0</v>
      </c>
      <c r="AB114" s="763">
        <f t="shared" ca="1" si="174"/>
        <v>0</v>
      </c>
      <c r="AC114" s="763">
        <f t="shared" ca="1" si="174"/>
        <v>0</v>
      </c>
      <c r="AD114" s="763">
        <f t="shared" ca="1" si="174"/>
        <v>0</v>
      </c>
      <c r="AE114" s="763">
        <f t="shared" ca="1" si="174"/>
        <v>0</v>
      </c>
      <c r="AF114" s="763">
        <f t="shared" ca="1" si="174"/>
        <v>0</v>
      </c>
      <c r="AG114" s="763">
        <f t="shared" ca="1" si="174"/>
        <v>0</v>
      </c>
      <c r="AH114" s="763">
        <f t="shared" ca="1" si="174"/>
        <v>0</v>
      </c>
      <c r="AI114" s="763">
        <f t="shared" ca="1" si="174"/>
        <v>0</v>
      </c>
      <c r="AJ114" s="763">
        <f t="shared" ca="1" si="174"/>
        <v>0</v>
      </c>
      <c r="AK114" s="763">
        <f t="shared" ca="1" si="174"/>
        <v>0</v>
      </c>
      <c r="AL114" s="763">
        <f t="shared" ca="1" si="174"/>
        <v>0</v>
      </c>
      <c r="AM114" s="763">
        <f t="shared" ca="1" si="174"/>
        <v>0</v>
      </c>
      <c r="AN114" s="763">
        <f t="shared" ca="1" si="174"/>
        <v>0</v>
      </c>
      <c r="AO114" s="763">
        <f t="shared" ca="1" si="174"/>
        <v>0</v>
      </c>
      <c r="AP114" s="763">
        <f t="shared" ca="1" si="174"/>
        <v>0</v>
      </c>
      <c r="AQ114" s="763">
        <f t="shared" ca="1" si="174"/>
        <v>0</v>
      </c>
      <c r="AR114" s="763">
        <f t="shared" ca="1" si="174"/>
        <v>0</v>
      </c>
      <c r="AS114" s="763">
        <f t="shared" ca="1" si="174"/>
        <v>0</v>
      </c>
      <c r="AT114" s="763">
        <f t="shared" ca="1" si="174"/>
        <v>0</v>
      </c>
      <c r="AU114" s="763">
        <f t="shared" ca="1" si="174"/>
        <v>0</v>
      </c>
      <c r="AV114" s="763">
        <f t="shared" ca="1" si="174"/>
        <v>0</v>
      </c>
      <c r="AW114" s="763">
        <f t="shared" ca="1" si="174"/>
        <v>0</v>
      </c>
      <c r="AX114" s="763">
        <f t="shared" ca="1" si="174"/>
        <v>0</v>
      </c>
      <c r="AY114" s="763">
        <f t="shared" ca="1" si="174"/>
        <v>0</v>
      </c>
      <c r="AZ114" s="763">
        <f t="shared" ca="1" si="174"/>
        <v>0</v>
      </c>
      <c r="BA114" s="763">
        <f t="shared" ca="1" si="174"/>
        <v>0</v>
      </c>
      <c r="BB114" s="763">
        <f t="shared" ca="1" si="174"/>
        <v>0</v>
      </c>
      <c r="BC114" s="763">
        <f t="shared" ca="1" si="174"/>
        <v>0</v>
      </c>
      <c r="BD114" s="763">
        <f t="shared" ca="1" si="174"/>
        <v>0</v>
      </c>
      <c r="BE114" s="763">
        <f t="shared" ca="1" si="174"/>
        <v>0</v>
      </c>
      <c r="BF114" s="763">
        <f t="shared" ca="1" si="174"/>
        <v>0</v>
      </c>
      <c r="BG114" s="763">
        <f t="shared" ca="1" si="174"/>
        <v>0</v>
      </c>
      <c r="BH114" s="763">
        <f t="shared" ca="1" si="174"/>
        <v>0</v>
      </c>
      <c r="BI114" s="763">
        <f t="shared" ca="1" si="174"/>
        <v>0</v>
      </c>
      <c r="BJ114" s="763">
        <f t="shared" ca="1" si="174"/>
        <v>0</v>
      </c>
      <c r="BK114" s="763">
        <f t="shared" ca="1" si="174"/>
        <v>0</v>
      </c>
      <c r="BL114" s="763">
        <f t="shared" ca="1" si="174"/>
        <v>0</v>
      </c>
      <c r="BM114" s="763">
        <f t="shared" ca="1" si="174"/>
        <v>0</v>
      </c>
      <c r="BN114" s="763">
        <f t="shared" ca="1" si="174"/>
        <v>0</v>
      </c>
      <c r="BO114" s="763">
        <f t="shared" ca="1" si="174"/>
        <v>0</v>
      </c>
      <c r="BP114" s="763">
        <f t="shared" ca="1" si="174"/>
        <v>0</v>
      </c>
      <c r="BQ114" s="763">
        <f t="shared" ca="1" si="174"/>
        <v>0</v>
      </c>
      <c r="BR114" s="763">
        <f t="shared" ca="1" si="174"/>
        <v>0</v>
      </c>
      <c r="BS114" s="763">
        <f t="shared" ca="1" si="174"/>
        <v>0</v>
      </c>
      <c r="BT114" s="763">
        <f t="shared" ca="1" si="174"/>
        <v>0</v>
      </c>
      <c r="BU114" s="763">
        <f t="shared" ca="1" si="174"/>
        <v>0</v>
      </c>
      <c r="BV114" s="763">
        <f t="shared" ca="1" si="174"/>
        <v>0</v>
      </c>
      <c r="BW114" s="763">
        <f t="shared" ca="1" si="174"/>
        <v>0</v>
      </c>
      <c r="BX114" s="763">
        <f t="shared" ca="1" si="174"/>
        <v>0</v>
      </c>
      <c r="BY114" s="763">
        <f t="shared" ca="1" si="174"/>
        <v>0</v>
      </c>
      <c r="BZ114" s="763">
        <f t="shared" ca="1" si="174"/>
        <v>0</v>
      </c>
      <c r="CA114" s="763">
        <f t="shared" ca="1" si="174"/>
        <v>0</v>
      </c>
      <c r="CB114" s="763">
        <f t="shared" ca="1" si="174"/>
        <v>0</v>
      </c>
      <c r="CC114" s="763">
        <f t="shared" ca="1" si="174"/>
        <v>0</v>
      </c>
      <c r="CD114" s="763">
        <f t="shared" ca="1" si="174"/>
        <v>0</v>
      </c>
      <c r="CE114" s="763">
        <f t="shared" ref="CE114:EA114" ca="1" si="175">COUNTIF(CE116,"&gt;"&amp;0)+CD114</f>
        <v>0</v>
      </c>
      <c r="CF114" s="763">
        <f t="shared" ca="1" si="175"/>
        <v>0</v>
      </c>
      <c r="CG114" s="763">
        <f t="shared" ca="1" si="175"/>
        <v>0</v>
      </c>
      <c r="CH114" s="763">
        <f t="shared" ca="1" si="175"/>
        <v>0</v>
      </c>
      <c r="CI114" s="763">
        <f t="shared" ca="1" si="175"/>
        <v>0</v>
      </c>
      <c r="CJ114" s="763">
        <f t="shared" ca="1" si="175"/>
        <v>0</v>
      </c>
      <c r="CK114" s="763">
        <f t="shared" ca="1" si="175"/>
        <v>0</v>
      </c>
      <c r="CL114" s="763">
        <f t="shared" ca="1" si="175"/>
        <v>0</v>
      </c>
      <c r="CM114" s="763">
        <f t="shared" ca="1" si="175"/>
        <v>0</v>
      </c>
      <c r="CN114" s="763">
        <f t="shared" ca="1" si="175"/>
        <v>0</v>
      </c>
      <c r="CO114" s="763">
        <f t="shared" ca="1" si="175"/>
        <v>0</v>
      </c>
      <c r="CP114" s="763">
        <f t="shared" ca="1" si="175"/>
        <v>0</v>
      </c>
      <c r="CQ114" s="763">
        <f t="shared" ca="1" si="175"/>
        <v>0</v>
      </c>
      <c r="CR114" s="763">
        <f t="shared" ca="1" si="175"/>
        <v>0</v>
      </c>
      <c r="CS114" s="763">
        <f t="shared" ca="1" si="175"/>
        <v>0</v>
      </c>
      <c r="CT114" s="763">
        <f t="shared" ca="1" si="175"/>
        <v>0</v>
      </c>
      <c r="CU114" s="763">
        <f t="shared" ca="1" si="175"/>
        <v>0</v>
      </c>
      <c r="CV114" s="763">
        <f t="shared" ca="1" si="175"/>
        <v>0</v>
      </c>
      <c r="CW114" s="763">
        <f t="shared" ca="1" si="175"/>
        <v>0</v>
      </c>
      <c r="CX114" s="763">
        <f t="shared" ca="1" si="175"/>
        <v>0</v>
      </c>
      <c r="CY114" s="763">
        <f t="shared" ca="1" si="175"/>
        <v>0</v>
      </c>
      <c r="CZ114" s="763">
        <f t="shared" ca="1" si="175"/>
        <v>0</v>
      </c>
      <c r="DA114" s="763">
        <f t="shared" ca="1" si="175"/>
        <v>0</v>
      </c>
      <c r="DB114" s="763">
        <f t="shared" ca="1" si="175"/>
        <v>0</v>
      </c>
      <c r="DC114" s="763">
        <f t="shared" ca="1" si="175"/>
        <v>0</v>
      </c>
      <c r="DD114" s="763">
        <f t="shared" ca="1" si="175"/>
        <v>0</v>
      </c>
      <c r="DE114" s="763">
        <f t="shared" ca="1" si="175"/>
        <v>0</v>
      </c>
      <c r="DF114" s="763">
        <f t="shared" ca="1" si="175"/>
        <v>0</v>
      </c>
      <c r="DG114" s="763">
        <f t="shared" ca="1" si="175"/>
        <v>0</v>
      </c>
      <c r="DH114" s="763">
        <f t="shared" ca="1" si="175"/>
        <v>0</v>
      </c>
      <c r="DI114" s="763">
        <f t="shared" ca="1" si="175"/>
        <v>0</v>
      </c>
      <c r="DJ114" s="763">
        <f t="shared" ca="1" si="175"/>
        <v>0</v>
      </c>
      <c r="DK114" s="763">
        <f t="shared" ca="1" si="175"/>
        <v>0</v>
      </c>
      <c r="DL114" s="763">
        <f t="shared" ca="1" si="175"/>
        <v>0</v>
      </c>
      <c r="DM114" s="763">
        <f t="shared" ca="1" si="175"/>
        <v>0</v>
      </c>
      <c r="DN114" s="763">
        <f t="shared" ca="1" si="175"/>
        <v>0</v>
      </c>
      <c r="DO114" s="763">
        <f t="shared" ca="1" si="175"/>
        <v>0</v>
      </c>
      <c r="DP114" s="763">
        <f t="shared" ca="1" si="175"/>
        <v>0</v>
      </c>
      <c r="DQ114" s="763">
        <f t="shared" ca="1" si="175"/>
        <v>0</v>
      </c>
      <c r="DR114" s="763">
        <f t="shared" ca="1" si="175"/>
        <v>0</v>
      </c>
      <c r="DS114" s="763">
        <f t="shared" ca="1" si="175"/>
        <v>0</v>
      </c>
      <c r="DT114" s="763">
        <f t="shared" ca="1" si="175"/>
        <v>0</v>
      </c>
      <c r="DU114" s="763">
        <f t="shared" ca="1" si="175"/>
        <v>0</v>
      </c>
      <c r="DV114" s="763">
        <f t="shared" ca="1" si="175"/>
        <v>0</v>
      </c>
      <c r="DW114" s="763">
        <f t="shared" ca="1" si="175"/>
        <v>0</v>
      </c>
      <c r="DX114" s="763">
        <f t="shared" ca="1" si="175"/>
        <v>0</v>
      </c>
      <c r="DY114" s="763">
        <f t="shared" ca="1" si="175"/>
        <v>0</v>
      </c>
      <c r="DZ114" s="763">
        <f t="shared" ca="1" si="175"/>
        <v>0</v>
      </c>
      <c r="EA114" s="763">
        <f t="shared" ca="1" si="175"/>
        <v>0</v>
      </c>
      <c r="EB114" s="389"/>
      <c r="EC114" s="392" t="s">
        <v>65</v>
      </c>
    </row>
    <row r="115" spans="1:133" s="390" customFormat="1">
      <c r="A115" s="389"/>
      <c r="B115" s="389"/>
      <c r="C115" s="389"/>
      <c r="D115" s="707" t="s">
        <v>133</v>
      </c>
      <c r="E115" s="389"/>
      <c r="F115" s="389"/>
      <c r="G115" s="389"/>
      <c r="H115" s="389"/>
      <c r="I115" s="795">
        <v>0</v>
      </c>
      <c r="J115" s="389"/>
      <c r="K115" s="712">
        <f>J118</f>
        <v>0</v>
      </c>
      <c r="L115" s="712">
        <f>K118</f>
        <v>0</v>
      </c>
      <c r="M115" s="712">
        <f t="shared" ref="M115" ca="1" si="176">L118</f>
        <v>0</v>
      </c>
      <c r="N115" s="712">
        <f t="shared" ref="N115" ca="1" si="177">M118</f>
        <v>0</v>
      </c>
      <c r="O115" s="703">
        <f t="shared" ref="O115" ca="1" si="178">N118</f>
        <v>0</v>
      </c>
      <c r="P115" s="703">
        <f t="shared" ref="P115" ca="1" si="179">O118</f>
        <v>0</v>
      </c>
      <c r="Q115" s="703">
        <f t="shared" ref="Q115" ca="1" si="180">P118</f>
        <v>0</v>
      </c>
      <c r="R115" s="703">
        <f t="shared" ref="R115" ca="1" si="181">Q118</f>
        <v>0</v>
      </c>
      <c r="S115" s="703">
        <f t="shared" ref="S115" ca="1" si="182">R118</f>
        <v>0</v>
      </c>
      <c r="T115" s="703">
        <f t="shared" ref="T115" ca="1" si="183">S118</f>
        <v>0</v>
      </c>
      <c r="U115" s="703">
        <f t="shared" ref="U115" ca="1" si="184">T118</f>
        <v>0</v>
      </c>
      <c r="V115" s="703">
        <f t="shared" ref="V115" ca="1" si="185">U118</f>
        <v>0</v>
      </c>
      <c r="W115" s="703">
        <f t="shared" ref="W115" ca="1" si="186">V118</f>
        <v>0</v>
      </c>
      <c r="X115" s="703">
        <f t="shared" ref="X115" ca="1" si="187">W118</f>
        <v>0</v>
      </c>
      <c r="Y115" s="703">
        <f t="shared" ref="Y115" ca="1" si="188">X118</f>
        <v>0</v>
      </c>
      <c r="Z115" s="703">
        <f t="shared" ref="Z115" ca="1" si="189">Y118</f>
        <v>0</v>
      </c>
      <c r="AA115" s="703">
        <f t="shared" ref="AA115" ca="1" si="190">Z118</f>
        <v>0</v>
      </c>
      <c r="AB115" s="703">
        <f t="shared" ref="AB115" ca="1" si="191">AA118</f>
        <v>0</v>
      </c>
      <c r="AC115" s="703">
        <f t="shared" ref="AC115" ca="1" si="192">AB118</f>
        <v>0</v>
      </c>
      <c r="AD115" s="703">
        <f t="shared" ref="AD115" ca="1" si="193">AC118</f>
        <v>0</v>
      </c>
      <c r="AE115" s="703">
        <f t="shared" ref="AE115" ca="1" si="194">AD118</f>
        <v>0</v>
      </c>
      <c r="AF115" s="703">
        <f t="shared" ref="AF115" ca="1" si="195">AE118</f>
        <v>0</v>
      </c>
      <c r="AG115" s="703">
        <f t="shared" ref="AG115" ca="1" si="196">AF118</f>
        <v>0</v>
      </c>
      <c r="AH115" s="703">
        <f t="shared" ref="AH115" ca="1" si="197">AG118</f>
        <v>0</v>
      </c>
      <c r="AI115" s="703">
        <f t="shared" ref="AI115" ca="1" si="198">AH118</f>
        <v>0</v>
      </c>
      <c r="AJ115" s="703">
        <f t="shared" ref="AJ115" ca="1" si="199">AI118</f>
        <v>0</v>
      </c>
      <c r="AK115" s="703">
        <f t="shared" ref="AK115" ca="1" si="200">AJ118</f>
        <v>0</v>
      </c>
      <c r="AL115" s="703">
        <f t="shared" ref="AL115" ca="1" si="201">AK118</f>
        <v>0</v>
      </c>
      <c r="AM115" s="703">
        <f t="shared" ref="AM115" ca="1" si="202">AL118</f>
        <v>0</v>
      </c>
      <c r="AN115" s="703">
        <f t="shared" ref="AN115" ca="1" si="203">AM118</f>
        <v>0</v>
      </c>
      <c r="AO115" s="703">
        <f t="shared" ref="AO115" ca="1" si="204">AN118</f>
        <v>0</v>
      </c>
      <c r="AP115" s="703">
        <f t="shared" ref="AP115" ca="1" si="205">AO118</f>
        <v>0</v>
      </c>
      <c r="AQ115" s="703">
        <f t="shared" ref="AQ115" ca="1" si="206">AP118</f>
        <v>0</v>
      </c>
      <c r="AR115" s="703">
        <f t="shared" ref="AR115" ca="1" si="207">AQ118</f>
        <v>0</v>
      </c>
      <c r="AS115" s="703">
        <f t="shared" ref="AS115" ca="1" si="208">AR118</f>
        <v>0</v>
      </c>
      <c r="AT115" s="703">
        <f ca="1">AS118</f>
        <v>0</v>
      </c>
      <c r="AU115" s="703">
        <f ca="1">AT118</f>
        <v>0</v>
      </c>
      <c r="AV115" s="703">
        <f t="shared" ref="AV115" ca="1" si="209">AU118</f>
        <v>0</v>
      </c>
      <c r="AW115" s="703">
        <f t="shared" ref="AW115" ca="1" si="210">AV118</f>
        <v>0</v>
      </c>
      <c r="AX115" s="703">
        <f t="shared" ref="AX115" ca="1" si="211">AW118</f>
        <v>0</v>
      </c>
      <c r="AY115" s="703">
        <f t="shared" ref="AY115" ca="1" si="212">AX118</f>
        <v>0</v>
      </c>
      <c r="AZ115" s="703">
        <f t="shared" ref="AZ115" ca="1" si="213">AY118</f>
        <v>0</v>
      </c>
      <c r="BA115" s="703">
        <f t="shared" ref="BA115" ca="1" si="214">AZ118</f>
        <v>0</v>
      </c>
      <c r="BB115" s="703">
        <f t="shared" ref="BB115" ca="1" si="215">BA118</f>
        <v>0</v>
      </c>
      <c r="BC115" s="703">
        <f t="shared" ref="BC115" ca="1" si="216">BB118</f>
        <v>0</v>
      </c>
      <c r="BD115" s="703">
        <f t="shared" ref="BD115" ca="1" si="217">BC118</f>
        <v>0</v>
      </c>
      <c r="BE115" s="703">
        <f t="shared" ref="BE115" ca="1" si="218">BD118</f>
        <v>0</v>
      </c>
      <c r="BF115" s="703">
        <f t="shared" ref="BF115" ca="1" si="219">BE118</f>
        <v>0</v>
      </c>
      <c r="BG115" s="703">
        <f t="shared" ref="BG115" ca="1" si="220">BF118</f>
        <v>0</v>
      </c>
      <c r="BH115" s="703">
        <f t="shared" ref="BH115" ca="1" si="221">BG118</f>
        <v>0</v>
      </c>
      <c r="BI115" s="703">
        <f t="shared" ref="BI115" ca="1" si="222">BH118</f>
        <v>0</v>
      </c>
      <c r="BJ115" s="703">
        <f t="shared" ref="BJ115" ca="1" si="223">BI118</f>
        <v>0</v>
      </c>
      <c r="BK115" s="703">
        <f t="shared" ref="BK115" ca="1" si="224">BJ118</f>
        <v>0</v>
      </c>
      <c r="BL115" s="703">
        <f t="shared" ref="BL115" ca="1" si="225">BK118</f>
        <v>0</v>
      </c>
      <c r="BM115" s="703">
        <f t="shared" ref="BM115" ca="1" si="226">BL118</f>
        <v>0</v>
      </c>
      <c r="BN115" s="703">
        <f t="shared" ref="BN115" ca="1" si="227">BM118</f>
        <v>0</v>
      </c>
      <c r="BO115" s="703">
        <f t="shared" ref="BO115" ca="1" si="228">BN118</f>
        <v>0</v>
      </c>
      <c r="BP115" s="703">
        <f t="shared" ref="BP115" ca="1" si="229">BO118</f>
        <v>0</v>
      </c>
      <c r="BQ115" s="703">
        <f t="shared" ref="BQ115" ca="1" si="230">BP118</f>
        <v>0</v>
      </c>
      <c r="BR115" s="703">
        <f t="shared" ref="BR115" ca="1" si="231">BQ118</f>
        <v>0</v>
      </c>
      <c r="BS115" s="703">
        <f t="shared" ref="BS115" ca="1" si="232">BR118</f>
        <v>0</v>
      </c>
      <c r="BT115" s="703">
        <f t="shared" ref="BT115" ca="1" si="233">BS118</f>
        <v>0</v>
      </c>
      <c r="BU115" s="703">
        <f t="shared" ref="BU115" ca="1" si="234">BT118</f>
        <v>0</v>
      </c>
      <c r="BV115" s="703">
        <f t="shared" ref="BV115" ca="1" si="235">BU118</f>
        <v>0</v>
      </c>
      <c r="BW115" s="703">
        <f t="shared" ref="BW115" ca="1" si="236">BV118</f>
        <v>0</v>
      </c>
      <c r="BX115" s="703">
        <f t="shared" ref="BX115" ca="1" si="237">BW118</f>
        <v>0</v>
      </c>
      <c r="BY115" s="703">
        <f t="shared" ref="BY115" ca="1" si="238">BX118</f>
        <v>0</v>
      </c>
      <c r="BZ115" s="703">
        <f t="shared" ref="BZ115" ca="1" si="239">BY118</f>
        <v>0</v>
      </c>
      <c r="CA115" s="703">
        <f t="shared" ref="CA115" ca="1" si="240">BZ118</f>
        <v>0</v>
      </c>
      <c r="CB115" s="703">
        <f t="shared" ref="CB115" ca="1" si="241">CA118</f>
        <v>0</v>
      </c>
      <c r="CC115" s="703">
        <f t="shared" ref="CC115" ca="1" si="242">CB118</f>
        <v>0</v>
      </c>
      <c r="CD115" s="703">
        <f t="shared" ref="CD115" ca="1" si="243">CC118</f>
        <v>0</v>
      </c>
      <c r="CE115" s="703">
        <f t="shared" ref="CE115" ca="1" si="244">CD118</f>
        <v>0</v>
      </c>
      <c r="CF115" s="703">
        <f t="shared" ref="CF115" ca="1" si="245">CE118</f>
        <v>0</v>
      </c>
      <c r="CG115" s="703">
        <f t="shared" ref="CG115" ca="1" si="246">CF118</f>
        <v>0</v>
      </c>
      <c r="CH115" s="703">
        <f t="shared" ref="CH115" ca="1" si="247">CG118</f>
        <v>0</v>
      </c>
      <c r="CI115" s="703">
        <f t="shared" ref="CI115" ca="1" si="248">CH118</f>
        <v>0</v>
      </c>
      <c r="CJ115" s="703">
        <f t="shared" ref="CJ115" ca="1" si="249">CI118</f>
        <v>0</v>
      </c>
      <c r="CK115" s="703">
        <f t="shared" ref="CK115" ca="1" si="250">CJ118</f>
        <v>0</v>
      </c>
      <c r="CL115" s="703">
        <f t="shared" ref="CL115" ca="1" si="251">CK118</f>
        <v>0</v>
      </c>
      <c r="CM115" s="703">
        <f t="shared" ref="CM115" ca="1" si="252">CL118</f>
        <v>0</v>
      </c>
      <c r="CN115" s="703">
        <f t="shared" ref="CN115" ca="1" si="253">CM118</f>
        <v>0</v>
      </c>
      <c r="CO115" s="703">
        <f t="shared" ref="CO115" ca="1" si="254">CN118</f>
        <v>0</v>
      </c>
      <c r="CP115" s="703">
        <f t="shared" ref="CP115" ca="1" si="255">CO118</f>
        <v>0</v>
      </c>
      <c r="CQ115" s="703">
        <f t="shared" ref="CQ115" ca="1" si="256">CP118</f>
        <v>0</v>
      </c>
      <c r="CR115" s="703">
        <f t="shared" ref="CR115" ca="1" si="257">CQ118</f>
        <v>0</v>
      </c>
      <c r="CS115" s="703">
        <f t="shared" ref="CS115" ca="1" si="258">CR118</f>
        <v>0</v>
      </c>
      <c r="CT115" s="703">
        <f t="shared" ref="CT115" ca="1" si="259">CS118</f>
        <v>0</v>
      </c>
      <c r="CU115" s="703">
        <f t="shared" ref="CU115" ca="1" si="260">CT118</f>
        <v>0</v>
      </c>
      <c r="CV115" s="703">
        <f t="shared" ref="CV115" ca="1" si="261">CU118</f>
        <v>0</v>
      </c>
      <c r="CW115" s="703">
        <f t="shared" ref="CW115" ca="1" si="262">CV118</f>
        <v>0</v>
      </c>
      <c r="CX115" s="703">
        <f t="shared" ref="CX115" ca="1" si="263">CW118</f>
        <v>0</v>
      </c>
      <c r="CY115" s="703">
        <f t="shared" ref="CY115" ca="1" si="264">CX118</f>
        <v>0</v>
      </c>
      <c r="CZ115" s="703">
        <f t="shared" ref="CZ115" ca="1" si="265">CY118</f>
        <v>0</v>
      </c>
      <c r="DA115" s="703">
        <f t="shared" ref="DA115" ca="1" si="266">CZ118</f>
        <v>0</v>
      </c>
      <c r="DB115" s="703">
        <f t="shared" ref="DB115" ca="1" si="267">DA118</f>
        <v>0</v>
      </c>
      <c r="DC115" s="703">
        <f t="shared" ref="DC115" ca="1" si="268">DB118</f>
        <v>0</v>
      </c>
      <c r="DD115" s="703">
        <f t="shared" ref="DD115" ca="1" si="269">DC118</f>
        <v>0</v>
      </c>
      <c r="DE115" s="703">
        <f t="shared" ref="DE115" ca="1" si="270">DD118</f>
        <v>0</v>
      </c>
      <c r="DF115" s="703">
        <f t="shared" ref="DF115" ca="1" si="271">DE118</f>
        <v>0</v>
      </c>
      <c r="DG115" s="703">
        <f t="shared" ref="DG115" ca="1" si="272">DF118</f>
        <v>0</v>
      </c>
      <c r="DH115" s="703">
        <f t="shared" ref="DH115" ca="1" si="273">DG118</f>
        <v>0</v>
      </c>
      <c r="DI115" s="703">
        <f t="shared" ref="DI115" ca="1" si="274">DH118</f>
        <v>0</v>
      </c>
      <c r="DJ115" s="703">
        <f t="shared" ref="DJ115" ca="1" si="275">DI118</f>
        <v>0</v>
      </c>
      <c r="DK115" s="703">
        <f t="shared" ref="DK115" ca="1" si="276">DJ118</f>
        <v>0</v>
      </c>
      <c r="DL115" s="703">
        <f t="shared" ref="DL115" ca="1" si="277">DK118</f>
        <v>0</v>
      </c>
      <c r="DM115" s="703">
        <f t="shared" ref="DM115" ca="1" si="278">DL118</f>
        <v>0</v>
      </c>
      <c r="DN115" s="703">
        <f t="shared" ref="DN115" ca="1" si="279">DM118</f>
        <v>0</v>
      </c>
      <c r="DO115" s="703">
        <f t="shared" ref="DO115" ca="1" si="280">DN118</f>
        <v>0</v>
      </c>
      <c r="DP115" s="703">
        <f t="shared" ref="DP115" ca="1" si="281">DO118</f>
        <v>0</v>
      </c>
      <c r="DQ115" s="703">
        <f t="shared" ref="DQ115" ca="1" si="282">DP118</f>
        <v>0</v>
      </c>
      <c r="DR115" s="703">
        <f t="shared" ref="DR115" ca="1" si="283">DQ118</f>
        <v>0</v>
      </c>
      <c r="DS115" s="703">
        <f t="shared" ref="DS115" ca="1" si="284">DR118</f>
        <v>0</v>
      </c>
      <c r="DT115" s="703">
        <f t="shared" ref="DT115" ca="1" si="285">DS118</f>
        <v>0</v>
      </c>
      <c r="DU115" s="703">
        <f t="shared" ref="DU115" ca="1" si="286">DT118</f>
        <v>0</v>
      </c>
      <c r="DV115" s="703">
        <f t="shared" ref="DV115" ca="1" si="287">DU118</f>
        <v>0</v>
      </c>
      <c r="DW115" s="703">
        <f t="shared" ref="DW115" ca="1" si="288">DV118</f>
        <v>0</v>
      </c>
      <c r="DX115" s="703">
        <f t="shared" ref="DX115" ca="1" si="289">DW118</f>
        <v>0</v>
      </c>
      <c r="DY115" s="703">
        <f t="shared" ref="DY115" ca="1" si="290">DX118</f>
        <v>0</v>
      </c>
      <c r="DZ115" s="703">
        <f t="shared" ref="DZ115" ca="1" si="291">DY118</f>
        <v>0</v>
      </c>
      <c r="EA115" s="703">
        <f t="shared" ref="EA115" ca="1" si="292">DZ118</f>
        <v>0</v>
      </c>
      <c r="EB115" s="389"/>
      <c r="EC115" s="392" t="s">
        <v>65</v>
      </c>
    </row>
    <row r="116" spans="1:133" s="390" customFormat="1">
      <c r="A116" s="389"/>
      <c r="B116" s="389"/>
      <c r="C116" s="389"/>
      <c r="D116" s="708" t="s">
        <v>137</v>
      </c>
      <c r="E116" s="389"/>
      <c r="F116" s="389"/>
      <c r="G116" s="389"/>
      <c r="H116" s="389"/>
      <c r="I116" s="795">
        <f t="shared" ref="I116:I117" ca="1" si="293">SUM(K116:EA116)</f>
        <v>0</v>
      </c>
      <c r="J116" s="389"/>
      <c r="K116" s="712">
        <f t="shared" ref="K116:AP116" si="294">-(K86+K104)</f>
        <v>0</v>
      </c>
      <c r="L116" s="712">
        <f t="shared" ca="1" si="294"/>
        <v>0</v>
      </c>
      <c r="M116" s="712">
        <f t="shared" si="294"/>
        <v>0</v>
      </c>
      <c r="N116" s="712">
        <f t="shared" si="294"/>
        <v>0</v>
      </c>
      <c r="O116" s="703">
        <f t="shared" si="294"/>
        <v>0</v>
      </c>
      <c r="P116" s="703">
        <f t="shared" si="294"/>
        <v>0</v>
      </c>
      <c r="Q116" s="703">
        <f t="shared" si="294"/>
        <v>0</v>
      </c>
      <c r="R116" s="703">
        <f t="shared" si="294"/>
        <v>0</v>
      </c>
      <c r="S116" s="703">
        <f t="shared" si="294"/>
        <v>0</v>
      </c>
      <c r="T116" s="703">
        <f t="shared" si="294"/>
        <v>0</v>
      </c>
      <c r="U116" s="703">
        <f t="shared" si="294"/>
        <v>0</v>
      </c>
      <c r="V116" s="703">
        <f t="shared" si="294"/>
        <v>0</v>
      </c>
      <c r="W116" s="703">
        <f t="shared" si="294"/>
        <v>0</v>
      </c>
      <c r="X116" s="703">
        <f t="shared" si="294"/>
        <v>0</v>
      </c>
      <c r="Y116" s="703">
        <f t="shared" si="294"/>
        <v>0</v>
      </c>
      <c r="Z116" s="703">
        <f t="shared" si="294"/>
        <v>0</v>
      </c>
      <c r="AA116" s="703">
        <f t="shared" si="294"/>
        <v>0</v>
      </c>
      <c r="AB116" s="703">
        <f t="shared" si="294"/>
        <v>0</v>
      </c>
      <c r="AC116" s="703">
        <f t="shared" si="294"/>
        <v>0</v>
      </c>
      <c r="AD116" s="703">
        <f t="shared" si="294"/>
        <v>0</v>
      </c>
      <c r="AE116" s="703">
        <f t="shared" si="294"/>
        <v>0</v>
      </c>
      <c r="AF116" s="703">
        <f t="shared" si="294"/>
        <v>0</v>
      </c>
      <c r="AG116" s="703">
        <f t="shared" si="294"/>
        <v>0</v>
      </c>
      <c r="AH116" s="703">
        <f t="shared" si="294"/>
        <v>0</v>
      </c>
      <c r="AI116" s="703">
        <f t="shared" si="294"/>
        <v>0</v>
      </c>
      <c r="AJ116" s="703">
        <f t="shared" si="294"/>
        <v>0</v>
      </c>
      <c r="AK116" s="703">
        <f t="shared" si="294"/>
        <v>0</v>
      </c>
      <c r="AL116" s="703">
        <f t="shared" si="294"/>
        <v>0</v>
      </c>
      <c r="AM116" s="703">
        <f t="shared" si="294"/>
        <v>0</v>
      </c>
      <c r="AN116" s="703">
        <f t="shared" si="294"/>
        <v>0</v>
      </c>
      <c r="AO116" s="703">
        <f t="shared" si="294"/>
        <v>0</v>
      </c>
      <c r="AP116" s="703">
        <f t="shared" si="294"/>
        <v>0</v>
      </c>
      <c r="AQ116" s="703">
        <f t="shared" ref="AQ116:BV116" si="295">-(AQ86+AQ104)</f>
        <v>0</v>
      </c>
      <c r="AR116" s="703">
        <f t="shared" si="295"/>
        <v>0</v>
      </c>
      <c r="AS116" s="703">
        <f t="shared" si="295"/>
        <v>0</v>
      </c>
      <c r="AT116" s="703">
        <f t="shared" si="295"/>
        <v>0</v>
      </c>
      <c r="AU116" s="703">
        <f t="shared" si="295"/>
        <v>0</v>
      </c>
      <c r="AV116" s="703">
        <f t="shared" si="295"/>
        <v>0</v>
      </c>
      <c r="AW116" s="703">
        <f t="shared" si="295"/>
        <v>0</v>
      </c>
      <c r="AX116" s="703">
        <f t="shared" si="295"/>
        <v>0</v>
      </c>
      <c r="AY116" s="703">
        <f t="shared" si="295"/>
        <v>0</v>
      </c>
      <c r="AZ116" s="703">
        <f t="shared" si="295"/>
        <v>0</v>
      </c>
      <c r="BA116" s="703">
        <f t="shared" si="295"/>
        <v>0</v>
      </c>
      <c r="BB116" s="703">
        <f t="shared" si="295"/>
        <v>0</v>
      </c>
      <c r="BC116" s="703">
        <f t="shared" si="295"/>
        <v>0</v>
      </c>
      <c r="BD116" s="703">
        <f t="shared" si="295"/>
        <v>0</v>
      </c>
      <c r="BE116" s="703">
        <f t="shared" si="295"/>
        <v>0</v>
      </c>
      <c r="BF116" s="703">
        <f t="shared" si="295"/>
        <v>0</v>
      </c>
      <c r="BG116" s="703">
        <f t="shared" si="295"/>
        <v>0</v>
      </c>
      <c r="BH116" s="703">
        <f t="shared" si="295"/>
        <v>0</v>
      </c>
      <c r="BI116" s="703">
        <f t="shared" si="295"/>
        <v>0</v>
      </c>
      <c r="BJ116" s="703">
        <f t="shared" si="295"/>
        <v>0</v>
      </c>
      <c r="BK116" s="703">
        <f t="shared" si="295"/>
        <v>0</v>
      </c>
      <c r="BL116" s="703">
        <f t="shared" si="295"/>
        <v>0</v>
      </c>
      <c r="BM116" s="703">
        <f t="shared" si="295"/>
        <v>0</v>
      </c>
      <c r="BN116" s="703">
        <f t="shared" si="295"/>
        <v>0</v>
      </c>
      <c r="BO116" s="703">
        <f t="shared" si="295"/>
        <v>0</v>
      </c>
      <c r="BP116" s="703">
        <f t="shared" si="295"/>
        <v>0</v>
      </c>
      <c r="BQ116" s="703">
        <f t="shared" si="295"/>
        <v>0</v>
      </c>
      <c r="BR116" s="703">
        <f t="shared" si="295"/>
        <v>0</v>
      </c>
      <c r="BS116" s="703">
        <f t="shared" si="295"/>
        <v>0</v>
      </c>
      <c r="BT116" s="703">
        <f t="shared" si="295"/>
        <v>0</v>
      </c>
      <c r="BU116" s="703">
        <f t="shared" si="295"/>
        <v>0</v>
      </c>
      <c r="BV116" s="703">
        <f t="shared" si="295"/>
        <v>0</v>
      </c>
      <c r="BW116" s="703">
        <f t="shared" ref="BW116:DB116" si="296">-(BW86+BW104)</f>
        <v>0</v>
      </c>
      <c r="BX116" s="703">
        <f t="shared" si="296"/>
        <v>0</v>
      </c>
      <c r="BY116" s="703">
        <f t="shared" si="296"/>
        <v>0</v>
      </c>
      <c r="BZ116" s="703">
        <f t="shared" si="296"/>
        <v>0</v>
      </c>
      <c r="CA116" s="703">
        <f t="shared" si="296"/>
        <v>0</v>
      </c>
      <c r="CB116" s="703">
        <f t="shared" si="296"/>
        <v>0</v>
      </c>
      <c r="CC116" s="703">
        <f t="shared" si="296"/>
        <v>0</v>
      </c>
      <c r="CD116" s="703">
        <f t="shared" si="296"/>
        <v>0</v>
      </c>
      <c r="CE116" s="703">
        <f t="shared" si="296"/>
        <v>0</v>
      </c>
      <c r="CF116" s="703">
        <f t="shared" si="296"/>
        <v>0</v>
      </c>
      <c r="CG116" s="703">
        <f t="shared" si="296"/>
        <v>0</v>
      </c>
      <c r="CH116" s="703">
        <f t="shared" si="296"/>
        <v>0</v>
      </c>
      <c r="CI116" s="703">
        <f t="shared" si="296"/>
        <v>0</v>
      </c>
      <c r="CJ116" s="703">
        <f t="shared" si="296"/>
        <v>0</v>
      </c>
      <c r="CK116" s="703">
        <f t="shared" si="296"/>
        <v>0</v>
      </c>
      <c r="CL116" s="703">
        <f t="shared" si="296"/>
        <v>0</v>
      </c>
      <c r="CM116" s="703">
        <f t="shared" si="296"/>
        <v>0</v>
      </c>
      <c r="CN116" s="703">
        <f t="shared" si="296"/>
        <v>0</v>
      </c>
      <c r="CO116" s="703">
        <f t="shared" si="296"/>
        <v>0</v>
      </c>
      <c r="CP116" s="703">
        <f t="shared" si="296"/>
        <v>0</v>
      </c>
      <c r="CQ116" s="703">
        <f t="shared" si="296"/>
        <v>0</v>
      </c>
      <c r="CR116" s="703">
        <f t="shared" si="296"/>
        <v>0</v>
      </c>
      <c r="CS116" s="703">
        <f t="shared" si="296"/>
        <v>0</v>
      </c>
      <c r="CT116" s="703">
        <f t="shared" si="296"/>
        <v>0</v>
      </c>
      <c r="CU116" s="703">
        <f t="shared" si="296"/>
        <v>0</v>
      </c>
      <c r="CV116" s="703">
        <f t="shared" si="296"/>
        <v>0</v>
      </c>
      <c r="CW116" s="703">
        <f t="shared" si="296"/>
        <v>0</v>
      </c>
      <c r="CX116" s="703">
        <f t="shared" si="296"/>
        <v>0</v>
      </c>
      <c r="CY116" s="703">
        <f t="shared" si="296"/>
        <v>0</v>
      </c>
      <c r="CZ116" s="703">
        <f t="shared" si="296"/>
        <v>0</v>
      </c>
      <c r="DA116" s="703">
        <f t="shared" si="296"/>
        <v>0</v>
      </c>
      <c r="DB116" s="703">
        <f t="shared" si="296"/>
        <v>0</v>
      </c>
      <c r="DC116" s="703">
        <f t="shared" ref="DC116:EA116" si="297">-(DC86+DC104)</f>
        <v>0</v>
      </c>
      <c r="DD116" s="703">
        <f t="shared" si="297"/>
        <v>0</v>
      </c>
      <c r="DE116" s="703">
        <f t="shared" si="297"/>
        <v>0</v>
      </c>
      <c r="DF116" s="703">
        <f t="shared" si="297"/>
        <v>0</v>
      </c>
      <c r="DG116" s="703">
        <f t="shared" si="297"/>
        <v>0</v>
      </c>
      <c r="DH116" s="703">
        <f t="shared" si="297"/>
        <v>0</v>
      </c>
      <c r="DI116" s="703">
        <f t="shared" si="297"/>
        <v>0</v>
      </c>
      <c r="DJ116" s="703">
        <f t="shared" si="297"/>
        <v>0</v>
      </c>
      <c r="DK116" s="703">
        <f t="shared" si="297"/>
        <v>0</v>
      </c>
      <c r="DL116" s="703">
        <f t="shared" si="297"/>
        <v>0</v>
      </c>
      <c r="DM116" s="703">
        <f t="shared" si="297"/>
        <v>0</v>
      </c>
      <c r="DN116" s="703">
        <f t="shared" si="297"/>
        <v>0</v>
      </c>
      <c r="DO116" s="703">
        <f t="shared" si="297"/>
        <v>0</v>
      </c>
      <c r="DP116" s="703">
        <f t="shared" si="297"/>
        <v>0</v>
      </c>
      <c r="DQ116" s="703">
        <f t="shared" si="297"/>
        <v>0</v>
      </c>
      <c r="DR116" s="703">
        <f t="shared" si="297"/>
        <v>0</v>
      </c>
      <c r="DS116" s="703">
        <f t="shared" si="297"/>
        <v>0</v>
      </c>
      <c r="DT116" s="703">
        <f t="shared" si="297"/>
        <v>0</v>
      </c>
      <c r="DU116" s="703">
        <f t="shared" si="297"/>
        <v>0</v>
      </c>
      <c r="DV116" s="703">
        <f t="shared" si="297"/>
        <v>0</v>
      </c>
      <c r="DW116" s="703">
        <f t="shared" si="297"/>
        <v>0</v>
      </c>
      <c r="DX116" s="703">
        <f t="shared" si="297"/>
        <v>0</v>
      </c>
      <c r="DY116" s="703">
        <f t="shared" si="297"/>
        <v>0</v>
      </c>
      <c r="DZ116" s="703">
        <f t="shared" si="297"/>
        <v>0</v>
      </c>
      <c r="EA116" s="703">
        <f t="shared" si="297"/>
        <v>0</v>
      </c>
      <c r="EB116" s="389"/>
      <c r="EC116" s="392" t="s">
        <v>65</v>
      </c>
    </row>
    <row r="117" spans="1:133" s="390" customFormat="1">
      <c r="A117" s="389"/>
      <c r="B117" s="389"/>
      <c r="C117" s="389"/>
      <c r="D117" s="708" t="s">
        <v>82</v>
      </c>
      <c r="E117" s="389"/>
      <c r="F117" s="389"/>
      <c r="G117" s="389"/>
      <c r="H117" s="389"/>
      <c r="I117" s="795">
        <f t="shared" ca="1" si="293"/>
        <v>0</v>
      </c>
      <c r="J117" s="389"/>
      <c r="K117" s="712">
        <f>IF(K$8=Assumptions!$E$70,-K115-K116,0)</f>
        <v>0</v>
      </c>
      <c r="L117" s="712">
        <f>IF(L$8=Assumptions!$E$70,-L115-L116,0)</f>
        <v>0</v>
      </c>
      <c r="M117" s="712">
        <f>IF(M$8=Assumptions!$E$70,-M115-M116,0)</f>
        <v>0</v>
      </c>
      <c r="N117" s="712">
        <f>IF(N$8=Assumptions!$E$70,-N115-N116,0)</f>
        <v>0</v>
      </c>
      <c r="O117" s="703">
        <f>IF(O$8=Assumptions!$E$70,-O115-O116,0)</f>
        <v>0</v>
      </c>
      <c r="P117" s="703">
        <f>IF(P$8=Assumptions!$E$70,-P115-P116,0)</f>
        <v>0</v>
      </c>
      <c r="Q117" s="703">
        <f>IF(Q$8=Assumptions!$E$70,-Q115-Q116,0)</f>
        <v>0</v>
      </c>
      <c r="R117" s="703">
        <f>IF(R$8=Assumptions!$E$70,-R115-R116,0)</f>
        <v>0</v>
      </c>
      <c r="S117" s="703">
        <f>IF(S$8=Assumptions!$E$70,-S115-S116,0)</f>
        <v>0</v>
      </c>
      <c r="T117" s="703">
        <f>IF(T$8=Assumptions!$E$70,-T115-T116,0)</f>
        <v>0</v>
      </c>
      <c r="U117" s="703">
        <f>IF(U$8=Assumptions!$E$70,-U115-U116,0)</f>
        <v>0</v>
      </c>
      <c r="V117" s="703">
        <f>IF(V$8=Assumptions!$E$70,-V115-V116,0)</f>
        <v>0</v>
      </c>
      <c r="W117" s="703">
        <f>IF(W$8=Assumptions!$E$70,-W115-W116,0)</f>
        <v>0</v>
      </c>
      <c r="X117" s="703">
        <f>IF(X$8=Assumptions!$E$70,-X115-X116,0)</f>
        <v>0</v>
      </c>
      <c r="Y117" s="703">
        <f>IF(Y$8=Assumptions!$E$70,-Y115-Y116,0)</f>
        <v>0</v>
      </c>
      <c r="Z117" s="703">
        <f>IF(Z$8=Assumptions!$E$70,-Z115-Z116,0)</f>
        <v>0</v>
      </c>
      <c r="AA117" s="703">
        <f>IF(AA$8=Assumptions!$E$70,-AA115-AA116,0)</f>
        <v>0</v>
      </c>
      <c r="AB117" s="703">
        <f>IF(AB$8=Assumptions!$E$70,-AB115-AB116,0)</f>
        <v>0</v>
      </c>
      <c r="AC117" s="703">
        <f>IF(AC$8=Assumptions!$E$70,-AC115-AC116,0)</f>
        <v>0</v>
      </c>
      <c r="AD117" s="703">
        <f>IF(AD$8=Assumptions!$E$70,-AD115-AD116,0)</f>
        <v>0</v>
      </c>
      <c r="AE117" s="703">
        <f>IF(AE$8=Assumptions!$E$70,-AE115-AE116,0)</f>
        <v>0</v>
      </c>
      <c r="AF117" s="703">
        <f>IF(AF$8=Assumptions!$E$70,-AF115-AF116,0)</f>
        <v>0</v>
      </c>
      <c r="AG117" s="703">
        <f>IF(AG$8=Assumptions!$E$70,-AG115-AG116,0)</f>
        <v>0</v>
      </c>
      <c r="AH117" s="703">
        <f>IF(AH$8=Assumptions!$E$70,-AH115-AH116,0)</f>
        <v>0</v>
      </c>
      <c r="AI117" s="703">
        <f>IF(AI$8=Assumptions!$E$70,-AI115-AI116,0)</f>
        <v>0</v>
      </c>
      <c r="AJ117" s="703">
        <f>IF(AJ$8=Assumptions!$E$70,-AJ115-AJ116,0)</f>
        <v>0</v>
      </c>
      <c r="AK117" s="703">
        <f ca="1">IF(AK$8=Assumptions!$E$70,-AK115-AK116,0)</f>
        <v>0</v>
      </c>
      <c r="AL117" s="703">
        <f>IF(AL$8=Assumptions!$E$70,-AL115-AL116,0)</f>
        <v>0</v>
      </c>
      <c r="AM117" s="703">
        <f>IF(AM$8=Assumptions!$E$70,-AM115-AM116,0)</f>
        <v>0</v>
      </c>
      <c r="AN117" s="703">
        <f>IF(AN$8=Assumptions!$E$70,-AN115-AN116,0)</f>
        <v>0</v>
      </c>
      <c r="AO117" s="703">
        <f>IF(AO$8=Assumptions!$E$70,-AO115-AO116,0)</f>
        <v>0</v>
      </c>
      <c r="AP117" s="703">
        <f>IF(AP$8=Assumptions!$E$70,-AP115-AP116,0)</f>
        <v>0</v>
      </c>
      <c r="AQ117" s="703">
        <f>IF(AQ$8=Assumptions!$E$70,-AQ115-AQ116,0)</f>
        <v>0</v>
      </c>
      <c r="AR117" s="703">
        <f>IF(AR$8=Assumptions!$E$70,-AR115-AR116,0)</f>
        <v>0</v>
      </c>
      <c r="AS117" s="703">
        <f>IF(AS$8=Assumptions!$E$70,-AS115-AS116,0)</f>
        <v>0</v>
      </c>
      <c r="AT117" s="703">
        <f>IF(AT$8=Assumptions!$E$70,-AT115-AT116,0)</f>
        <v>0</v>
      </c>
      <c r="AU117" s="703">
        <f>IF(AU$8=Assumptions!$E$70,-AU115-AU116,0)</f>
        <v>0</v>
      </c>
      <c r="AV117" s="703">
        <f>IF(AV$8=Assumptions!$E$70,-AV115-AV116,0)</f>
        <v>0</v>
      </c>
      <c r="AW117" s="703">
        <f>IF(AW$8=Assumptions!$E$70,-AW115-AW116,0)</f>
        <v>0</v>
      </c>
      <c r="AX117" s="703">
        <f>IF(AX$8=Assumptions!$E$70,-AX115-AX116,0)</f>
        <v>0</v>
      </c>
      <c r="AY117" s="703">
        <f>IF(AY$8=Assumptions!$E$70,-AY115-AY116,0)</f>
        <v>0</v>
      </c>
      <c r="AZ117" s="703">
        <f>IF(AZ$8=Assumptions!$E$70,-AZ115-AZ116,0)</f>
        <v>0</v>
      </c>
      <c r="BA117" s="703">
        <f>IF(BA$8=Assumptions!$E$70,-BA115-BA116,0)</f>
        <v>0</v>
      </c>
      <c r="BB117" s="703">
        <f>IF(BB$8=Assumptions!$E$70,-BB115-BB116,0)</f>
        <v>0</v>
      </c>
      <c r="BC117" s="703">
        <f>IF(BC$8=Assumptions!$E$70,-BC115-BC116,0)</f>
        <v>0</v>
      </c>
      <c r="BD117" s="703">
        <f>IF(BD$8=Assumptions!$E$70,-BD115-BD116,0)</f>
        <v>0</v>
      </c>
      <c r="BE117" s="703">
        <f>IF(BE$8=Assumptions!$E$70,-BE115-BE116,0)</f>
        <v>0</v>
      </c>
      <c r="BF117" s="703">
        <f>IF(BF$8=Assumptions!$E$70,-BF115-BF116,0)</f>
        <v>0</v>
      </c>
      <c r="BG117" s="703">
        <f>IF(BG$8=Assumptions!$E$70,-BG115-BG116,0)</f>
        <v>0</v>
      </c>
      <c r="BH117" s="703">
        <f>IF(BH$8=Assumptions!$E$70,-BH115-BH116,0)</f>
        <v>0</v>
      </c>
      <c r="BI117" s="703">
        <f>IF(BI$8=Assumptions!$E$70,-BI115-BI116,0)</f>
        <v>0</v>
      </c>
      <c r="BJ117" s="703">
        <f>IF(BJ$8=Assumptions!$E$70,-BJ115-BJ116,0)</f>
        <v>0</v>
      </c>
      <c r="BK117" s="703">
        <f>IF(BK$8=Assumptions!$E$70,-BK115-BK116,0)</f>
        <v>0</v>
      </c>
      <c r="BL117" s="703">
        <f>IF(BL$8=Assumptions!$E$70,-BL115-BL116,0)</f>
        <v>0</v>
      </c>
      <c r="BM117" s="703">
        <f>IF(BM$8=Assumptions!$E$70,-BM115-BM116,0)</f>
        <v>0</v>
      </c>
      <c r="BN117" s="703">
        <f>IF(BN$8=Assumptions!$E$70,-BN115-BN116,0)</f>
        <v>0</v>
      </c>
      <c r="BO117" s="703">
        <f>IF(BO$8=Assumptions!$E$70,-BO115-BO116,0)</f>
        <v>0</v>
      </c>
      <c r="BP117" s="703">
        <f>IF(BP$8=Assumptions!$E$70,-BP115-BP116,0)</f>
        <v>0</v>
      </c>
      <c r="BQ117" s="703">
        <f>IF(BQ$8=Assumptions!$E$70,-BQ115-BQ116,0)</f>
        <v>0</v>
      </c>
      <c r="BR117" s="703">
        <f>IF(BR$8=Assumptions!$E$70,-BR115-BR116,0)</f>
        <v>0</v>
      </c>
      <c r="BS117" s="703">
        <f>IF(BS$8=Assumptions!$E$70,-BS115-BS116,0)</f>
        <v>0</v>
      </c>
      <c r="BT117" s="703">
        <f>IF(BT$8=Assumptions!$E$70,-BT115-BT116,0)</f>
        <v>0</v>
      </c>
      <c r="BU117" s="703">
        <f>IF(BU$8=Assumptions!$E$70,-BU115-BU116,0)</f>
        <v>0</v>
      </c>
      <c r="BV117" s="703">
        <f>IF(BV$8=Assumptions!$E$70,-BV115-BV116,0)</f>
        <v>0</v>
      </c>
      <c r="BW117" s="703">
        <f>IF(BW$8=Assumptions!$E$70,-BW115-BW116,0)</f>
        <v>0</v>
      </c>
      <c r="BX117" s="703">
        <f>IF(BX$8=Assumptions!$E$70,-BX115-BX116,0)</f>
        <v>0</v>
      </c>
      <c r="BY117" s="703">
        <f>IF(BY$8=Assumptions!$E$70,-BY115-BY116,0)</f>
        <v>0</v>
      </c>
      <c r="BZ117" s="703">
        <f>IF(BZ$8=Assumptions!$E$70,-BZ115-BZ116,0)</f>
        <v>0</v>
      </c>
      <c r="CA117" s="703">
        <f>IF(CA$8=Assumptions!$E$70,-CA115-CA116,0)</f>
        <v>0</v>
      </c>
      <c r="CB117" s="703">
        <f>IF(CB$8=Assumptions!$E$70,-CB115-CB116,0)</f>
        <v>0</v>
      </c>
      <c r="CC117" s="703">
        <f>IF(CC$8=Assumptions!$E$70,-CC115-CC116,0)</f>
        <v>0</v>
      </c>
      <c r="CD117" s="703">
        <f>IF(CD$8=Assumptions!$E$70,-CD115-CD116,0)</f>
        <v>0</v>
      </c>
      <c r="CE117" s="703">
        <f>IF(CE$8=Assumptions!$E$70,-CE115-CE116,0)</f>
        <v>0</v>
      </c>
      <c r="CF117" s="703">
        <f>IF(CF$8=Assumptions!$E$70,-CF115-CF116,0)</f>
        <v>0</v>
      </c>
      <c r="CG117" s="703">
        <f>IF(CG$8=Assumptions!$E$70,-CG115-CG116,0)</f>
        <v>0</v>
      </c>
      <c r="CH117" s="703">
        <f>IF(CH$8=Assumptions!$E$70,-CH115-CH116,0)</f>
        <v>0</v>
      </c>
      <c r="CI117" s="703">
        <f>IF(CI$8=Assumptions!$E$70,-CI115-CI116,0)</f>
        <v>0</v>
      </c>
      <c r="CJ117" s="703">
        <f>IF(CJ$8=Assumptions!$E$70,-CJ115-CJ116,0)</f>
        <v>0</v>
      </c>
      <c r="CK117" s="703">
        <f>IF(CK$8=Assumptions!$E$70,-CK115-CK116,0)</f>
        <v>0</v>
      </c>
      <c r="CL117" s="703">
        <f>IF(CL$8=Assumptions!$E$70,-CL115-CL116,0)</f>
        <v>0</v>
      </c>
      <c r="CM117" s="703">
        <f>IF(CM$8=Assumptions!$E$70,-CM115-CM116,0)</f>
        <v>0</v>
      </c>
      <c r="CN117" s="703">
        <f>IF(CN$8=Assumptions!$E$70,-CN115-CN116,0)</f>
        <v>0</v>
      </c>
      <c r="CO117" s="703">
        <f>IF(CO$8=Assumptions!$E$70,-CO115-CO116,0)</f>
        <v>0</v>
      </c>
      <c r="CP117" s="703">
        <f>IF(CP$8=Assumptions!$E$70,-CP115-CP116,0)</f>
        <v>0</v>
      </c>
      <c r="CQ117" s="703">
        <f>IF(CQ$8=Assumptions!$E$70,-CQ115-CQ116,0)</f>
        <v>0</v>
      </c>
      <c r="CR117" s="703">
        <f>IF(CR$8=Assumptions!$E$70,-CR115-CR116,0)</f>
        <v>0</v>
      </c>
      <c r="CS117" s="703">
        <f>IF(CS$8=Assumptions!$E$70,-CS115-CS116,0)</f>
        <v>0</v>
      </c>
      <c r="CT117" s="703">
        <f>IF(CT$8=Assumptions!$E$70,-CT115-CT116,0)</f>
        <v>0</v>
      </c>
      <c r="CU117" s="703">
        <f>IF(CU$8=Assumptions!$E$70,-CU115-CU116,0)</f>
        <v>0</v>
      </c>
      <c r="CV117" s="703">
        <f>IF(CV$8=Assumptions!$E$70,-CV115-CV116,0)</f>
        <v>0</v>
      </c>
      <c r="CW117" s="703">
        <f>IF(CW$8=Assumptions!$E$70,-CW115-CW116,0)</f>
        <v>0</v>
      </c>
      <c r="CX117" s="703">
        <f>IF(CX$8=Assumptions!$E$70,-CX115-CX116,0)</f>
        <v>0</v>
      </c>
      <c r="CY117" s="703">
        <f>IF(CY$8=Assumptions!$E$70,-CY115-CY116,0)</f>
        <v>0</v>
      </c>
      <c r="CZ117" s="703">
        <f>IF(CZ$8=Assumptions!$E$70,-CZ115-CZ116,0)</f>
        <v>0</v>
      </c>
      <c r="DA117" s="703">
        <f>IF(DA$8=Assumptions!$E$70,-DA115-DA116,0)</f>
        <v>0</v>
      </c>
      <c r="DB117" s="703">
        <f>IF(DB$8=Assumptions!$E$70,-DB115-DB116,0)</f>
        <v>0</v>
      </c>
      <c r="DC117" s="703">
        <f>IF(DC$8=Assumptions!$E$70,-DC115-DC116,0)</f>
        <v>0</v>
      </c>
      <c r="DD117" s="703">
        <f>IF(DD$8=Assumptions!$E$70,-DD115-DD116,0)</f>
        <v>0</v>
      </c>
      <c r="DE117" s="703">
        <f>IF(DE$8=Assumptions!$E$70,-DE115-DE116,0)</f>
        <v>0</v>
      </c>
      <c r="DF117" s="703">
        <f>IF(DF$8=Assumptions!$E$70,-DF115-DF116,0)</f>
        <v>0</v>
      </c>
      <c r="DG117" s="703">
        <f>IF(DG$8=Assumptions!$E$70,-DG115-DG116,0)</f>
        <v>0</v>
      </c>
      <c r="DH117" s="703">
        <f>IF(DH$8=Assumptions!$E$70,-DH115-DH116,0)</f>
        <v>0</v>
      </c>
      <c r="DI117" s="703">
        <f>IF(DI$8=Assumptions!$E$70,-DI115-DI116,0)</f>
        <v>0</v>
      </c>
      <c r="DJ117" s="703">
        <f>IF(DJ$8=Assumptions!$E$70,-DJ115-DJ116,0)</f>
        <v>0</v>
      </c>
      <c r="DK117" s="703">
        <f>IF(DK$8=Assumptions!$E$70,-DK115-DK116,0)</f>
        <v>0</v>
      </c>
      <c r="DL117" s="703">
        <f>IF(DL$8=Assumptions!$E$70,-DL115-DL116,0)</f>
        <v>0</v>
      </c>
      <c r="DM117" s="703">
        <f>IF(DM$8=Assumptions!$E$70,-DM115-DM116,0)</f>
        <v>0</v>
      </c>
      <c r="DN117" s="703">
        <f>IF(DN$8=Assumptions!$E$70,-DN115-DN116,0)</f>
        <v>0</v>
      </c>
      <c r="DO117" s="703">
        <f>IF(DO$8=Assumptions!$E$70,-DO115-DO116,0)</f>
        <v>0</v>
      </c>
      <c r="DP117" s="703">
        <f>IF(DP$8=Assumptions!$E$70,-DP115-DP116,0)</f>
        <v>0</v>
      </c>
      <c r="DQ117" s="703">
        <f>IF(DQ$8=Assumptions!$E$70,-DQ115-DQ116,0)</f>
        <v>0</v>
      </c>
      <c r="DR117" s="703">
        <f>IF(DR$8=Assumptions!$E$70,-DR115-DR116,0)</f>
        <v>0</v>
      </c>
      <c r="DS117" s="703">
        <f>IF(DS$8=Assumptions!$E$70,-DS115-DS116,0)</f>
        <v>0</v>
      </c>
      <c r="DT117" s="703">
        <f>IF(DT$8=Assumptions!$E$70,-DT115-DT116,0)</f>
        <v>0</v>
      </c>
      <c r="DU117" s="703">
        <f>IF(DU$8=Assumptions!$E$70,-DU115-DU116,0)</f>
        <v>0</v>
      </c>
      <c r="DV117" s="703">
        <f>IF(DV$8=Assumptions!$E$70,-DV115-DV116,0)</f>
        <v>0</v>
      </c>
      <c r="DW117" s="703">
        <f>IF(DW$8=Assumptions!$E$70,-DW115-DW116,0)</f>
        <v>0</v>
      </c>
      <c r="DX117" s="703">
        <f>IF(DX$8=Assumptions!$E$70,-DX115-DX116,0)</f>
        <v>0</v>
      </c>
      <c r="DY117" s="703">
        <f>IF(DY$8=Assumptions!$E$70,-DY115-DY116,0)</f>
        <v>0</v>
      </c>
      <c r="DZ117" s="703">
        <f>IF(DZ$8=Assumptions!$E$70,-DZ115-DZ116,0)</f>
        <v>0</v>
      </c>
      <c r="EA117" s="703">
        <f>IF(EA$8=Assumptions!$E$70,-EA115-EA116,0)</f>
        <v>0</v>
      </c>
      <c r="EB117" s="389"/>
      <c r="EC117" s="392" t="s">
        <v>65</v>
      </c>
    </row>
    <row r="118" spans="1:133" s="390" customFormat="1" ht="15" customHeight="1">
      <c r="A118" s="389"/>
      <c r="B118" s="389"/>
      <c r="C118" s="389"/>
      <c r="D118" s="429" t="s">
        <v>134</v>
      </c>
      <c r="E118" s="411"/>
      <c r="F118" s="411"/>
      <c r="G118" s="411"/>
      <c r="H118" s="411"/>
      <c r="I118" s="797">
        <f t="shared" ref="I118:AN118" ca="1" si="298">I116+I115+I117</f>
        <v>0</v>
      </c>
      <c r="J118" s="389"/>
      <c r="K118" s="717">
        <f t="shared" ref="K118" si="299">K116+K115+K117</f>
        <v>0</v>
      </c>
      <c r="L118" s="717">
        <f t="shared" ca="1" si="298"/>
        <v>0</v>
      </c>
      <c r="M118" s="717">
        <f t="shared" ca="1" si="298"/>
        <v>0</v>
      </c>
      <c r="N118" s="717">
        <f t="shared" ca="1" si="298"/>
        <v>0</v>
      </c>
      <c r="O118" s="411">
        <f t="shared" ca="1" si="298"/>
        <v>0</v>
      </c>
      <c r="P118" s="411">
        <f t="shared" ca="1" si="298"/>
        <v>0</v>
      </c>
      <c r="Q118" s="411">
        <f t="shared" ca="1" si="298"/>
        <v>0</v>
      </c>
      <c r="R118" s="411">
        <f t="shared" ca="1" si="298"/>
        <v>0</v>
      </c>
      <c r="S118" s="411">
        <f t="shared" ca="1" si="298"/>
        <v>0</v>
      </c>
      <c r="T118" s="411">
        <f t="shared" ca="1" si="298"/>
        <v>0</v>
      </c>
      <c r="U118" s="411">
        <f t="shared" ca="1" si="298"/>
        <v>0</v>
      </c>
      <c r="V118" s="411">
        <f t="shared" ca="1" si="298"/>
        <v>0</v>
      </c>
      <c r="W118" s="411">
        <f t="shared" ca="1" si="298"/>
        <v>0</v>
      </c>
      <c r="X118" s="411">
        <f t="shared" ca="1" si="298"/>
        <v>0</v>
      </c>
      <c r="Y118" s="411">
        <f t="shared" ca="1" si="298"/>
        <v>0</v>
      </c>
      <c r="Z118" s="411">
        <f t="shared" ca="1" si="298"/>
        <v>0</v>
      </c>
      <c r="AA118" s="411">
        <f t="shared" ca="1" si="298"/>
        <v>0</v>
      </c>
      <c r="AB118" s="411">
        <f t="shared" ca="1" si="298"/>
        <v>0</v>
      </c>
      <c r="AC118" s="411">
        <f t="shared" ca="1" si="298"/>
        <v>0</v>
      </c>
      <c r="AD118" s="411">
        <f t="shared" ca="1" si="298"/>
        <v>0</v>
      </c>
      <c r="AE118" s="411">
        <f t="shared" ca="1" si="298"/>
        <v>0</v>
      </c>
      <c r="AF118" s="411">
        <f t="shared" ca="1" si="298"/>
        <v>0</v>
      </c>
      <c r="AG118" s="411">
        <f t="shared" ca="1" si="298"/>
        <v>0</v>
      </c>
      <c r="AH118" s="411">
        <f t="shared" ca="1" si="298"/>
        <v>0</v>
      </c>
      <c r="AI118" s="411">
        <f t="shared" ca="1" si="298"/>
        <v>0</v>
      </c>
      <c r="AJ118" s="411">
        <f t="shared" ca="1" si="298"/>
        <v>0</v>
      </c>
      <c r="AK118" s="411">
        <f t="shared" ca="1" si="298"/>
        <v>0</v>
      </c>
      <c r="AL118" s="411">
        <f t="shared" ca="1" si="298"/>
        <v>0</v>
      </c>
      <c r="AM118" s="411">
        <f t="shared" ca="1" si="298"/>
        <v>0</v>
      </c>
      <c r="AN118" s="411">
        <f t="shared" ca="1" si="298"/>
        <v>0</v>
      </c>
      <c r="AO118" s="411">
        <f t="shared" ref="AO118:AR118" ca="1" si="300">AO116+AO115+AO117</f>
        <v>0</v>
      </c>
      <c r="AP118" s="411">
        <f t="shared" ca="1" si="300"/>
        <v>0</v>
      </c>
      <c r="AQ118" s="411">
        <f t="shared" ca="1" si="300"/>
        <v>0</v>
      </c>
      <c r="AR118" s="411">
        <f t="shared" ca="1" si="300"/>
        <v>0</v>
      </c>
      <c r="AS118" s="411">
        <f ca="1">AS116+AS115+AS117</f>
        <v>0</v>
      </c>
      <c r="AT118" s="411">
        <f t="shared" ref="AT118:DE118" ca="1" si="301">AT116+AT115+AT117</f>
        <v>0</v>
      </c>
      <c r="AU118" s="411">
        <f t="shared" ca="1" si="301"/>
        <v>0</v>
      </c>
      <c r="AV118" s="411">
        <f t="shared" ca="1" si="301"/>
        <v>0</v>
      </c>
      <c r="AW118" s="411">
        <f t="shared" ca="1" si="301"/>
        <v>0</v>
      </c>
      <c r="AX118" s="411">
        <f t="shared" ca="1" si="301"/>
        <v>0</v>
      </c>
      <c r="AY118" s="411">
        <f t="shared" ca="1" si="301"/>
        <v>0</v>
      </c>
      <c r="AZ118" s="411">
        <f t="shared" ca="1" si="301"/>
        <v>0</v>
      </c>
      <c r="BA118" s="411">
        <f t="shared" ca="1" si="301"/>
        <v>0</v>
      </c>
      <c r="BB118" s="411">
        <f t="shared" ca="1" si="301"/>
        <v>0</v>
      </c>
      <c r="BC118" s="411">
        <f t="shared" ca="1" si="301"/>
        <v>0</v>
      </c>
      <c r="BD118" s="411">
        <f t="shared" ca="1" si="301"/>
        <v>0</v>
      </c>
      <c r="BE118" s="411">
        <f t="shared" ca="1" si="301"/>
        <v>0</v>
      </c>
      <c r="BF118" s="411">
        <f t="shared" ca="1" si="301"/>
        <v>0</v>
      </c>
      <c r="BG118" s="411">
        <f t="shared" ca="1" si="301"/>
        <v>0</v>
      </c>
      <c r="BH118" s="411">
        <f t="shared" ca="1" si="301"/>
        <v>0</v>
      </c>
      <c r="BI118" s="411">
        <f t="shared" ca="1" si="301"/>
        <v>0</v>
      </c>
      <c r="BJ118" s="411">
        <f t="shared" ca="1" si="301"/>
        <v>0</v>
      </c>
      <c r="BK118" s="411">
        <f t="shared" ca="1" si="301"/>
        <v>0</v>
      </c>
      <c r="BL118" s="411">
        <f t="shared" ca="1" si="301"/>
        <v>0</v>
      </c>
      <c r="BM118" s="411">
        <f t="shared" ca="1" si="301"/>
        <v>0</v>
      </c>
      <c r="BN118" s="411">
        <f t="shared" ca="1" si="301"/>
        <v>0</v>
      </c>
      <c r="BO118" s="411">
        <f t="shared" ca="1" si="301"/>
        <v>0</v>
      </c>
      <c r="BP118" s="411">
        <f t="shared" ca="1" si="301"/>
        <v>0</v>
      </c>
      <c r="BQ118" s="411">
        <f t="shared" ca="1" si="301"/>
        <v>0</v>
      </c>
      <c r="BR118" s="411">
        <f t="shared" ca="1" si="301"/>
        <v>0</v>
      </c>
      <c r="BS118" s="411">
        <f t="shared" ca="1" si="301"/>
        <v>0</v>
      </c>
      <c r="BT118" s="411">
        <f t="shared" ca="1" si="301"/>
        <v>0</v>
      </c>
      <c r="BU118" s="411">
        <f t="shared" ca="1" si="301"/>
        <v>0</v>
      </c>
      <c r="BV118" s="411">
        <f t="shared" ca="1" si="301"/>
        <v>0</v>
      </c>
      <c r="BW118" s="411">
        <f t="shared" ca="1" si="301"/>
        <v>0</v>
      </c>
      <c r="BX118" s="411">
        <f t="shared" ca="1" si="301"/>
        <v>0</v>
      </c>
      <c r="BY118" s="411">
        <f t="shared" ca="1" si="301"/>
        <v>0</v>
      </c>
      <c r="BZ118" s="411">
        <f t="shared" ca="1" si="301"/>
        <v>0</v>
      </c>
      <c r="CA118" s="411">
        <f t="shared" ca="1" si="301"/>
        <v>0</v>
      </c>
      <c r="CB118" s="411">
        <f t="shared" ca="1" si="301"/>
        <v>0</v>
      </c>
      <c r="CC118" s="411">
        <f t="shared" ca="1" si="301"/>
        <v>0</v>
      </c>
      <c r="CD118" s="411">
        <f t="shared" ca="1" si="301"/>
        <v>0</v>
      </c>
      <c r="CE118" s="411">
        <f t="shared" ca="1" si="301"/>
        <v>0</v>
      </c>
      <c r="CF118" s="411">
        <f t="shared" ca="1" si="301"/>
        <v>0</v>
      </c>
      <c r="CG118" s="411">
        <f t="shared" ca="1" si="301"/>
        <v>0</v>
      </c>
      <c r="CH118" s="411">
        <f t="shared" ca="1" si="301"/>
        <v>0</v>
      </c>
      <c r="CI118" s="411">
        <f t="shared" ca="1" si="301"/>
        <v>0</v>
      </c>
      <c r="CJ118" s="411">
        <f t="shared" ca="1" si="301"/>
        <v>0</v>
      </c>
      <c r="CK118" s="411">
        <f t="shared" ca="1" si="301"/>
        <v>0</v>
      </c>
      <c r="CL118" s="411">
        <f t="shared" ca="1" si="301"/>
        <v>0</v>
      </c>
      <c r="CM118" s="411">
        <f t="shared" ca="1" si="301"/>
        <v>0</v>
      </c>
      <c r="CN118" s="411">
        <f t="shared" ca="1" si="301"/>
        <v>0</v>
      </c>
      <c r="CO118" s="411">
        <f t="shared" ca="1" si="301"/>
        <v>0</v>
      </c>
      <c r="CP118" s="411">
        <f t="shared" ca="1" si="301"/>
        <v>0</v>
      </c>
      <c r="CQ118" s="411">
        <f t="shared" ca="1" si="301"/>
        <v>0</v>
      </c>
      <c r="CR118" s="411">
        <f t="shared" ca="1" si="301"/>
        <v>0</v>
      </c>
      <c r="CS118" s="411">
        <f t="shared" ca="1" si="301"/>
        <v>0</v>
      </c>
      <c r="CT118" s="411">
        <f t="shared" ca="1" si="301"/>
        <v>0</v>
      </c>
      <c r="CU118" s="411">
        <f t="shared" ca="1" si="301"/>
        <v>0</v>
      </c>
      <c r="CV118" s="411">
        <f t="shared" ca="1" si="301"/>
        <v>0</v>
      </c>
      <c r="CW118" s="411">
        <f t="shared" ca="1" si="301"/>
        <v>0</v>
      </c>
      <c r="CX118" s="411">
        <f t="shared" ca="1" si="301"/>
        <v>0</v>
      </c>
      <c r="CY118" s="411">
        <f t="shared" ca="1" si="301"/>
        <v>0</v>
      </c>
      <c r="CZ118" s="411">
        <f t="shared" ca="1" si="301"/>
        <v>0</v>
      </c>
      <c r="DA118" s="411">
        <f t="shared" ca="1" si="301"/>
        <v>0</v>
      </c>
      <c r="DB118" s="411">
        <f t="shared" ca="1" si="301"/>
        <v>0</v>
      </c>
      <c r="DC118" s="411">
        <f t="shared" ca="1" si="301"/>
        <v>0</v>
      </c>
      <c r="DD118" s="411">
        <f t="shared" ca="1" si="301"/>
        <v>0</v>
      </c>
      <c r="DE118" s="411">
        <f t="shared" ca="1" si="301"/>
        <v>0</v>
      </c>
      <c r="DF118" s="411">
        <f t="shared" ref="DF118:EA118" ca="1" si="302">DF116+DF115+DF117</f>
        <v>0</v>
      </c>
      <c r="DG118" s="411">
        <f t="shared" ca="1" si="302"/>
        <v>0</v>
      </c>
      <c r="DH118" s="411">
        <f t="shared" ca="1" si="302"/>
        <v>0</v>
      </c>
      <c r="DI118" s="411">
        <f t="shared" ca="1" si="302"/>
        <v>0</v>
      </c>
      <c r="DJ118" s="411">
        <f t="shared" ca="1" si="302"/>
        <v>0</v>
      </c>
      <c r="DK118" s="411">
        <f t="shared" ca="1" si="302"/>
        <v>0</v>
      </c>
      <c r="DL118" s="411">
        <f t="shared" ca="1" si="302"/>
        <v>0</v>
      </c>
      <c r="DM118" s="411">
        <f t="shared" ca="1" si="302"/>
        <v>0</v>
      </c>
      <c r="DN118" s="411">
        <f t="shared" ca="1" si="302"/>
        <v>0</v>
      </c>
      <c r="DO118" s="411">
        <f t="shared" ca="1" si="302"/>
        <v>0</v>
      </c>
      <c r="DP118" s="411">
        <f t="shared" ca="1" si="302"/>
        <v>0</v>
      </c>
      <c r="DQ118" s="411">
        <f t="shared" ca="1" si="302"/>
        <v>0</v>
      </c>
      <c r="DR118" s="411">
        <f t="shared" ca="1" si="302"/>
        <v>0</v>
      </c>
      <c r="DS118" s="411">
        <f t="shared" ca="1" si="302"/>
        <v>0</v>
      </c>
      <c r="DT118" s="411">
        <f t="shared" ca="1" si="302"/>
        <v>0</v>
      </c>
      <c r="DU118" s="411">
        <f t="shared" ca="1" si="302"/>
        <v>0</v>
      </c>
      <c r="DV118" s="411">
        <f t="shared" ca="1" si="302"/>
        <v>0</v>
      </c>
      <c r="DW118" s="411">
        <f t="shared" ca="1" si="302"/>
        <v>0</v>
      </c>
      <c r="DX118" s="411">
        <f t="shared" ca="1" si="302"/>
        <v>0</v>
      </c>
      <c r="DY118" s="411">
        <f t="shared" ca="1" si="302"/>
        <v>0</v>
      </c>
      <c r="DZ118" s="411">
        <f t="shared" ca="1" si="302"/>
        <v>0</v>
      </c>
      <c r="EA118" s="411">
        <f t="shared" ca="1" si="302"/>
        <v>0</v>
      </c>
      <c r="EB118" s="389"/>
      <c r="EC118" s="392" t="s">
        <v>65</v>
      </c>
    </row>
    <row r="119" spans="1:133" s="390" customFormat="1">
      <c r="A119" s="389"/>
      <c r="B119" s="389"/>
      <c r="C119" s="389"/>
      <c r="D119" s="403"/>
      <c r="E119" s="389"/>
      <c r="F119" s="389"/>
      <c r="G119" s="389"/>
      <c r="H119" s="389"/>
      <c r="I119" s="796"/>
      <c r="J119" s="389"/>
      <c r="K119" s="389"/>
      <c r="L119" s="712"/>
      <c r="M119" s="712"/>
      <c r="N119" s="712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703"/>
      <c r="AB119" s="703"/>
      <c r="AC119" s="703"/>
      <c r="AD119" s="703"/>
      <c r="AE119" s="703"/>
      <c r="AF119" s="703"/>
      <c r="AG119" s="703"/>
      <c r="AH119" s="703"/>
      <c r="AI119" s="703"/>
      <c r="AJ119" s="703"/>
      <c r="AK119" s="703"/>
      <c r="AL119" s="703"/>
      <c r="AM119" s="703"/>
      <c r="AN119" s="703"/>
      <c r="AO119" s="703"/>
      <c r="AP119" s="703"/>
      <c r="AQ119" s="703"/>
      <c r="AR119" s="703"/>
      <c r="AS119" s="703"/>
      <c r="AT119" s="703"/>
      <c r="AU119" s="703"/>
      <c r="AV119" s="703"/>
      <c r="AW119" s="703"/>
      <c r="AX119" s="703"/>
      <c r="AY119" s="703"/>
      <c r="AZ119" s="703"/>
      <c r="BA119" s="703"/>
      <c r="BB119" s="703"/>
      <c r="BC119" s="703"/>
      <c r="BD119" s="703"/>
      <c r="BE119" s="703"/>
      <c r="BF119" s="703"/>
      <c r="BG119" s="703"/>
      <c r="BH119" s="703"/>
      <c r="BI119" s="703"/>
      <c r="BJ119" s="703"/>
      <c r="BK119" s="703"/>
      <c r="BL119" s="703"/>
      <c r="BM119" s="703"/>
      <c r="BN119" s="703"/>
      <c r="BO119" s="703"/>
      <c r="BP119" s="703"/>
      <c r="BQ119" s="703"/>
      <c r="BR119" s="703"/>
      <c r="BS119" s="703"/>
      <c r="BT119" s="703"/>
      <c r="BU119" s="703"/>
      <c r="BV119" s="703"/>
      <c r="BW119" s="703"/>
      <c r="BX119" s="703"/>
      <c r="BY119" s="703"/>
      <c r="BZ119" s="703"/>
      <c r="CA119" s="703"/>
      <c r="CB119" s="703"/>
      <c r="CC119" s="703"/>
      <c r="CD119" s="703"/>
      <c r="CE119" s="703"/>
      <c r="CF119" s="703"/>
      <c r="CG119" s="703"/>
      <c r="CH119" s="703"/>
      <c r="CI119" s="703"/>
      <c r="CJ119" s="703"/>
      <c r="CK119" s="703"/>
      <c r="CL119" s="703"/>
      <c r="CM119" s="703"/>
      <c r="CN119" s="703"/>
      <c r="CO119" s="703"/>
      <c r="CP119" s="703"/>
      <c r="CQ119" s="703"/>
      <c r="CR119" s="703"/>
      <c r="CS119" s="703"/>
      <c r="CT119" s="703"/>
      <c r="CU119" s="703"/>
      <c r="CV119" s="703"/>
      <c r="CW119" s="703"/>
      <c r="CX119" s="703"/>
      <c r="CY119" s="703"/>
      <c r="CZ119" s="703"/>
      <c r="DA119" s="703"/>
      <c r="DB119" s="703"/>
      <c r="DC119" s="703"/>
      <c r="DD119" s="703"/>
      <c r="DE119" s="703"/>
      <c r="DF119" s="703"/>
      <c r="DG119" s="703"/>
      <c r="DH119" s="703"/>
      <c r="DI119" s="703"/>
      <c r="DJ119" s="703"/>
      <c r="DK119" s="703"/>
      <c r="DL119" s="703"/>
      <c r="DM119" s="703"/>
      <c r="DN119" s="703"/>
      <c r="DO119" s="703"/>
      <c r="DP119" s="703"/>
      <c r="DQ119" s="703"/>
      <c r="DR119" s="703"/>
      <c r="DS119" s="703"/>
      <c r="DT119" s="703"/>
      <c r="DU119" s="703"/>
      <c r="DV119" s="703"/>
      <c r="DW119" s="703"/>
      <c r="DX119" s="703"/>
      <c r="DY119" s="703"/>
      <c r="DZ119" s="703"/>
      <c r="EA119" s="703"/>
      <c r="EB119" s="389"/>
      <c r="EC119" s="392" t="s">
        <v>65</v>
      </c>
    </row>
    <row r="120" spans="1:133" s="390" customFormat="1">
      <c r="A120" s="389"/>
      <c r="B120" s="389"/>
      <c r="C120" s="389"/>
      <c r="D120" s="764" t="s">
        <v>135</v>
      </c>
      <c r="E120" s="389"/>
      <c r="F120" s="389"/>
      <c r="G120" s="389"/>
      <c r="H120" s="389"/>
      <c r="I120" s="795"/>
      <c r="J120" s="389"/>
      <c r="K120" s="703"/>
      <c r="L120" s="712">
        <f t="shared" ref="L120:AT120" si="303">COUNTIF(L121,"&gt;"&amp;0)+K120</f>
        <v>0</v>
      </c>
      <c r="M120" s="712">
        <f t="shared" si="303"/>
        <v>0</v>
      </c>
      <c r="N120" s="712">
        <f t="shared" si="303"/>
        <v>0</v>
      </c>
      <c r="O120" s="703">
        <f t="shared" si="303"/>
        <v>0</v>
      </c>
      <c r="P120" s="703">
        <f t="shared" si="303"/>
        <v>0</v>
      </c>
      <c r="Q120" s="703">
        <f t="shared" si="303"/>
        <v>0</v>
      </c>
      <c r="R120" s="703">
        <f t="shared" si="303"/>
        <v>0</v>
      </c>
      <c r="S120" s="703">
        <f t="shared" si="303"/>
        <v>0</v>
      </c>
      <c r="T120" s="703">
        <f t="shared" si="303"/>
        <v>0</v>
      </c>
      <c r="U120" s="703">
        <f t="shared" si="303"/>
        <v>0</v>
      </c>
      <c r="V120" s="703">
        <f t="shared" si="303"/>
        <v>0</v>
      </c>
      <c r="W120" s="703">
        <f t="shared" si="303"/>
        <v>0</v>
      </c>
      <c r="X120" s="703">
        <f t="shared" si="303"/>
        <v>0</v>
      </c>
      <c r="Y120" s="703">
        <f t="shared" si="303"/>
        <v>0</v>
      </c>
      <c r="Z120" s="703">
        <f t="shared" si="303"/>
        <v>0</v>
      </c>
      <c r="AA120" s="703">
        <f t="shared" si="303"/>
        <v>0</v>
      </c>
      <c r="AB120" s="703">
        <f t="shared" si="303"/>
        <v>0</v>
      </c>
      <c r="AC120" s="703">
        <f t="shared" si="303"/>
        <v>0</v>
      </c>
      <c r="AD120" s="703">
        <f t="shared" si="303"/>
        <v>0</v>
      </c>
      <c r="AE120" s="703">
        <f t="shared" si="303"/>
        <v>0</v>
      </c>
      <c r="AF120" s="703">
        <f t="shared" si="303"/>
        <v>0</v>
      </c>
      <c r="AG120" s="703">
        <f t="shared" si="303"/>
        <v>0</v>
      </c>
      <c r="AH120" s="703">
        <f t="shared" si="303"/>
        <v>0</v>
      </c>
      <c r="AI120" s="703">
        <f t="shared" si="303"/>
        <v>0</v>
      </c>
      <c r="AJ120" s="703">
        <f t="shared" si="303"/>
        <v>0</v>
      </c>
      <c r="AK120" s="703">
        <f t="shared" si="303"/>
        <v>0</v>
      </c>
      <c r="AL120" s="703">
        <f t="shared" ca="1" si="303"/>
        <v>1</v>
      </c>
      <c r="AM120" s="703">
        <f t="shared" ca="1" si="303"/>
        <v>2</v>
      </c>
      <c r="AN120" s="703">
        <f t="shared" ca="1" si="303"/>
        <v>3</v>
      </c>
      <c r="AO120" s="703">
        <f t="shared" ca="1" si="303"/>
        <v>4</v>
      </c>
      <c r="AP120" s="703">
        <f t="shared" ca="1" si="303"/>
        <v>5</v>
      </c>
      <c r="AQ120" s="703">
        <f t="shared" ca="1" si="303"/>
        <v>6</v>
      </c>
      <c r="AR120" s="703">
        <f t="shared" ca="1" si="303"/>
        <v>7</v>
      </c>
      <c r="AS120" s="703">
        <f t="shared" ca="1" si="303"/>
        <v>8</v>
      </c>
      <c r="AT120" s="703">
        <f t="shared" ca="1" si="303"/>
        <v>9</v>
      </c>
      <c r="AU120" s="763">
        <f ca="1">COUNTIF(AU121,"&gt;"&amp;0)+AT120</f>
        <v>10</v>
      </c>
      <c r="AV120" s="763">
        <f t="shared" ref="AV120:DG120" ca="1" si="304">COUNTIF(AV121,"&gt;"&amp;0)+AU120</f>
        <v>11</v>
      </c>
      <c r="AW120" s="763">
        <f t="shared" ca="1" si="304"/>
        <v>12</v>
      </c>
      <c r="AX120" s="763">
        <f t="shared" ca="1" si="304"/>
        <v>13</v>
      </c>
      <c r="AY120" s="763">
        <f t="shared" ca="1" si="304"/>
        <v>14</v>
      </c>
      <c r="AZ120" s="763">
        <f t="shared" ca="1" si="304"/>
        <v>15</v>
      </c>
      <c r="BA120" s="763">
        <f t="shared" ca="1" si="304"/>
        <v>16</v>
      </c>
      <c r="BB120" s="763">
        <f t="shared" ca="1" si="304"/>
        <v>17</v>
      </c>
      <c r="BC120" s="763">
        <f t="shared" ca="1" si="304"/>
        <v>18</v>
      </c>
      <c r="BD120" s="763">
        <f t="shared" ca="1" si="304"/>
        <v>19</v>
      </c>
      <c r="BE120" s="763">
        <f t="shared" ca="1" si="304"/>
        <v>20</v>
      </c>
      <c r="BF120" s="763">
        <f t="shared" ca="1" si="304"/>
        <v>21</v>
      </c>
      <c r="BG120" s="763">
        <f t="shared" ca="1" si="304"/>
        <v>22</v>
      </c>
      <c r="BH120" s="763">
        <f t="shared" ca="1" si="304"/>
        <v>23</v>
      </c>
      <c r="BI120" s="763">
        <f t="shared" ca="1" si="304"/>
        <v>24</v>
      </c>
      <c r="BJ120" s="763">
        <f t="shared" ca="1" si="304"/>
        <v>25</v>
      </c>
      <c r="BK120" s="763">
        <f t="shared" ca="1" si="304"/>
        <v>26</v>
      </c>
      <c r="BL120" s="763">
        <f t="shared" ca="1" si="304"/>
        <v>27</v>
      </c>
      <c r="BM120" s="763">
        <f t="shared" ca="1" si="304"/>
        <v>28</v>
      </c>
      <c r="BN120" s="763">
        <f t="shared" ca="1" si="304"/>
        <v>29</v>
      </c>
      <c r="BO120" s="763">
        <f t="shared" ca="1" si="304"/>
        <v>30</v>
      </c>
      <c r="BP120" s="763">
        <f t="shared" ca="1" si="304"/>
        <v>31</v>
      </c>
      <c r="BQ120" s="763">
        <f t="shared" ca="1" si="304"/>
        <v>32</v>
      </c>
      <c r="BR120" s="763">
        <f t="shared" ca="1" si="304"/>
        <v>33</v>
      </c>
      <c r="BS120" s="763">
        <f t="shared" ca="1" si="304"/>
        <v>34</v>
      </c>
      <c r="BT120" s="763">
        <f t="shared" ca="1" si="304"/>
        <v>35</v>
      </c>
      <c r="BU120" s="763">
        <f t="shared" ca="1" si="304"/>
        <v>36</v>
      </c>
      <c r="BV120" s="763">
        <f t="shared" ca="1" si="304"/>
        <v>37</v>
      </c>
      <c r="BW120" s="763">
        <f t="shared" ca="1" si="304"/>
        <v>38</v>
      </c>
      <c r="BX120" s="763">
        <f t="shared" ca="1" si="304"/>
        <v>39</v>
      </c>
      <c r="BY120" s="763">
        <f t="shared" ca="1" si="304"/>
        <v>40</v>
      </c>
      <c r="BZ120" s="763">
        <f t="shared" ca="1" si="304"/>
        <v>41</v>
      </c>
      <c r="CA120" s="763">
        <f t="shared" ca="1" si="304"/>
        <v>42</v>
      </c>
      <c r="CB120" s="763">
        <f t="shared" ca="1" si="304"/>
        <v>43</v>
      </c>
      <c r="CC120" s="763">
        <f t="shared" ca="1" si="304"/>
        <v>44</v>
      </c>
      <c r="CD120" s="763">
        <f t="shared" ca="1" si="304"/>
        <v>45</v>
      </c>
      <c r="CE120" s="763">
        <f t="shared" ca="1" si="304"/>
        <v>46</v>
      </c>
      <c r="CF120" s="763">
        <f t="shared" ca="1" si="304"/>
        <v>47</v>
      </c>
      <c r="CG120" s="763">
        <f t="shared" ca="1" si="304"/>
        <v>48</v>
      </c>
      <c r="CH120" s="763">
        <f t="shared" ca="1" si="304"/>
        <v>49</v>
      </c>
      <c r="CI120" s="763">
        <f t="shared" ca="1" si="304"/>
        <v>50</v>
      </c>
      <c r="CJ120" s="763">
        <f t="shared" ca="1" si="304"/>
        <v>51</v>
      </c>
      <c r="CK120" s="763">
        <f t="shared" ca="1" si="304"/>
        <v>52</v>
      </c>
      <c r="CL120" s="763">
        <f t="shared" ca="1" si="304"/>
        <v>53</v>
      </c>
      <c r="CM120" s="763">
        <f t="shared" ca="1" si="304"/>
        <v>54</v>
      </c>
      <c r="CN120" s="763">
        <f t="shared" ca="1" si="304"/>
        <v>55</v>
      </c>
      <c r="CO120" s="763">
        <f t="shared" ca="1" si="304"/>
        <v>56</v>
      </c>
      <c r="CP120" s="763">
        <f t="shared" ca="1" si="304"/>
        <v>57</v>
      </c>
      <c r="CQ120" s="763">
        <f t="shared" ca="1" si="304"/>
        <v>58</v>
      </c>
      <c r="CR120" s="763">
        <f t="shared" ca="1" si="304"/>
        <v>59</v>
      </c>
      <c r="CS120" s="763">
        <f t="shared" ca="1" si="304"/>
        <v>60</v>
      </c>
      <c r="CT120" s="763">
        <f t="shared" ca="1" si="304"/>
        <v>61</v>
      </c>
      <c r="CU120" s="763">
        <f t="shared" ca="1" si="304"/>
        <v>62</v>
      </c>
      <c r="CV120" s="763">
        <f t="shared" ca="1" si="304"/>
        <v>63</v>
      </c>
      <c r="CW120" s="763">
        <f t="shared" ca="1" si="304"/>
        <v>64</v>
      </c>
      <c r="CX120" s="763">
        <f t="shared" ca="1" si="304"/>
        <v>65</v>
      </c>
      <c r="CY120" s="763">
        <f t="shared" ca="1" si="304"/>
        <v>66</v>
      </c>
      <c r="CZ120" s="763">
        <f t="shared" ca="1" si="304"/>
        <v>67</v>
      </c>
      <c r="DA120" s="763">
        <f t="shared" ca="1" si="304"/>
        <v>68</v>
      </c>
      <c r="DB120" s="763">
        <f t="shared" ca="1" si="304"/>
        <v>69</v>
      </c>
      <c r="DC120" s="763">
        <f t="shared" ca="1" si="304"/>
        <v>70</v>
      </c>
      <c r="DD120" s="763">
        <f t="shared" ca="1" si="304"/>
        <v>71</v>
      </c>
      <c r="DE120" s="763">
        <f t="shared" ca="1" si="304"/>
        <v>72</v>
      </c>
      <c r="DF120" s="763">
        <f t="shared" ca="1" si="304"/>
        <v>73</v>
      </c>
      <c r="DG120" s="763">
        <f t="shared" ca="1" si="304"/>
        <v>74</v>
      </c>
      <c r="DH120" s="763">
        <f t="shared" ref="DH120:EA120" ca="1" si="305">COUNTIF(DH121,"&gt;"&amp;0)+DG120</f>
        <v>75</v>
      </c>
      <c r="DI120" s="763">
        <f t="shared" ca="1" si="305"/>
        <v>76</v>
      </c>
      <c r="DJ120" s="763">
        <f t="shared" ca="1" si="305"/>
        <v>77</v>
      </c>
      <c r="DK120" s="763">
        <f t="shared" ca="1" si="305"/>
        <v>78</v>
      </c>
      <c r="DL120" s="763">
        <f t="shared" ca="1" si="305"/>
        <v>79</v>
      </c>
      <c r="DM120" s="763">
        <f t="shared" ca="1" si="305"/>
        <v>80</v>
      </c>
      <c r="DN120" s="763">
        <f t="shared" ca="1" si="305"/>
        <v>81</v>
      </c>
      <c r="DO120" s="763">
        <f t="shared" ca="1" si="305"/>
        <v>82</v>
      </c>
      <c r="DP120" s="763">
        <f t="shared" ca="1" si="305"/>
        <v>83</v>
      </c>
      <c r="DQ120" s="763">
        <f t="shared" ca="1" si="305"/>
        <v>84</v>
      </c>
      <c r="DR120" s="763">
        <f t="shared" ca="1" si="305"/>
        <v>85</v>
      </c>
      <c r="DS120" s="763">
        <f t="shared" ca="1" si="305"/>
        <v>86</v>
      </c>
      <c r="DT120" s="763">
        <f t="shared" ca="1" si="305"/>
        <v>87</v>
      </c>
      <c r="DU120" s="763">
        <f t="shared" ca="1" si="305"/>
        <v>88</v>
      </c>
      <c r="DV120" s="763">
        <f t="shared" ca="1" si="305"/>
        <v>89</v>
      </c>
      <c r="DW120" s="763">
        <f t="shared" ca="1" si="305"/>
        <v>90</v>
      </c>
      <c r="DX120" s="763">
        <f t="shared" ca="1" si="305"/>
        <v>91</v>
      </c>
      <c r="DY120" s="763">
        <f t="shared" ca="1" si="305"/>
        <v>92</v>
      </c>
      <c r="DZ120" s="763">
        <f t="shared" ca="1" si="305"/>
        <v>93</v>
      </c>
      <c r="EA120" s="763">
        <f t="shared" ca="1" si="305"/>
        <v>94</v>
      </c>
      <c r="EB120" s="389"/>
      <c r="EC120" s="392" t="s">
        <v>65</v>
      </c>
    </row>
    <row r="121" spans="1:133" s="390" customFormat="1">
      <c r="A121" s="389"/>
      <c r="B121" s="389"/>
      <c r="C121" s="389"/>
      <c r="D121" s="707" t="s">
        <v>133</v>
      </c>
      <c r="E121" s="389"/>
      <c r="F121" s="389"/>
      <c r="G121" s="389"/>
      <c r="H121" s="389"/>
      <c r="I121" s="795">
        <v>0</v>
      </c>
      <c r="J121" s="389"/>
      <c r="K121" s="719">
        <v>0</v>
      </c>
      <c r="L121" s="719">
        <v>0</v>
      </c>
      <c r="M121" s="719">
        <f t="shared" ref="M121:BF121" si="306">L125</f>
        <v>0</v>
      </c>
      <c r="N121" s="719">
        <f t="shared" si="306"/>
        <v>0</v>
      </c>
      <c r="O121" s="507">
        <f t="shared" si="306"/>
        <v>0</v>
      </c>
      <c r="P121" s="507">
        <f t="shared" si="306"/>
        <v>0</v>
      </c>
      <c r="Q121" s="507">
        <f t="shared" si="306"/>
        <v>0</v>
      </c>
      <c r="R121" s="507">
        <f t="shared" si="306"/>
        <v>0</v>
      </c>
      <c r="S121" s="507">
        <f t="shared" si="306"/>
        <v>0</v>
      </c>
      <c r="T121" s="507">
        <f t="shared" si="306"/>
        <v>0</v>
      </c>
      <c r="U121" s="507">
        <f t="shared" si="306"/>
        <v>0</v>
      </c>
      <c r="V121" s="507">
        <f t="shared" si="306"/>
        <v>0</v>
      </c>
      <c r="W121" s="507">
        <f t="shared" si="306"/>
        <v>0</v>
      </c>
      <c r="X121" s="507">
        <f t="shared" si="306"/>
        <v>0</v>
      </c>
      <c r="Y121" s="507">
        <f t="shared" si="306"/>
        <v>0</v>
      </c>
      <c r="Z121" s="507">
        <f t="shared" si="306"/>
        <v>0</v>
      </c>
      <c r="AA121" s="507">
        <f t="shared" si="306"/>
        <v>0</v>
      </c>
      <c r="AB121" s="507">
        <f t="shared" si="306"/>
        <v>0</v>
      </c>
      <c r="AC121" s="507">
        <f t="shared" si="306"/>
        <v>0</v>
      </c>
      <c r="AD121" s="507">
        <f t="shared" si="306"/>
        <v>0</v>
      </c>
      <c r="AE121" s="507">
        <f t="shared" si="306"/>
        <v>0</v>
      </c>
      <c r="AF121" s="507">
        <f t="shared" si="306"/>
        <v>0</v>
      </c>
      <c r="AG121" s="507">
        <f t="shared" si="306"/>
        <v>0</v>
      </c>
      <c r="AH121" s="507">
        <f t="shared" si="306"/>
        <v>0</v>
      </c>
      <c r="AI121" s="507">
        <f t="shared" si="306"/>
        <v>0</v>
      </c>
      <c r="AJ121" s="507">
        <f t="shared" si="306"/>
        <v>0</v>
      </c>
      <c r="AK121" s="507">
        <f t="shared" si="306"/>
        <v>0</v>
      </c>
      <c r="AL121" s="507">
        <f t="shared" ca="1" si="306"/>
        <v>41537811.792025082</v>
      </c>
      <c r="AM121" s="507">
        <f t="shared" ca="1" si="306"/>
        <v>41473114.922622956</v>
      </c>
      <c r="AN121" s="507">
        <f t="shared" ca="1" si="306"/>
        <v>41408121.525902733</v>
      </c>
      <c r="AO121" s="507">
        <f t="shared" ca="1" si="306"/>
        <v>41342830.242780879</v>
      </c>
      <c r="AP121" s="507">
        <f t="shared" ca="1" si="306"/>
        <v>41277239.707944714</v>
      </c>
      <c r="AQ121" s="507">
        <f t="shared" ca="1" si="306"/>
        <v>41211348.54982388</v>
      </c>
      <c r="AR121" s="507">
        <f t="shared" ca="1" si="306"/>
        <v>41145155.390561663</v>
      </c>
      <c r="AS121" s="507">
        <f t="shared" ca="1" si="306"/>
        <v>41078658.845986158</v>
      </c>
      <c r="AT121" s="507">
        <f t="shared" ca="1" si="306"/>
        <v>41011857.525581352</v>
      </c>
      <c r="AU121" s="507">
        <f t="shared" ca="1" si="306"/>
        <v>40944750.032458022</v>
      </c>
      <c r="AV121" s="507">
        <f t="shared" ca="1" si="306"/>
        <v>40877334.963324547</v>
      </c>
      <c r="AW121" s="507">
        <f t="shared" ca="1" si="306"/>
        <v>40809610.90845754</v>
      </c>
      <c r="AX121" s="507">
        <f t="shared" ca="1" si="306"/>
        <v>40741576.45167239</v>
      </c>
      <c r="AY121" s="507">
        <f t="shared" ca="1" si="306"/>
        <v>40673230.170293644</v>
      </c>
      <c r="AZ121" s="507">
        <f t="shared" ca="1" si="306"/>
        <v>40604570.63512525</v>
      </c>
      <c r="BA121" s="507">
        <f t="shared" ca="1" si="306"/>
        <v>40535596.410420664</v>
      </c>
      <c r="BB121" s="507">
        <f t="shared" ca="1" si="306"/>
        <v>40466306.053852849</v>
      </c>
      <c r="BC121" s="507">
        <f t="shared" ca="1" si="306"/>
        <v>40396698.116484098</v>
      </c>
      <c r="BD121" s="507">
        <f t="shared" ca="1" si="306"/>
        <v>40326771.142735742</v>
      </c>
      <c r="BE121" s="507">
        <f t="shared" ca="1" si="306"/>
        <v>40256523.670357704</v>
      </c>
      <c r="BF121" s="507">
        <f t="shared" ca="1" si="306"/>
        <v>40185954.230397932</v>
      </c>
      <c r="BG121" s="507">
        <f ca="1">BF125</f>
        <v>40115061.347171679</v>
      </c>
      <c r="BH121" s="507">
        <f ca="1">BG125</f>
        <v>40043843.538230643</v>
      </c>
      <c r="BI121" s="507">
        <f ca="1">BH125</f>
        <v>39972299.314331956</v>
      </c>
      <c r="BJ121" s="507">
        <f ca="1">BI125</f>
        <v>39900427.179407068</v>
      </c>
      <c r="BK121" s="507">
        <f t="shared" ref="BK121:BQ121" ca="1" si="307">BJ125</f>
        <v>39828225.630530439</v>
      </c>
      <c r="BL121" s="507">
        <f t="shared" ca="1" si="307"/>
        <v>39755693.157888129</v>
      </c>
      <c r="BM121" s="507">
        <f t="shared" ca="1" si="307"/>
        <v>39682828.244746208</v>
      </c>
      <c r="BN121" s="507">
        <f t="shared" ca="1" si="307"/>
        <v>39609629.367419049</v>
      </c>
      <c r="BO121" s="507">
        <f t="shared" ca="1" si="307"/>
        <v>39536094.995237477</v>
      </c>
      <c r="BP121" s="507">
        <f t="shared" ca="1" si="307"/>
        <v>39462223.590516739</v>
      </c>
      <c r="BQ121" s="507">
        <f t="shared" ca="1" si="307"/>
        <v>39388013.60852436</v>
      </c>
      <c r="BR121" s="507">
        <f ca="1">BQ125</f>
        <v>39313463.497447856</v>
      </c>
      <c r="BS121" s="507">
        <f t="shared" ref="BS121:EA121" ca="1" si="308">BR125</f>
        <v>39238571.698362246</v>
      </c>
      <c r="BT121" s="507">
        <f t="shared" ca="1" si="308"/>
        <v>39163336.645197496</v>
      </c>
      <c r="BU121" s="507">
        <f t="shared" ca="1" si="308"/>
        <v>39087756.76470574</v>
      </c>
      <c r="BV121" s="507">
        <f t="shared" ca="1" si="308"/>
        <v>39011830.476428397</v>
      </c>
      <c r="BW121" s="507">
        <f t="shared" ca="1" si="308"/>
        <v>38935556.192663118</v>
      </c>
      <c r="BX121" s="507">
        <f t="shared" ca="1" si="308"/>
        <v>38858932.31843058</v>
      </c>
      <c r="BY121" s="507">
        <f t="shared" ca="1" si="308"/>
        <v>38781957.251441143</v>
      </c>
      <c r="BZ121" s="507">
        <f t="shared" ca="1" si="308"/>
        <v>38704629.38206134</v>
      </c>
      <c r="CA121" s="507">
        <f t="shared" ca="1" si="308"/>
        <v>38626947.093280211</v>
      </c>
      <c r="CB121" s="507">
        <f t="shared" ca="1" si="308"/>
        <v>38548908.760675505</v>
      </c>
      <c r="CC121" s="507">
        <f t="shared" ca="1" si="308"/>
        <v>38470512.752379693</v>
      </c>
      <c r="CD121" s="507">
        <f t="shared" ca="1" si="308"/>
        <v>38391757.429045856</v>
      </c>
      <c r="CE121" s="507">
        <f t="shared" ca="1" si="308"/>
        <v>38312641.143813409</v>
      </c>
      <c r="CF121" s="507">
        <f t="shared" ca="1" si="308"/>
        <v>38233162.242273644</v>
      </c>
      <c r="CG121" s="507">
        <f t="shared" ca="1" si="308"/>
        <v>38153319.062435158</v>
      </c>
      <c r="CH121" s="507">
        <f t="shared" ca="1" si="308"/>
        <v>38073109.934689075</v>
      </c>
      <c r="CI121" s="507">
        <f t="shared" ca="1" si="308"/>
        <v>37992533.181774154</v>
      </c>
      <c r="CJ121" s="507">
        <f t="shared" ca="1" si="308"/>
        <v>37911587.118741706</v>
      </c>
      <c r="CK121" s="507">
        <f t="shared" ca="1" si="308"/>
        <v>37830270.052920364</v>
      </c>
      <c r="CL121" s="507">
        <f t="shared" ca="1" si="308"/>
        <v>37748580.283880673</v>
      </c>
      <c r="CM121" s="507">
        <f t="shared" ca="1" si="308"/>
        <v>37666516.103399552</v>
      </c>
      <c r="CN121" s="507">
        <f t="shared" ca="1" si="308"/>
        <v>37584075.795424558</v>
      </c>
      <c r="CO121" s="507">
        <f t="shared" ca="1" si="308"/>
        <v>37501257.636038013</v>
      </c>
      <c r="CP121" s="507">
        <f t="shared" ca="1" si="308"/>
        <v>37418059.893420942</v>
      </c>
      <c r="CQ121" s="507">
        <f t="shared" ca="1" si="308"/>
        <v>37334480.827816881</v>
      </c>
      <c r="CR121" s="507">
        <f t="shared" ca="1" si="308"/>
        <v>37250518.691495463</v>
      </c>
      <c r="CS121" s="507">
        <f t="shared" ca="1" si="308"/>
        <v>37166171.728715904</v>
      </c>
      <c r="CT121" s="507">
        <f t="shared" ca="1" si="308"/>
        <v>37081438.175690278</v>
      </c>
      <c r="CU121" s="507">
        <f t="shared" ca="1" si="308"/>
        <v>36996316.260546617</v>
      </c>
      <c r="CV121" s="507">
        <f t="shared" ca="1" si="308"/>
        <v>36910804.203291878</v>
      </c>
      <c r="CW121" s="507">
        <f t="shared" ca="1" si="308"/>
        <v>36824900.215774722</v>
      </c>
      <c r="CX121" s="507">
        <f t="shared" ca="1" si="308"/>
        <v>36738602.501648113</v>
      </c>
      <c r="CY121" s="507">
        <f t="shared" ca="1" si="308"/>
        <v>36651909.256331757</v>
      </c>
      <c r="CZ121" s="507">
        <f t="shared" ca="1" si="308"/>
        <v>36564818.666974366</v>
      </c>
      <c r="DA121" s="507">
        <f t="shared" ca="1" si="308"/>
        <v>36477328.912415758</v>
      </c>
      <c r="DB121" s="507">
        <f t="shared" ca="1" si="308"/>
        <v>36389438.163148753</v>
      </c>
      <c r="DC121" s="507">
        <f t="shared" ca="1" si="308"/>
        <v>36301144.581280939</v>
      </c>
      <c r="DD121" s="507">
        <f t="shared" ca="1" si="308"/>
        <v>36212446.320496231</v>
      </c>
      <c r="DE121" s="507">
        <f t="shared" ca="1" si="308"/>
        <v>36123341.526016265</v>
      </c>
      <c r="DF121" s="507">
        <f t="shared" ca="1" si="308"/>
        <v>36033828.334561594</v>
      </c>
      <c r="DG121" s="507">
        <f t="shared" ca="1" si="308"/>
        <v>35943904.874312758</v>
      </c>
      <c r="DH121" s="507">
        <f t="shared" ca="1" si="308"/>
        <v>35853569.264871113</v>
      </c>
      <c r="DI121" s="507">
        <f t="shared" ca="1" si="308"/>
        <v>35762819.61721953</v>
      </c>
      <c r="DJ121" s="507">
        <f t="shared" ca="1" si="308"/>
        <v>35671654.033682875</v>
      </c>
      <c r="DK121" s="507">
        <f t="shared" ca="1" si="308"/>
        <v>35580070.607888348</v>
      </c>
      <c r="DL121" s="507">
        <f t="shared" ca="1" si="308"/>
        <v>35488067.424725592</v>
      </c>
      <c r="DM121" s="507">
        <f t="shared" ca="1" si="308"/>
        <v>35395642.560306676</v>
      </c>
      <c r="DN121" s="507">
        <f t="shared" ca="1" si="308"/>
        <v>35302794.081925839</v>
      </c>
      <c r="DO121" s="507">
        <f t="shared" ca="1" si="308"/>
        <v>35209520.048019089</v>
      </c>
      <c r="DP121" s="507">
        <f t="shared" ca="1" si="308"/>
        <v>35115818.508123599</v>
      </c>
      <c r="DQ121" s="507">
        <f t="shared" ca="1" si="308"/>
        <v>35021687.50283692</v>
      </c>
      <c r="DR121" s="507">
        <f t="shared" ca="1" si="308"/>
        <v>34927125.063776009</v>
      </c>
      <c r="DS121" s="507">
        <f t="shared" ca="1" si="308"/>
        <v>34832129.213536069</v>
      </c>
      <c r="DT121" s="507">
        <f t="shared" ca="1" si="308"/>
        <v>34736697.965649195</v>
      </c>
      <c r="DU121" s="507">
        <f t="shared" ca="1" si="308"/>
        <v>34640829.324542843</v>
      </c>
      <c r="DV121" s="507">
        <f t="shared" ca="1" si="308"/>
        <v>34544521.28549809</v>
      </c>
      <c r="DW121" s="507">
        <f t="shared" ca="1" si="308"/>
        <v>34447771.834607713</v>
      </c>
      <c r="DX121" s="507">
        <f t="shared" ca="1" si="308"/>
        <v>34350578.94873409</v>
      </c>
      <c r="DY121" s="507">
        <f t="shared" ca="1" si="308"/>
        <v>34252940.595466875</v>
      </c>
      <c r="DZ121" s="507">
        <f t="shared" ca="1" si="308"/>
        <v>34154854.733080521</v>
      </c>
      <c r="EA121" s="507">
        <f t="shared" ca="1" si="308"/>
        <v>34056319.310491562</v>
      </c>
      <c r="EB121" s="389"/>
      <c r="EC121" s="392" t="s">
        <v>65</v>
      </c>
    </row>
    <row r="122" spans="1:133" s="390" customFormat="1">
      <c r="A122" s="389"/>
      <c r="B122" s="389"/>
      <c r="C122" s="389"/>
      <c r="D122" s="708" t="s">
        <v>137</v>
      </c>
      <c r="E122" s="389"/>
      <c r="F122" s="389"/>
      <c r="G122" s="389"/>
      <c r="H122" s="389"/>
      <c r="I122" s="795">
        <f t="shared" ref="I122:I124" ca="1" si="309">SUM(K122:EA122)</f>
        <v>41537811.792025082</v>
      </c>
      <c r="J122" s="389"/>
      <c r="K122" s="703">
        <f>IF((K8=Assumptions!$E$70),(Assumptions!$E$66*(K61+K65))+(Assumptions!$E$66*(K61+K65)*Assumptions!$E$67),0)</f>
        <v>0</v>
      </c>
      <c r="L122" s="703">
        <f>IF((L8=Assumptions!$E$70),(Assumptions!$E$66*(L61+L65))+(Assumptions!$E$66*(L61+L65)*Assumptions!$E$67),0)</f>
        <v>0</v>
      </c>
      <c r="M122" s="703">
        <f>IF((M8=Assumptions!$E$70),(Assumptions!$E$66*(M61+M65))+(Assumptions!$E$66*(M61+M65)*Assumptions!$E$67),0)</f>
        <v>0</v>
      </c>
      <c r="N122" s="703">
        <f>IF((N8=Assumptions!$E$70),(Assumptions!$E$66*(N61+N65))+(Assumptions!$E$66*(N61+N65)*Assumptions!$E$67),0)</f>
        <v>0</v>
      </c>
      <c r="O122" s="703">
        <f>IF((O8=Assumptions!$E$70),(Assumptions!$E$66*(O61+O65))+(Assumptions!$E$66*(O61+O65)*Assumptions!$E$67),0)</f>
        <v>0</v>
      </c>
      <c r="P122" s="703">
        <f>IF((P8=Assumptions!$E$70),(Assumptions!$E$66*(P61+P65))+(Assumptions!$E$66*(P61+P65)*Assumptions!$E$67),0)</f>
        <v>0</v>
      </c>
      <c r="Q122" s="703">
        <f>IF((Q8=Assumptions!$E$70),(Assumptions!$E$66*(Q61+Q65))+(Assumptions!$E$66*(Q61+Q65)*Assumptions!$E$67),0)</f>
        <v>0</v>
      </c>
      <c r="R122" s="703">
        <f>IF((R8=Assumptions!$E$70),(Assumptions!$E$66*(R61+R65))+(Assumptions!$E$66*(R61+R65)*Assumptions!$E$67),0)</f>
        <v>0</v>
      </c>
      <c r="S122" s="703">
        <f>IF((S8=Assumptions!$E$70),(Assumptions!$E$66*(S61+S65))+(Assumptions!$E$66*(S61+S65)*Assumptions!$E$67),0)</f>
        <v>0</v>
      </c>
      <c r="T122" s="703">
        <f>IF((T8=Assumptions!$E$70),(Assumptions!$E$66*(T61+T65))+(Assumptions!$E$66*(T61+T65)*Assumptions!$E$67),0)</f>
        <v>0</v>
      </c>
      <c r="U122" s="703">
        <f>IF((U8=Assumptions!$E$70),(Assumptions!$E$66*(U61+U65))+(Assumptions!$E$66*(U61+U65)*Assumptions!$E$67),0)</f>
        <v>0</v>
      </c>
      <c r="V122" s="703">
        <f>IF((V8=Assumptions!$E$70),(Assumptions!$E$66*(V61+V65))+(Assumptions!$E$66*(V61+V65)*Assumptions!$E$67),0)</f>
        <v>0</v>
      </c>
      <c r="W122" s="703">
        <f>IF((W8=Assumptions!$E$70),(Assumptions!$E$66*(W61+W65))+(Assumptions!$E$66*(W61+W65)*Assumptions!$E$67),0)</f>
        <v>0</v>
      </c>
      <c r="X122" s="703">
        <f>IF((X8=Assumptions!$E$70),(Assumptions!$E$66*(X61+X65))+(Assumptions!$E$66*(X61+X65)*Assumptions!$E$67),0)</f>
        <v>0</v>
      </c>
      <c r="Y122" s="703">
        <f>IF((Y8=Assumptions!$E$70),(Assumptions!$E$66*(Y61+Y65))+(Assumptions!$E$66*(Y61+Y65)*Assumptions!$E$67),0)</f>
        <v>0</v>
      </c>
      <c r="Z122" s="703">
        <f>IF((Z8=Assumptions!$E$70),(Assumptions!$E$66*(Z61+Z65))+(Assumptions!$E$66*(Z61+Z65)*Assumptions!$E$67),0)</f>
        <v>0</v>
      </c>
      <c r="AA122" s="703">
        <f>IF((AA8=Assumptions!$E$70),(Assumptions!$E$66*(AA61+AA65))+(Assumptions!$E$66*(AA61+AA65)*Assumptions!$E$67),0)</f>
        <v>0</v>
      </c>
      <c r="AB122" s="703">
        <f>IF((AB8=Assumptions!$E$70),(Assumptions!$E$66*(AB61+AB65))+(Assumptions!$E$66*(AB61+AB65)*Assumptions!$E$67),0)</f>
        <v>0</v>
      </c>
      <c r="AC122" s="703">
        <f>IF((AC8=Assumptions!$E$70),(Assumptions!$E$66*(AC61+AC65))+(Assumptions!$E$66*(AC61+AC65)*Assumptions!$E$67),0)</f>
        <v>0</v>
      </c>
      <c r="AD122" s="703">
        <f>IF((AD8=Assumptions!$E$70),(Assumptions!$E$66*(AD61+AD65))+(Assumptions!$E$66*(AD61+AD65)*Assumptions!$E$67),0)</f>
        <v>0</v>
      </c>
      <c r="AE122" s="703">
        <f>IF((AE8=Assumptions!$E$70),(Assumptions!$E$66*(AE61+AE65))+(Assumptions!$E$66*(AE61+AE65)*Assumptions!$E$67),0)</f>
        <v>0</v>
      </c>
      <c r="AF122" s="703">
        <f>IF((AF8=Assumptions!$E$70),(Assumptions!$E$66*(AF61+AF65))+(Assumptions!$E$66*(AF61+AF65)*Assumptions!$E$67),0)</f>
        <v>0</v>
      </c>
      <c r="AG122" s="703">
        <f>IF((AG8=Assumptions!$E$70),(Assumptions!$E$66*(AG61+AG65))+(Assumptions!$E$66*(AG61+AG65)*Assumptions!$E$67),0)</f>
        <v>0</v>
      </c>
      <c r="AH122" s="703">
        <f>IF((AH8=Assumptions!$E$70),(Assumptions!$E$66*(AH61+AH65))+(Assumptions!$E$66*(AH61+AH65)*Assumptions!$E$67),0)</f>
        <v>0</v>
      </c>
      <c r="AI122" s="703">
        <f>IF((AI8=Assumptions!$E$70),(Assumptions!$E$66*(AI61+AI65))+(Assumptions!$E$66*(AI61+AI65)*Assumptions!$E$67),0)</f>
        <v>0</v>
      </c>
      <c r="AJ122" s="703">
        <f>IF((AJ8=Assumptions!$E$70),(Assumptions!$E$66*(AJ61+AJ65))+(Assumptions!$E$66*(AJ61+AJ65)*Assumptions!$E$67),0)</f>
        <v>0</v>
      </c>
      <c r="AK122" s="703">
        <f ca="1">IF((AK8=Assumptions!$E$70),(Assumptions!$E$66*(AK61+AK65))+(Assumptions!$E$66*(AK61+AK65)*Assumptions!$E$67),0)</f>
        <v>41537811.792025082</v>
      </c>
      <c r="AL122" s="703">
        <f>IF((AL8=Assumptions!$E$70),(Assumptions!$E$66*(AL61+AL65))+(Assumptions!$E$66*(AL61+AL65)*Assumptions!$E$67),0)</f>
        <v>0</v>
      </c>
      <c r="AM122" s="703">
        <f>IF((AM8=Assumptions!$E$70),(Assumptions!$E$66*(AM61+AM65))+(Assumptions!$E$66*(AM61+AM65)*Assumptions!$E$67),0)</f>
        <v>0</v>
      </c>
      <c r="AN122" s="703">
        <f>IF((AN8=Assumptions!$E$70),(Assumptions!$E$66*(AN61+AN65))+(Assumptions!$E$66*(AN61+AN65)*Assumptions!$E$67),0)</f>
        <v>0</v>
      </c>
      <c r="AO122" s="703">
        <f>IF((AO8=Assumptions!$E$70),(Assumptions!$E$66*(AO61+AO65))+(Assumptions!$E$66*(AO61+AO65)*Assumptions!$E$67),0)</f>
        <v>0</v>
      </c>
      <c r="AP122" s="703">
        <f>IF((AP8=Assumptions!$E$70),(Assumptions!$E$66*(AP61+AP65))+(Assumptions!$E$66*(AP61+AP65)*Assumptions!$E$67),0)</f>
        <v>0</v>
      </c>
      <c r="AQ122" s="703">
        <f>IF((AQ8=Assumptions!$E$70),(Assumptions!$E$66*(AQ61+AQ65))+(Assumptions!$E$66*(AQ61+AQ65)*Assumptions!$E$67),0)</f>
        <v>0</v>
      </c>
      <c r="AR122" s="703">
        <f>IF((AR8=Assumptions!$E$70),(Assumptions!$E$66*(AR61+AR65))+(Assumptions!$E$66*(AR61+AR65)*Assumptions!$E$67),0)</f>
        <v>0</v>
      </c>
      <c r="AS122" s="703">
        <f>IF((AS8=Assumptions!$E$70),(Assumptions!$E$66*(AS61+AS65))+(Assumptions!$E$66*(AS61+AS65)*Assumptions!$E$67),0)</f>
        <v>0</v>
      </c>
      <c r="AT122" s="703">
        <f>IF((AT8=Assumptions!$E$70),(Assumptions!$E$66*(AT61+AT65))+(Assumptions!$E$66*(AT61+AT65)*Assumptions!$E$67),0)</f>
        <v>0</v>
      </c>
      <c r="AU122" s="703">
        <f>IF((AU8=Assumptions!$E$70),(Assumptions!$E$66*(AU61+AU65))+(Assumptions!$E$66*(AU61+AU65)*Assumptions!$E$67),0)</f>
        <v>0</v>
      </c>
      <c r="AV122" s="703">
        <f>IF((AV8=Assumptions!$E$70),(Assumptions!$E$66*(AV61+AV65))+(Assumptions!$E$66*(AV61+AV65)*Assumptions!$E$67),0)</f>
        <v>0</v>
      </c>
      <c r="AW122" s="703">
        <f>IF((AW8=Assumptions!$E$70),(Assumptions!$E$66*(AW61+AW65))+(Assumptions!$E$66*(AW61+AW65)*Assumptions!$E$67),0)</f>
        <v>0</v>
      </c>
      <c r="AX122" s="703">
        <f>IF((AX8=Assumptions!$E$70),(Assumptions!$E$66*(AX61+AX65))+(Assumptions!$E$66*(AX61+AX65)*Assumptions!$E$67),0)</f>
        <v>0</v>
      </c>
      <c r="AY122" s="703">
        <f>IF((AY8=Assumptions!$E$70),(Assumptions!$E$66*(AY61+AY65))+(Assumptions!$E$66*(AY61+AY65)*Assumptions!$E$67),0)</f>
        <v>0</v>
      </c>
      <c r="AZ122" s="703">
        <f>IF((AZ8=Assumptions!$E$70),(Assumptions!$E$66*(AZ61+AZ65))+(Assumptions!$E$66*(AZ61+AZ65)*Assumptions!$E$67),0)</f>
        <v>0</v>
      </c>
      <c r="BA122" s="703">
        <f>IF((BA8=Assumptions!$E$70),(Assumptions!$E$66*(BA61+BA65))+(Assumptions!$E$66*(BA61+BA65)*Assumptions!$E$67),0)</f>
        <v>0</v>
      </c>
      <c r="BB122" s="703">
        <f>IF((BB8=Assumptions!$E$70),(Assumptions!$E$66*(BB61+BB65))+(Assumptions!$E$66*(BB61+BB65)*Assumptions!$E$67),0)</f>
        <v>0</v>
      </c>
      <c r="BC122" s="703">
        <f>IF((BC8=Assumptions!$E$70),(Assumptions!$E$66*(BC61+BC65))+(Assumptions!$E$66*(BC61+BC65)*Assumptions!$E$67),0)</f>
        <v>0</v>
      </c>
      <c r="BD122" s="703">
        <f>IF((BD8=Assumptions!$E$70),(Assumptions!$E$66*(BD61+BD65))+(Assumptions!$E$66*(BD61+BD65)*Assumptions!$E$67),0)</f>
        <v>0</v>
      </c>
      <c r="BE122" s="703">
        <f>IF((BE8=Assumptions!$E$70),(Assumptions!$E$66*(BE61+BE65))+(Assumptions!$E$66*(BE61+BE65)*Assumptions!$E$67),0)</f>
        <v>0</v>
      </c>
      <c r="BF122" s="703">
        <f>IF((BF8=Assumptions!$E$70),(Assumptions!$E$66*(BF61+BF65))+(Assumptions!$E$66*(BF61+BF65)*Assumptions!$E$67),0)</f>
        <v>0</v>
      </c>
      <c r="BG122" s="703">
        <f>IF((BG8=Assumptions!$E$70),(Assumptions!$E$66*(BG61+BG65))+(Assumptions!$E$66*(BG61+BG65)*Assumptions!$E$67),0)</f>
        <v>0</v>
      </c>
      <c r="BH122" s="703">
        <f>IF((BH8=Assumptions!$E$70),(Assumptions!$E$66*(BH61+BH65))+(Assumptions!$E$66*(BH61+BH65)*Assumptions!$E$67),0)</f>
        <v>0</v>
      </c>
      <c r="BI122" s="703">
        <f>IF((BI8=Assumptions!$E$70),(Assumptions!$E$66*(BI61+BI65))+(Assumptions!$E$66*(BI61+BI65)*Assumptions!$E$67),0)</f>
        <v>0</v>
      </c>
      <c r="BJ122" s="703">
        <f>IF((BJ8=Assumptions!$E$70),(Assumptions!$E$66*(BJ61+BJ65))+(Assumptions!$E$66*(BJ61+BJ65)*Assumptions!$E$67),0)</f>
        <v>0</v>
      </c>
      <c r="BK122" s="703">
        <f>IF((BK8=Assumptions!$E$70),(Assumptions!$E$66*(BK61+BK65))+(Assumptions!$E$66*(BK61+BK65)*Assumptions!$E$67),0)</f>
        <v>0</v>
      </c>
      <c r="BL122" s="703">
        <f>IF((BL8=Assumptions!$E$70),(Assumptions!$E$66*(BL61+BL65))+(Assumptions!$E$66*(BL61+BL65)*Assumptions!$E$67),0)</f>
        <v>0</v>
      </c>
      <c r="BM122" s="703">
        <f>IF((BM8=Assumptions!$E$70),(Assumptions!$E$66*(BM61+BM65))+(Assumptions!$E$66*(BM61+BM65)*Assumptions!$E$67),0)</f>
        <v>0</v>
      </c>
      <c r="BN122" s="703">
        <f>IF((BN8=Assumptions!$E$70),(Assumptions!$E$66*(BN61+BN65))+(Assumptions!$E$66*(BN61+BN65)*Assumptions!$E$67),0)</f>
        <v>0</v>
      </c>
      <c r="BO122" s="703">
        <f>IF((BO8=Assumptions!$E$70),(Assumptions!$E$66*(BO61+BO65))+(Assumptions!$E$66*(BO61+BO65)*Assumptions!$E$67),0)</f>
        <v>0</v>
      </c>
      <c r="BP122" s="703">
        <f>IF((BP8=Assumptions!$E$70),(Assumptions!$E$66*(BP61+BP65))+(Assumptions!$E$66*(BP61+BP65)*Assumptions!$E$67),0)</f>
        <v>0</v>
      </c>
      <c r="BQ122" s="703">
        <f>IF((BQ8=Assumptions!$E$70),(Assumptions!$E$66*(BQ61+BQ65))+(Assumptions!$E$66*(BQ61+BQ65)*Assumptions!$E$67),0)</f>
        <v>0</v>
      </c>
      <c r="BR122" s="703">
        <f>IF((BR8=Assumptions!$E$70),(Assumptions!$E$66*(BR61+BR65))+(Assumptions!$E$66*(BR61+BR65)*Assumptions!$E$67),0)</f>
        <v>0</v>
      </c>
      <c r="BS122" s="703">
        <f>IF((BS8=Assumptions!$E$70),(Assumptions!$E$66*(BS61+BS65))+(Assumptions!$E$66*(BS61+BS65)*Assumptions!$E$67),0)</f>
        <v>0</v>
      </c>
      <c r="BT122" s="703">
        <f>IF((BT8=Assumptions!$E$70),(Assumptions!$E$66*(BT61+BT65))+(Assumptions!$E$66*(BT61+BT65)*Assumptions!$E$67),0)</f>
        <v>0</v>
      </c>
      <c r="BU122" s="703">
        <f>IF((BU8=Assumptions!$E$70),(Assumptions!$E$66*(BU61+BU65))+(Assumptions!$E$66*(BU61+BU65)*Assumptions!$E$67),0)</f>
        <v>0</v>
      </c>
      <c r="BV122" s="703">
        <f>IF((BV8=Assumptions!$E$70),(Assumptions!$E$66*(BV61+BV65))+(Assumptions!$E$66*(BV61+BV65)*Assumptions!$E$67),0)</f>
        <v>0</v>
      </c>
      <c r="BW122" s="703">
        <f>IF((BW8=Assumptions!$E$70),(Assumptions!$E$66*(BW61+BW65))+(Assumptions!$E$66*(BW61+BW65)*Assumptions!$E$67),0)</f>
        <v>0</v>
      </c>
      <c r="BX122" s="703">
        <f>IF((BX8=Assumptions!$E$70),(Assumptions!$E$66*(BX61+BX65))+(Assumptions!$E$66*(BX61+BX65)*Assumptions!$E$67),0)</f>
        <v>0</v>
      </c>
      <c r="BY122" s="703">
        <f>IF((BY8=Assumptions!$E$70),(Assumptions!$E$66*(BY61+BY65))+(Assumptions!$E$66*(BY61+BY65)*Assumptions!$E$67),0)</f>
        <v>0</v>
      </c>
      <c r="BZ122" s="703">
        <f>IF((BZ8=Assumptions!$E$70),(Assumptions!$E$66*(BZ61+BZ65))+(Assumptions!$E$66*(BZ61+BZ65)*Assumptions!$E$67),0)</f>
        <v>0</v>
      </c>
      <c r="CA122" s="703">
        <f>IF((CA8=Assumptions!$E$70),(Assumptions!$E$66*(CA61+CA65))+(Assumptions!$E$66*(CA61+CA65)*Assumptions!$E$67),0)</f>
        <v>0</v>
      </c>
      <c r="CB122" s="703">
        <f>IF((CB8=Assumptions!$E$70),(Assumptions!$E$66*(CB61+CB65))+(Assumptions!$E$66*(CB61+CB65)*Assumptions!$E$67),0)</f>
        <v>0</v>
      </c>
      <c r="CC122" s="703">
        <f>IF((CC8=Assumptions!$E$70),(Assumptions!$E$66*(CC61+CC65))+(Assumptions!$E$66*(CC61+CC65)*Assumptions!$E$67),0)</f>
        <v>0</v>
      </c>
      <c r="CD122" s="703">
        <f>IF((CD8=Assumptions!$E$70),(Assumptions!$E$66*(CD61+CD65))+(Assumptions!$E$66*(CD61+CD65)*Assumptions!$E$67),0)</f>
        <v>0</v>
      </c>
      <c r="CE122" s="703">
        <f>IF((CE8=Assumptions!$E$70),(Assumptions!$E$66*(CE61+CE65))+(Assumptions!$E$66*(CE61+CE65)*Assumptions!$E$67),0)</f>
        <v>0</v>
      </c>
      <c r="CF122" s="703">
        <f>IF((CF8=Assumptions!$E$70),(Assumptions!$E$66*(CF61+CF65))+(Assumptions!$E$66*(CF61+CF65)*Assumptions!$E$67),0)</f>
        <v>0</v>
      </c>
      <c r="CG122" s="703">
        <f>IF((CG8=Assumptions!$E$70),(Assumptions!$E$66*(CG61+CG65))+(Assumptions!$E$66*(CG61+CG65)*Assumptions!$E$67),0)</f>
        <v>0</v>
      </c>
      <c r="CH122" s="703">
        <f>IF((CH8=Assumptions!$E$70),(Assumptions!$E$66*(CH61+CH65))+(Assumptions!$E$66*(CH61+CH65)*Assumptions!$E$67),0)</f>
        <v>0</v>
      </c>
      <c r="CI122" s="703">
        <f>IF((CI8=Assumptions!$E$70),(Assumptions!$E$66*(CI61+CI65))+(Assumptions!$E$66*(CI61+CI65)*Assumptions!$E$67),0)</f>
        <v>0</v>
      </c>
      <c r="CJ122" s="703">
        <f>IF((CJ8=Assumptions!$E$70),(Assumptions!$E$66*(CJ61+CJ65))+(Assumptions!$E$66*(CJ61+CJ65)*Assumptions!$E$67),0)</f>
        <v>0</v>
      </c>
      <c r="CK122" s="703">
        <f>IF((CK8=Assumptions!$E$70),(Assumptions!$E$66*(CK61+CK65))+(Assumptions!$E$66*(CK61+CK65)*Assumptions!$E$67),0)</f>
        <v>0</v>
      </c>
      <c r="CL122" s="703">
        <f>IF((CL8=Assumptions!$E$70),(Assumptions!$E$66*(CL61+CL65))+(Assumptions!$E$66*(CL61+CL65)*Assumptions!$E$67),0)</f>
        <v>0</v>
      </c>
      <c r="CM122" s="703">
        <f>IF((CM8=Assumptions!$E$70),(Assumptions!$E$66*(CM61+CM65))+(Assumptions!$E$66*(CM61+CM65)*Assumptions!$E$67),0)</f>
        <v>0</v>
      </c>
      <c r="CN122" s="703">
        <f>IF((CN8=Assumptions!$E$70),(Assumptions!$E$66*(CN61+CN65))+(Assumptions!$E$66*(CN61+CN65)*Assumptions!$E$67),0)</f>
        <v>0</v>
      </c>
      <c r="CO122" s="703">
        <f>IF((CO8=Assumptions!$E$70),(Assumptions!$E$66*(CO61+CO65))+(Assumptions!$E$66*(CO61+CO65)*Assumptions!$E$67),0)</f>
        <v>0</v>
      </c>
      <c r="CP122" s="703">
        <f>IF((CP8=Assumptions!$E$70),(Assumptions!$E$66*(CP61+CP65))+(Assumptions!$E$66*(CP61+CP65)*Assumptions!$E$67),0)</f>
        <v>0</v>
      </c>
      <c r="CQ122" s="703">
        <f>IF((CQ8=Assumptions!$E$70),(Assumptions!$E$66*(CQ61+CQ65))+(Assumptions!$E$66*(CQ61+CQ65)*Assumptions!$E$67),0)</f>
        <v>0</v>
      </c>
      <c r="CR122" s="703">
        <f>IF((CR8=Assumptions!$E$70),(Assumptions!$E$66*(CR61+CR65))+(Assumptions!$E$66*(CR61+CR65)*Assumptions!$E$67),0)</f>
        <v>0</v>
      </c>
      <c r="CS122" s="703">
        <f>IF((CS8=Assumptions!$E$70),(Assumptions!$E$66*(CS61+CS65))+(Assumptions!$E$66*(CS61+CS65)*Assumptions!$E$67),0)</f>
        <v>0</v>
      </c>
      <c r="CT122" s="703">
        <f>IF((CT8=Assumptions!$E$70),(Assumptions!$E$66*(CT61+CT65))+(Assumptions!$E$66*(CT61+CT65)*Assumptions!$E$67),0)</f>
        <v>0</v>
      </c>
      <c r="CU122" s="703">
        <f>IF((CU8=Assumptions!$E$70),(Assumptions!$E$66*(CU61+CU65))+(Assumptions!$E$66*(CU61+CU65)*Assumptions!$E$67),0)</f>
        <v>0</v>
      </c>
      <c r="CV122" s="703">
        <f>IF((CV8=Assumptions!$E$70),(Assumptions!$E$66*(CV61+CV65))+(Assumptions!$E$66*(CV61+CV65)*Assumptions!$E$67),0)</f>
        <v>0</v>
      </c>
      <c r="CW122" s="703">
        <f>IF((CW8=Assumptions!$E$70),(Assumptions!$E$66*(CW61+CW65))+(Assumptions!$E$66*(CW61+CW65)*Assumptions!$E$67),0)</f>
        <v>0</v>
      </c>
      <c r="CX122" s="703">
        <f>IF((CX8=Assumptions!$E$70),(Assumptions!$E$66*(CX61+CX65))+(Assumptions!$E$66*(CX61+CX65)*Assumptions!$E$67),0)</f>
        <v>0</v>
      </c>
      <c r="CY122" s="703">
        <f>IF((CY8=Assumptions!$E$70),(Assumptions!$E$66*(CY61+CY65))+(Assumptions!$E$66*(CY61+CY65)*Assumptions!$E$67),0)</f>
        <v>0</v>
      </c>
      <c r="CZ122" s="703">
        <f>IF((CZ8=Assumptions!$E$70),(Assumptions!$E$66*(CZ61+CZ65))+(Assumptions!$E$66*(CZ61+CZ65)*Assumptions!$E$67),0)</f>
        <v>0</v>
      </c>
      <c r="DA122" s="703">
        <f>IF((DA8=Assumptions!$E$70),(Assumptions!$E$66*(DA61+DA65))+(Assumptions!$E$66*(DA61+DA65)*Assumptions!$E$67),0)</f>
        <v>0</v>
      </c>
      <c r="DB122" s="703">
        <f>IF((DB8=Assumptions!$E$70),(Assumptions!$E$66*(DB61+DB65))+(Assumptions!$E$66*(DB61+DB65)*Assumptions!$E$67),0)</f>
        <v>0</v>
      </c>
      <c r="DC122" s="703">
        <f>IF((DC8=Assumptions!$E$70),(Assumptions!$E$66*(DC61+DC65))+(Assumptions!$E$66*(DC61+DC65)*Assumptions!$E$67),0)</f>
        <v>0</v>
      </c>
      <c r="DD122" s="703">
        <f>IF((DD8=Assumptions!$E$70),(Assumptions!$E$66*(DD61+DD65))+(Assumptions!$E$66*(DD61+DD65)*Assumptions!$E$67),0)</f>
        <v>0</v>
      </c>
      <c r="DE122" s="703">
        <f>IF((DE8=Assumptions!$E$70),(Assumptions!$E$66*(DE61+DE65))+(Assumptions!$E$66*(DE61+DE65)*Assumptions!$E$67),0)</f>
        <v>0</v>
      </c>
      <c r="DF122" s="703">
        <f>IF((DF8=Assumptions!$E$70),(Assumptions!$E$66*(DF61+DF65))+(Assumptions!$E$66*(DF61+DF65)*Assumptions!$E$67),0)</f>
        <v>0</v>
      </c>
      <c r="DG122" s="703">
        <f>IF((DG8=Assumptions!$E$70),(Assumptions!$E$66*(DG61+DG65))+(Assumptions!$E$66*(DG61+DG65)*Assumptions!$E$67),0)</f>
        <v>0</v>
      </c>
      <c r="DH122" s="703">
        <f>IF((DH8=Assumptions!$E$70),(Assumptions!$E$66*(DH61+DH65))+(Assumptions!$E$66*(DH61+DH65)*Assumptions!$E$67),0)</f>
        <v>0</v>
      </c>
      <c r="DI122" s="703">
        <f>IF((DI8=Assumptions!$E$70),(Assumptions!$E$66*(DI61+DI65))+(Assumptions!$E$66*(DI61+DI65)*Assumptions!$E$67),0)</f>
        <v>0</v>
      </c>
      <c r="DJ122" s="703">
        <f>IF((DJ8=Assumptions!$E$70),(Assumptions!$E$66*(DJ61+DJ65))+(Assumptions!$E$66*(DJ61+DJ65)*Assumptions!$E$67),0)</f>
        <v>0</v>
      </c>
      <c r="DK122" s="703">
        <f>IF((DK8=Assumptions!$E$70),(Assumptions!$E$66*(DK61+DK65))+(Assumptions!$E$66*(DK61+DK65)*Assumptions!$E$67),0)</f>
        <v>0</v>
      </c>
      <c r="DL122" s="703">
        <f>IF((DL8=Assumptions!$E$70),(Assumptions!$E$66*(DL61+DL65))+(Assumptions!$E$66*(DL61+DL65)*Assumptions!$E$67),0)</f>
        <v>0</v>
      </c>
      <c r="DM122" s="703">
        <f>IF((DM8=Assumptions!$E$70),(Assumptions!$E$66*(DM61+DM65))+(Assumptions!$E$66*(DM61+DM65)*Assumptions!$E$67),0)</f>
        <v>0</v>
      </c>
      <c r="DN122" s="703">
        <f>IF((DN8=Assumptions!$E$70),(Assumptions!$E$66*(DN61+DN65))+(Assumptions!$E$66*(DN61+DN65)*Assumptions!$E$67),0)</f>
        <v>0</v>
      </c>
      <c r="DO122" s="703">
        <f>IF((DO8=Assumptions!$E$70),(Assumptions!$E$66*(DO61+DO65))+(Assumptions!$E$66*(DO61+DO65)*Assumptions!$E$67),0)</f>
        <v>0</v>
      </c>
      <c r="DP122" s="703">
        <f>IF((DP8=Assumptions!$E$70),(Assumptions!$E$66*(DP61+DP65))+(Assumptions!$E$66*(DP61+DP65)*Assumptions!$E$67),0)</f>
        <v>0</v>
      </c>
      <c r="DQ122" s="703">
        <f>IF((DQ8=Assumptions!$E$70),(Assumptions!$E$66*(DQ61+DQ65))+(Assumptions!$E$66*(DQ61+DQ65)*Assumptions!$E$67),0)</f>
        <v>0</v>
      </c>
      <c r="DR122" s="703">
        <f>IF((DR8=Assumptions!$E$70),(Assumptions!$E$66*(DR61+DR65))+(Assumptions!$E$66*(DR61+DR65)*Assumptions!$E$67),0)</f>
        <v>0</v>
      </c>
      <c r="DS122" s="703">
        <f>IF((DS8=Assumptions!$E$70),(Assumptions!$E$66*(DS61+DS65))+(Assumptions!$E$66*(DS61+DS65)*Assumptions!$E$67),0)</f>
        <v>0</v>
      </c>
      <c r="DT122" s="703">
        <f>IF((DT8=Assumptions!$E$70),(Assumptions!$E$66*(DT61+DT65))+(Assumptions!$E$66*(DT61+DT65)*Assumptions!$E$67),0)</f>
        <v>0</v>
      </c>
      <c r="DU122" s="703">
        <f>IF((DU8=Assumptions!$E$70),(Assumptions!$E$66*(DU61+DU65))+(Assumptions!$E$66*(DU61+DU65)*Assumptions!$E$67),0)</f>
        <v>0</v>
      </c>
      <c r="DV122" s="703">
        <f>IF((DV8=Assumptions!$E$70),(Assumptions!$E$66*(DV61+DV65))+(Assumptions!$E$66*(DV61+DV65)*Assumptions!$E$67),0)</f>
        <v>0</v>
      </c>
      <c r="DW122" s="703">
        <f>IF((DW8=Assumptions!$E$70),(Assumptions!$E$66*(DW61+DW65))+(Assumptions!$E$66*(DW61+DW65)*Assumptions!$E$67),0)</f>
        <v>0</v>
      </c>
      <c r="DX122" s="703">
        <f>IF((DX8=Assumptions!$E$70),(Assumptions!$E$66*(DX61+DX65))+(Assumptions!$E$66*(DX61+DX65)*Assumptions!$E$67),0)</f>
        <v>0</v>
      </c>
      <c r="DY122" s="703">
        <f>IF((DY8=Assumptions!$E$70),(Assumptions!$E$66*(DY61+DY65))+(Assumptions!$E$66*(DY61+DY65)*Assumptions!$E$67),0)</f>
        <v>0</v>
      </c>
      <c r="DZ122" s="703">
        <f>IF((DZ8=Assumptions!$E$70),(Assumptions!$E$66*(DZ61+DZ65))+(Assumptions!$E$66*(DZ61+DZ65)*Assumptions!$E$67),0)</f>
        <v>0</v>
      </c>
      <c r="EA122" s="703">
        <f>IF((EA8=Assumptions!$E$70),(Assumptions!$E$66*(EA61+EA65))+(Assumptions!$E$66*(EA61+EA65)*Assumptions!$E$67),0)</f>
        <v>0</v>
      </c>
      <c r="EB122" s="389"/>
      <c r="EC122" s="392" t="s">
        <v>65</v>
      </c>
    </row>
    <row r="123" spans="1:133" s="390" customFormat="1">
      <c r="A123" s="389"/>
      <c r="B123" s="389"/>
      <c r="C123" s="389"/>
      <c r="D123" s="708" t="s">
        <v>68</v>
      </c>
      <c r="E123" s="389"/>
      <c r="F123" s="700">
        <f>Assumptions!$E$69</f>
        <v>25</v>
      </c>
      <c r="G123" s="389"/>
      <c r="H123" s="389"/>
      <c r="I123" s="795">
        <f t="shared" ca="1" si="309"/>
        <v>-7580479.5248093707</v>
      </c>
      <c r="J123" s="389"/>
      <c r="K123" s="703">
        <f t="shared" ref="K123" si="310">IF(K121&gt;0,PPMT($F$127/12,K$120,$F$123*12,$I$122,0),0)</f>
        <v>0</v>
      </c>
      <c r="L123" s="703">
        <f t="shared" ref="L123:AU123" si="311">IF(L121&gt;0,PPMT($F$127/12,L$120,$F$123*12,$I$122,0),0)</f>
        <v>0</v>
      </c>
      <c r="M123" s="703">
        <f t="shared" si="311"/>
        <v>0</v>
      </c>
      <c r="N123" s="703">
        <f t="shared" si="311"/>
        <v>0</v>
      </c>
      <c r="O123" s="703">
        <f t="shared" si="311"/>
        <v>0</v>
      </c>
      <c r="P123" s="703">
        <f t="shared" si="311"/>
        <v>0</v>
      </c>
      <c r="Q123" s="703">
        <f t="shared" si="311"/>
        <v>0</v>
      </c>
      <c r="R123" s="703">
        <f t="shared" si="311"/>
        <v>0</v>
      </c>
      <c r="S123" s="703">
        <f t="shared" si="311"/>
        <v>0</v>
      </c>
      <c r="T123" s="703">
        <f t="shared" si="311"/>
        <v>0</v>
      </c>
      <c r="U123" s="703">
        <f t="shared" si="311"/>
        <v>0</v>
      </c>
      <c r="V123" s="703">
        <f t="shared" si="311"/>
        <v>0</v>
      </c>
      <c r="W123" s="703">
        <f t="shared" si="311"/>
        <v>0</v>
      </c>
      <c r="X123" s="703">
        <f t="shared" si="311"/>
        <v>0</v>
      </c>
      <c r="Y123" s="703">
        <f t="shared" si="311"/>
        <v>0</v>
      </c>
      <c r="Z123" s="703">
        <f t="shared" si="311"/>
        <v>0</v>
      </c>
      <c r="AA123" s="703">
        <f t="shared" si="311"/>
        <v>0</v>
      </c>
      <c r="AB123" s="703">
        <f t="shared" si="311"/>
        <v>0</v>
      </c>
      <c r="AC123" s="703">
        <f t="shared" si="311"/>
        <v>0</v>
      </c>
      <c r="AD123" s="703">
        <f t="shared" si="311"/>
        <v>0</v>
      </c>
      <c r="AE123" s="703">
        <f t="shared" si="311"/>
        <v>0</v>
      </c>
      <c r="AF123" s="703">
        <f t="shared" si="311"/>
        <v>0</v>
      </c>
      <c r="AG123" s="703">
        <f t="shared" si="311"/>
        <v>0</v>
      </c>
      <c r="AH123" s="703">
        <f t="shared" si="311"/>
        <v>0</v>
      </c>
      <c r="AI123" s="703">
        <f t="shared" si="311"/>
        <v>0</v>
      </c>
      <c r="AJ123" s="703">
        <f t="shared" si="311"/>
        <v>0</v>
      </c>
      <c r="AK123" s="703">
        <f t="shared" si="311"/>
        <v>0</v>
      </c>
      <c r="AL123" s="703">
        <f t="shared" ca="1" si="311"/>
        <v>-64696.869402128694</v>
      </c>
      <c r="AM123" s="703">
        <f t="shared" ca="1" si="311"/>
        <v>-64993.396720221768</v>
      </c>
      <c r="AN123" s="703">
        <f t="shared" ca="1" si="311"/>
        <v>-65291.283121856126</v>
      </c>
      <c r="AO123" s="703">
        <f t="shared" ca="1" si="311"/>
        <v>-65590.534836164647</v>
      </c>
      <c r="AP123" s="703">
        <f t="shared" ca="1" si="311"/>
        <v>-65891.158120830398</v>
      </c>
      <c r="AQ123" s="703">
        <f t="shared" ca="1" si="311"/>
        <v>-66193.159262217538</v>
      </c>
      <c r="AR123" s="703">
        <f t="shared" ca="1" si="311"/>
        <v>-66496.544575502689</v>
      </c>
      <c r="AS123" s="703">
        <f t="shared" ca="1" si="311"/>
        <v>-66801.320404807091</v>
      </c>
      <c r="AT123" s="703">
        <f t="shared" ca="1" si="311"/>
        <v>-67107.493123329114</v>
      </c>
      <c r="AU123" s="703">
        <f t="shared" ca="1" si="311"/>
        <v>-67415.069133477708</v>
      </c>
      <c r="AV123" s="703">
        <f ca="1">IF(AV121&gt;0,PPMT($F$127/12,AV$120,$F$123*12,$I$122,0),0)</f>
        <v>-67724.054867006154</v>
      </c>
      <c r="AW123" s="703">
        <f t="shared" ref="AW123:DH123" ca="1" si="312">IF(AW121&gt;0,PPMT($F$127/12,AW$120,$F$123*12,$I$122,0),0)</f>
        <v>-68034.456785146598</v>
      </c>
      <c r="AX123" s="703">
        <f t="shared" ca="1" si="312"/>
        <v>-68346.281378745174</v>
      </c>
      <c r="AY123" s="703">
        <f t="shared" ca="1" si="312"/>
        <v>-68659.535168397764</v>
      </c>
      <c r="AZ123" s="703">
        <f t="shared" ca="1" si="312"/>
        <v>-68974.224704586246</v>
      </c>
      <c r="BA123" s="703">
        <f t="shared" ca="1" si="312"/>
        <v>-69290.356567815601</v>
      </c>
      <c r="BB123" s="703">
        <f t="shared" ca="1" si="312"/>
        <v>-69607.937368751416</v>
      </c>
      <c r="BC123" s="703">
        <f t="shared" ca="1" si="312"/>
        <v>-69926.973748358214</v>
      </c>
      <c r="BD123" s="703">
        <f t="shared" ca="1" si="312"/>
        <v>-70247.472378038176</v>
      </c>
      <c r="BE123" s="703">
        <f t="shared" ca="1" si="312"/>
        <v>-70569.439959770854</v>
      </c>
      <c r="BF123" s="703">
        <f t="shared" ca="1" si="312"/>
        <v>-70892.883226253136</v>
      </c>
      <c r="BG123" s="703">
        <f t="shared" ca="1" si="312"/>
        <v>-71217.80894104013</v>
      </c>
      <c r="BH123" s="703">
        <f t="shared" ca="1" si="312"/>
        <v>-71544.22389868657</v>
      </c>
      <c r="BI123" s="703">
        <f t="shared" ca="1" si="312"/>
        <v>-71872.134924888873</v>
      </c>
      <c r="BJ123" s="703">
        <f t="shared" ca="1" si="312"/>
        <v>-72201.54887662796</v>
      </c>
      <c r="BK123" s="703">
        <f t="shared" ca="1" si="312"/>
        <v>-72532.472642312496</v>
      </c>
      <c r="BL123" s="703">
        <f t="shared" ca="1" si="312"/>
        <v>-72864.913141923098</v>
      </c>
      <c r="BM123" s="703">
        <f t="shared" ca="1" si="312"/>
        <v>-73198.877327156908</v>
      </c>
      <c r="BN123" s="703">
        <f t="shared" ca="1" si="312"/>
        <v>-73534.372181573068</v>
      </c>
      <c r="BO123" s="703">
        <f t="shared" ca="1" si="312"/>
        <v>-73871.404720738588</v>
      </c>
      <c r="BP123" s="703">
        <f t="shared" ca="1" si="312"/>
        <v>-74209.981992375309</v>
      </c>
      <c r="BQ123" s="703">
        <f t="shared" ca="1" si="312"/>
        <v>-74550.111076507033</v>
      </c>
      <c r="BR123" s="703">
        <f t="shared" ca="1" si="312"/>
        <v>-74891.799085607694</v>
      </c>
      <c r="BS123" s="703">
        <f t="shared" ca="1" si="312"/>
        <v>-75235.053164750061</v>
      </c>
      <c r="BT123" s="703">
        <f t="shared" ca="1" si="312"/>
        <v>-75579.880491755161</v>
      </c>
      <c r="BU123" s="703">
        <f t="shared" ca="1" si="312"/>
        <v>-75926.288277342377</v>
      </c>
      <c r="BV123" s="703">
        <f t="shared" ca="1" si="312"/>
        <v>-76274.283765280197</v>
      </c>
      <c r="BW123" s="703">
        <f t="shared" ca="1" si="312"/>
        <v>-76623.87423253771</v>
      </c>
      <c r="BX123" s="703">
        <f t="shared" ca="1" si="312"/>
        <v>-76975.066989436848</v>
      </c>
      <c r="BY123" s="703">
        <f t="shared" ca="1" si="312"/>
        <v>-77327.869379805081</v>
      </c>
      <c r="BZ123" s="703">
        <f t="shared" ca="1" si="312"/>
        <v>-77682.288781129217</v>
      </c>
      <c r="CA123" s="703">
        <f t="shared" ca="1" si="312"/>
        <v>-78038.332604709372</v>
      </c>
      <c r="CB123" s="703">
        <f t="shared" ca="1" si="312"/>
        <v>-78396.008295814318</v>
      </c>
      <c r="CC123" s="703">
        <f t="shared" ca="1" si="312"/>
        <v>-78755.323333836786</v>
      </c>
      <c r="CD123" s="703">
        <f t="shared" ca="1" si="312"/>
        <v>-79116.285232450202</v>
      </c>
      <c r="CE123" s="703">
        <f t="shared" ca="1" si="312"/>
        <v>-79478.901539765604</v>
      </c>
      <c r="CF123" s="703">
        <f t="shared" ca="1" si="312"/>
        <v>-79843.179838489537</v>
      </c>
      <c r="CG123" s="703">
        <f t="shared" ca="1" si="312"/>
        <v>-80209.12774608261</v>
      </c>
      <c r="CH123" s="703">
        <f t="shared" ca="1" si="312"/>
        <v>-80576.752914918819</v>
      </c>
      <c r="CI123" s="703">
        <f t="shared" ca="1" si="312"/>
        <v>-80946.063032445541</v>
      </c>
      <c r="CJ123" s="703">
        <f t="shared" ca="1" si="312"/>
        <v>-81317.065821344251</v>
      </c>
      <c r="CK123" s="703">
        <f t="shared" ca="1" si="312"/>
        <v>-81689.769039692081</v>
      </c>
      <c r="CL123" s="703">
        <f t="shared" ca="1" si="312"/>
        <v>-82064.180481124</v>
      </c>
      <c r="CM123" s="703">
        <f t="shared" ca="1" si="312"/>
        <v>-82440.307974995812</v>
      </c>
      <c r="CN123" s="703">
        <f t="shared" ca="1" si="312"/>
        <v>-82818.159386547879</v>
      </c>
      <c r="CO123" s="703">
        <f t="shared" ca="1" si="312"/>
        <v>-83197.742617069554</v>
      </c>
      <c r="CP123" s="703">
        <f t="shared" ca="1" si="312"/>
        <v>-83579.065604064468</v>
      </c>
      <c r="CQ123" s="703">
        <f t="shared" ca="1" si="312"/>
        <v>-83962.13632141643</v>
      </c>
      <c r="CR123" s="703">
        <f t="shared" ca="1" si="312"/>
        <v>-84346.962779556241</v>
      </c>
      <c r="CS123" s="703">
        <f t="shared" ca="1" si="312"/>
        <v>-84733.553025629211</v>
      </c>
      <c r="CT123" s="703">
        <f t="shared" ca="1" si="312"/>
        <v>-85121.91514366334</v>
      </c>
      <c r="CU123" s="703">
        <f t="shared" ca="1" si="312"/>
        <v>-85512.057254738465</v>
      </c>
      <c r="CV123" s="703">
        <f t="shared" ca="1" si="312"/>
        <v>-85903.987517156012</v>
      </c>
      <c r="CW123" s="703">
        <f t="shared" ca="1" si="312"/>
        <v>-86297.714126609659</v>
      </c>
      <c r="CX123" s="703">
        <f t="shared" ca="1" si="312"/>
        <v>-86693.24531635661</v>
      </c>
      <c r="CY123" s="703">
        <f t="shared" ca="1" si="312"/>
        <v>-87090.589357389908</v>
      </c>
      <c r="CZ123" s="703">
        <f t="shared" ca="1" si="312"/>
        <v>-87489.754558611283</v>
      </c>
      <c r="DA123" s="703">
        <f t="shared" ca="1" si="312"/>
        <v>-87890.749267004911</v>
      </c>
      <c r="DB123" s="703">
        <f t="shared" ca="1" si="312"/>
        <v>-88293.581867812027</v>
      </c>
      <c r="DC123" s="703">
        <f t="shared" ca="1" si="312"/>
        <v>-88698.260784706159</v>
      </c>
      <c r="DD123" s="703">
        <f t="shared" ca="1" si="312"/>
        <v>-89104.794479969409</v>
      </c>
      <c r="DE123" s="703">
        <f t="shared" ca="1" si="312"/>
        <v>-89513.191454669257</v>
      </c>
      <c r="DF123" s="703">
        <f t="shared" ca="1" si="312"/>
        <v>-89923.460248836505</v>
      </c>
      <c r="DG123" s="703">
        <f t="shared" ca="1" si="312"/>
        <v>-90335.609441643654</v>
      </c>
      <c r="DH123" s="703">
        <f t="shared" ca="1" si="312"/>
        <v>-90749.647651584528</v>
      </c>
      <c r="DI123" s="703">
        <f t="shared" ref="DI123:EA123" ca="1" si="313">IF(DI121&gt;0,PPMT($F$127/12,DI$120,$F$123*12,$I$122,0),0)</f>
        <v>-91165.583536654289</v>
      </c>
      <c r="DJ123" s="703">
        <f t="shared" ca="1" si="313"/>
        <v>-91583.425794530616</v>
      </c>
      <c r="DK123" s="703">
        <f t="shared" ca="1" si="313"/>
        <v>-92003.183162755551</v>
      </c>
      <c r="DL123" s="703">
        <f t="shared" ca="1" si="313"/>
        <v>-92424.86441891818</v>
      </c>
      <c r="DM123" s="703">
        <f t="shared" ca="1" si="313"/>
        <v>-92848.47838083822</v>
      </c>
      <c r="DN123" s="703">
        <f t="shared" ca="1" si="313"/>
        <v>-93274.03390675041</v>
      </c>
      <c r="DO123" s="703">
        <f t="shared" ca="1" si="313"/>
        <v>-93701.539895489652</v>
      </c>
      <c r="DP123" s="703">
        <f t="shared" ca="1" si="313"/>
        <v>-94131.005286677333</v>
      </c>
      <c r="DQ123" s="703">
        <f t="shared" ca="1" si="313"/>
        <v>-94562.439060907927</v>
      </c>
      <c r="DR123" s="703">
        <f t="shared" ca="1" si="313"/>
        <v>-94995.850239937106</v>
      </c>
      <c r="DS123" s="703">
        <f t="shared" ca="1" si="313"/>
        <v>-95431.247886870129</v>
      </c>
      <c r="DT123" s="703">
        <f t="shared" ca="1" si="313"/>
        <v>-95868.641106351628</v>
      </c>
      <c r="DU123" s="703">
        <f t="shared" ca="1" si="313"/>
        <v>-96308.039044755758</v>
      </c>
      <c r="DV123" s="703">
        <f t="shared" ca="1" si="313"/>
        <v>-96749.450890377542</v>
      </c>
      <c r="DW123" s="703">
        <f t="shared" ca="1" si="313"/>
        <v>-97192.885873625113</v>
      </c>
      <c r="DX123" s="703">
        <f t="shared" ca="1" si="313"/>
        <v>-97638.353267212558</v>
      </c>
      <c r="DY123" s="703">
        <f t="shared" ca="1" si="313"/>
        <v>-98085.86238635394</v>
      </c>
      <c r="DZ123" s="703">
        <f t="shared" ca="1" si="313"/>
        <v>-98535.42258895807</v>
      </c>
      <c r="EA123" s="703">
        <f t="shared" ca="1" si="313"/>
        <v>-98987.043275824122</v>
      </c>
      <c r="EB123" s="389"/>
      <c r="EC123" s="392" t="s">
        <v>65</v>
      </c>
    </row>
    <row r="124" spans="1:133" s="390" customFormat="1">
      <c r="A124" s="389"/>
      <c r="B124" s="389"/>
      <c r="C124" s="389"/>
      <c r="D124" s="708" t="s">
        <v>82</v>
      </c>
      <c r="E124" s="389"/>
      <c r="F124" s="389"/>
      <c r="G124" s="389"/>
      <c r="H124" s="389"/>
      <c r="I124" s="795">
        <f t="shared" ca="1" si="309"/>
        <v>-33957332.267215736</v>
      </c>
      <c r="J124" s="389"/>
      <c r="K124" s="703">
        <f t="shared" ref="K124:AP124" si="314">-MIN(SUM(K121:K123),K62)</f>
        <v>0</v>
      </c>
      <c r="L124" s="703">
        <f t="shared" si="314"/>
        <v>0</v>
      </c>
      <c r="M124" s="703">
        <f t="shared" si="314"/>
        <v>0</v>
      </c>
      <c r="N124" s="703">
        <f t="shared" si="314"/>
        <v>0</v>
      </c>
      <c r="O124" s="703">
        <f t="shared" si="314"/>
        <v>0</v>
      </c>
      <c r="P124" s="703">
        <f t="shared" si="314"/>
        <v>0</v>
      </c>
      <c r="Q124" s="703">
        <f t="shared" si="314"/>
        <v>0</v>
      </c>
      <c r="R124" s="703">
        <f t="shared" si="314"/>
        <v>0</v>
      </c>
      <c r="S124" s="703">
        <f t="shared" si="314"/>
        <v>0</v>
      </c>
      <c r="T124" s="703">
        <f t="shared" si="314"/>
        <v>0</v>
      </c>
      <c r="U124" s="703">
        <f t="shared" si="314"/>
        <v>0</v>
      </c>
      <c r="V124" s="703">
        <f t="shared" si="314"/>
        <v>0</v>
      </c>
      <c r="W124" s="703">
        <f t="shared" si="314"/>
        <v>0</v>
      </c>
      <c r="X124" s="703">
        <f t="shared" si="314"/>
        <v>0</v>
      </c>
      <c r="Y124" s="703">
        <f t="shared" si="314"/>
        <v>0</v>
      </c>
      <c r="Z124" s="703">
        <f t="shared" si="314"/>
        <v>0</v>
      </c>
      <c r="AA124" s="703">
        <f t="shared" si="314"/>
        <v>0</v>
      </c>
      <c r="AB124" s="703">
        <f t="shared" si="314"/>
        <v>0</v>
      </c>
      <c r="AC124" s="703">
        <f t="shared" si="314"/>
        <v>0</v>
      </c>
      <c r="AD124" s="703">
        <f t="shared" si="314"/>
        <v>0</v>
      </c>
      <c r="AE124" s="703">
        <f t="shared" si="314"/>
        <v>0</v>
      </c>
      <c r="AF124" s="703">
        <f t="shared" si="314"/>
        <v>0</v>
      </c>
      <c r="AG124" s="703">
        <f t="shared" si="314"/>
        <v>0</v>
      </c>
      <c r="AH124" s="703">
        <f t="shared" si="314"/>
        <v>0</v>
      </c>
      <c r="AI124" s="703">
        <f t="shared" si="314"/>
        <v>0</v>
      </c>
      <c r="AJ124" s="703">
        <f t="shared" si="314"/>
        <v>0</v>
      </c>
      <c r="AK124" s="703">
        <f t="shared" ca="1" si="314"/>
        <v>0</v>
      </c>
      <c r="AL124" s="703">
        <f t="shared" ca="1" si="314"/>
        <v>0</v>
      </c>
      <c r="AM124" s="703">
        <f t="shared" ca="1" si="314"/>
        <v>0</v>
      </c>
      <c r="AN124" s="703">
        <f t="shared" ca="1" si="314"/>
        <v>0</v>
      </c>
      <c r="AO124" s="703">
        <f t="shared" ca="1" si="314"/>
        <v>0</v>
      </c>
      <c r="AP124" s="703">
        <f t="shared" ca="1" si="314"/>
        <v>0</v>
      </c>
      <c r="AQ124" s="703">
        <f t="shared" ref="AQ124:BV124" ca="1" si="315">-MIN(SUM(AQ121:AQ123),AQ62)</f>
        <v>0</v>
      </c>
      <c r="AR124" s="703">
        <f t="shared" ca="1" si="315"/>
        <v>0</v>
      </c>
      <c r="AS124" s="703">
        <f t="shared" ca="1" si="315"/>
        <v>0</v>
      </c>
      <c r="AT124" s="703">
        <f t="shared" ca="1" si="315"/>
        <v>0</v>
      </c>
      <c r="AU124" s="703">
        <f t="shared" ca="1" si="315"/>
        <v>0</v>
      </c>
      <c r="AV124" s="703">
        <f t="shared" ca="1" si="315"/>
        <v>0</v>
      </c>
      <c r="AW124" s="703">
        <f t="shared" ca="1" si="315"/>
        <v>0</v>
      </c>
      <c r="AX124" s="703">
        <f t="shared" ca="1" si="315"/>
        <v>0</v>
      </c>
      <c r="AY124" s="703">
        <f t="shared" ca="1" si="315"/>
        <v>0</v>
      </c>
      <c r="AZ124" s="703">
        <f t="shared" ca="1" si="315"/>
        <v>0</v>
      </c>
      <c r="BA124" s="703">
        <f t="shared" ca="1" si="315"/>
        <v>0</v>
      </c>
      <c r="BB124" s="703">
        <f t="shared" ca="1" si="315"/>
        <v>0</v>
      </c>
      <c r="BC124" s="703">
        <f t="shared" ca="1" si="315"/>
        <v>0</v>
      </c>
      <c r="BD124" s="703">
        <f t="shared" ca="1" si="315"/>
        <v>0</v>
      </c>
      <c r="BE124" s="703">
        <f t="shared" ca="1" si="315"/>
        <v>0</v>
      </c>
      <c r="BF124" s="703">
        <f t="shared" ca="1" si="315"/>
        <v>0</v>
      </c>
      <c r="BG124" s="703">
        <f t="shared" ca="1" si="315"/>
        <v>0</v>
      </c>
      <c r="BH124" s="703">
        <f t="shared" ca="1" si="315"/>
        <v>0</v>
      </c>
      <c r="BI124" s="703">
        <f t="shared" ca="1" si="315"/>
        <v>0</v>
      </c>
      <c r="BJ124" s="703">
        <f t="shared" ca="1" si="315"/>
        <v>0</v>
      </c>
      <c r="BK124" s="703">
        <f t="shared" ca="1" si="315"/>
        <v>0</v>
      </c>
      <c r="BL124" s="703">
        <f t="shared" ca="1" si="315"/>
        <v>0</v>
      </c>
      <c r="BM124" s="703">
        <f t="shared" ca="1" si="315"/>
        <v>0</v>
      </c>
      <c r="BN124" s="703">
        <f t="shared" ca="1" si="315"/>
        <v>0</v>
      </c>
      <c r="BO124" s="703">
        <f t="shared" ca="1" si="315"/>
        <v>0</v>
      </c>
      <c r="BP124" s="703">
        <f t="shared" ca="1" si="315"/>
        <v>0</v>
      </c>
      <c r="BQ124" s="703">
        <f t="shared" ca="1" si="315"/>
        <v>0</v>
      </c>
      <c r="BR124" s="703">
        <f t="shared" ca="1" si="315"/>
        <v>0</v>
      </c>
      <c r="BS124" s="703">
        <f t="shared" ca="1" si="315"/>
        <v>0</v>
      </c>
      <c r="BT124" s="703">
        <f t="shared" ca="1" si="315"/>
        <v>0</v>
      </c>
      <c r="BU124" s="703">
        <f t="shared" ca="1" si="315"/>
        <v>0</v>
      </c>
      <c r="BV124" s="703">
        <f t="shared" ca="1" si="315"/>
        <v>0</v>
      </c>
      <c r="BW124" s="703">
        <f t="shared" ref="BW124:DB124" ca="1" si="316">-MIN(SUM(BW121:BW123),BW62)</f>
        <v>0</v>
      </c>
      <c r="BX124" s="703">
        <f t="shared" ca="1" si="316"/>
        <v>0</v>
      </c>
      <c r="BY124" s="703">
        <f t="shared" ca="1" si="316"/>
        <v>0</v>
      </c>
      <c r="BZ124" s="703">
        <f t="shared" ca="1" si="316"/>
        <v>0</v>
      </c>
      <c r="CA124" s="703">
        <f t="shared" ca="1" si="316"/>
        <v>0</v>
      </c>
      <c r="CB124" s="703">
        <f t="shared" ca="1" si="316"/>
        <v>0</v>
      </c>
      <c r="CC124" s="703">
        <f t="shared" ca="1" si="316"/>
        <v>0</v>
      </c>
      <c r="CD124" s="703">
        <f t="shared" ca="1" si="316"/>
        <v>0</v>
      </c>
      <c r="CE124" s="703">
        <f t="shared" ca="1" si="316"/>
        <v>0</v>
      </c>
      <c r="CF124" s="703">
        <f t="shared" ca="1" si="316"/>
        <v>0</v>
      </c>
      <c r="CG124" s="703">
        <f t="shared" ca="1" si="316"/>
        <v>0</v>
      </c>
      <c r="CH124" s="703">
        <f t="shared" ca="1" si="316"/>
        <v>0</v>
      </c>
      <c r="CI124" s="703">
        <f t="shared" ca="1" si="316"/>
        <v>0</v>
      </c>
      <c r="CJ124" s="703">
        <f t="shared" ca="1" si="316"/>
        <v>0</v>
      </c>
      <c r="CK124" s="703">
        <f t="shared" ca="1" si="316"/>
        <v>0</v>
      </c>
      <c r="CL124" s="703">
        <f t="shared" ca="1" si="316"/>
        <v>0</v>
      </c>
      <c r="CM124" s="703">
        <f t="shared" ca="1" si="316"/>
        <v>0</v>
      </c>
      <c r="CN124" s="703">
        <f t="shared" ca="1" si="316"/>
        <v>0</v>
      </c>
      <c r="CO124" s="703">
        <f t="shared" ca="1" si="316"/>
        <v>0</v>
      </c>
      <c r="CP124" s="703">
        <f t="shared" ca="1" si="316"/>
        <v>0</v>
      </c>
      <c r="CQ124" s="703">
        <f t="shared" ca="1" si="316"/>
        <v>0</v>
      </c>
      <c r="CR124" s="703">
        <f t="shared" ca="1" si="316"/>
        <v>0</v>
      </c>
      <c r="CS124" s="703">
        <f t="shared" ca="1" si="316"/>
        <v>0</v>
      </c>
      <c r="CT124" s="703">
        <f t="shared" ca="1" si="316"/>
        <v>0</v>
      </c>
      <c r="CU124" s="703">
        <f t="shared" ca="1" si="316"/>
        <v>0</v>
      </c>
      <c r="CV124" s="703">
        <f t="shared" ca="1" si="316"/>
        <v>0</v>
      </c>
      <c r="CW124" s="703">
        <f t="shared" ca="1" si="316"/>
        <v>0</v>
      </c>
      <c r="CX124" s="703">
        <f t="shared" ca="1" si="316"/>
        <v>0</v>
      </c>
      <c r="CY124" s="703">
        <f t="shared" ca="1" si="316"/>
        <v>0</v>
      </c>
      <c r="CZ124" s="703">
        <f t="shared" ca="1" si="316"/>
        <v>0</v>
      </c>
      <c r="DA124" s="703">
        <f t="shared" ca="1" si="316"/>
        <v>0</v>
      </c>
      <c r="DB124" s="703">
        <f t="shared" ca="1" si="316"/>
        <v>0</v>
      </c>
      <c r="DC124" s="703">
        <f t="shared" ref="DC124:EA124" ca="1" si="317">-MIN(SUM(DC121:DC123),DC62)</f>
        <v>0</v>
      </c>
      <c r="DD124" s="703">
        <f t="shared" ca="1" si="317"/>
        <v>0</v>
      </c>
      <c r="DE124" s="703">
        <f t="shared" ca="1" si="317"/>
        <v>0</v>
      </c>
      <c r="DF124" s="703">
        <f t="shared" ca="1" si="317"/>
        <v>0</v>
      </c>
      <c r="DG124" s="703">
        <f t="shared" ca="1" si="317"/>
        <v>0</v>
      </c>
      <c r="DH124" s="703">
        <f t="shared" ca="1" si="317"/>
        <v>0</v>
      </c>
      <c r="DI124" s="703">
        <f t="shared" ca="1" si="317"/>
        <v>0</v>
      </c>
      <c r="DJ124" s="703">
        <f t="shared" ca="1" si="317"/>
        <v>0</v>
      </c>
      <c r="DK124" s="703">
        <f t="shared" ca="1" si="317"/>
        <v>0</v>
      </c>
      <c r="DL124" s="703">
        <f t="shared" ca="1" si="317"/>
        <v>0</v>
      </c>
      <c r="DM124" s="703">
        <f t="shared" ca="1" si="317"/>
        <v>0</v>
      </c>
      <c r="DN124" s="703">
        <f t="shared" ca="1" si="317"/>
        <v>0</v>
      </c>
      <c r="DO124" s="703">
        <f t="shared" ca="1" si="317"/>
        <v>0</v>
      </c>
      <c r="DP124" s="703">
        <f t="shared" ca="1" si="317"/>
        <v>0</v>
      </c>
      <c r="DQ124" s="703">
        <f t="shared" ca="1" si="317"/>
        <v>0</v>
      </c>
      <c r="DR124" s="703">
        <f t="shared" ca="1" si="317"/>
        <v>0</v>
      </c>
      <c r="DS124" s="703">
        <f t="shared" ca="1" si="317"/>
        <v>0</v>
      </c>
      <c r="DT124" s="703">
        <f t="shared" ca="1" si="317"/>
        <v>0</v>
      </c>
      <c r="DU124" s="703">
        <f t="shared" ca="1" si="317"/>
        <v>0</v>
      </c>
      <c r="DV124" s="703">
        <f t="shared" ca="1" si="317"/>
        <v>0</v>
      </c>
      <c r="DW124" s="703">
        <f t="shared" ca="1" si="317"/>
        <v>0</v>
      </c>
      <c r="DX124" s="703">
        <f t="shared" ca="1" si="317"/>
        <v>0</v>
      </c>
      <c r="DY124" s="703">
        <f t="shared" ca="1" si="317"/>
        <v>0</v>
      </c>
      <c r="DZ124" s="703">
        <f t="shared" ca="1" si="317"/>
        <v>0</v>
      </c>
      <c r="EA124" s="703">
        <f t="shared" ca="1" si="317"/>
        <v>-33957332.267215736</v>
      </c>
      <c r="EB124" s="389"/>
      <c r="EC124" s="392" t="s">
        <v>65</v>
      </c>
    </row>
    <row r="125" spans="1:133" s="390" customFormat="1" ht="15" customHeight="1">
      <c r="A125" s="389"/>
      <c r="B125" s="389"/>
      <c r="C125" s="389"/>
      <c r="D125" s="429" t="s">
        <v>134</v>
      </c>
      <c r="E125" s="411"/>
      <c r="F125" s="411"/>
      <c r="G125" s="411"/>
      <c r="H125" s="411"/>
      <c r="I125" s="797">
        <f t="shared" ref="I125:AU125" ca="1" si="318">SUM(I121:I124)</f>
        <v>0</v>
      </c>
      <c r="J125" s="389"/>
      <c r="K125" s="411">
        <f t="shared" ref="K125" si="319">SUM(K121:K124)</f>
        <v>0</v>
      </c>
      <c r="L125" s="411">
        <f t="shared" si="318"/>
        <v>0</v>
      </c>
      <c r="M125" s="411">
        <f t="shared" si="318"/>
        <v>0</v>
      </c>
      <c r="N125" s="411">
        <f t="shared" si="318"/>
        <v>0</v>
      </c>
      <c r="O125" s="411">
        <f t="shared" si="318"/>
        <v>0</v>
      </c>
      <c r="P125" s="411">
        <f t="shared" si="318"/>
        <v>0</v>
      </c>
      <c r="Q125" s="411">
        <f t="shared" si="318"/>
        <v>0</v>
      </c>
      <c r="R125" s="411">
        <f t="shared" si="318"/>
        <v>0</v>
      </c>
      <c r="S125" s="411">
        <f t="shared" si="318"/>
        <v>0</v>
      </c>
      <c r="T125" s="411">
        <f t="shared" si="318"/>
        <v>0</v>
      </c>
      <c r="U125" s="411">
        <f t="shared" si="318"/>
        <v>0</v>
      </c>
      <c r="V125" s="411">
        <f t="shared" si="318"/>
        <v>0</v>
      </c>
      <c r="W125" s="411">
        <f t="shared" si="318"/>
        <v>0</v>
      </c>
      <c r="X125" s="411">
        <f t="shared" si="318"/>
        <v>0</v>
      </c>
      <c r="Y125" s="411">
        <f t="shared" si="318"/>
        <v>0</v>
      </c>
      <c r="Z125" s="411">
        <f t="shared" si="318"/>
        <v>0</v>
      </c>
      <c r="AA125" s="411">
        <f t="shared" si="318"/>
        <v>0</v>
      </c>
      <c r="AB125" s="411">
        <f t="shared" si="318"/>
        <v>0</v>
      </c>
      <c r="AC125" s="411">
        <f t="shared" si="318"/>
        <v>0</v>
      </c>
      <c r="AD125" s="411">
        <f t="shared" si="318"/>
        <v>0</v>
      </c>
      <c r="AE125" s="411">
        <f t="shared" si="318"/>
        <v>0</v>
      </c>
      <c r="AF125" s="411">
        <f t="shared" si="318"/>
        <v>0</v>
      </c>
      <c r="AG125" s="411">
        <f t="shared" si="318"/>
        <v>0</v>
      </c>
      <c r="AH125" s="411">
        <f t="shared" si="318"/>
        <v>0</v>
      </c>
      <c r="AI125" s="411">
        <f t="shared" si="318"/>
        <v>0</v>
      </c>
      <c r="AJ125" s="411">
        <f t="shared" si="318"/>
        <v>0</v>
      </c>
      <c r="AK125" s="411">
        <f t="shared" ca="1" si="318"/>
        <v>41537811.792025082</v>
      </c>
      <c r="AL125" s="411">
        <f t="shared" ca="1" si="318"/>
        <v>41473114.922622956</v>
      </c>
      <c r="AM125" s="411">
        <f t="shared" ca="1" si="318"/>
        <v>41408121.525902733</v>
      </c>
      <c r="AN125" s="411">
        <f t="shared" ca="1" si="318"/>
        <v>41342830.242780879</v>
      </c>
      <c r="AO125" s="411">
        <f t="shared" ca="1" si="318"/>
        <v>41277239.707944714</v>
      </c>
      <c r="AP125" s="411">
        <f t="shared" ca="1" si="318"/>
        <v>41211348.54982388</v>
      </c>
      <c r="AQ125" s="411">
        <f t="shared" ca="1" si="318"/>
        <v>41145155.390561663</v>
      </c>
      <c r="AR125" s="411">
        <f t="shared" ca="1" si="318"/>
        <v>41078658.845986158</v>
      </c>
      <c r="AS125" s="411">
        <f t="shared" ca="1" si="318"/>
        <v>41011857.525581352</v>
      </c>
      <c r="AT125" s="411">
        <f t="shared" ca="1" si="318"/>
        <v>40944750.032458022</v>
      </c>
      <c r="AU125" s="411">
        <f t="shared" ca="1" si="318"/>
        <v>40877334.963324547</v>
      </c>
      <c r="AV125" s="411">
        <f t="shared" ref="AV125:DC125" ca="1" si="320">SUM(AV121:AV124)</f>
        <v>40809610.90845754</v>
      </c>
      <c r="AW125" s="411">
        <f t="shared" ca="1" si="320"/>
        <v>40741576.45167239</v>
      </c>
      <c r="AX125" s="411">
        <f t="shared" ca="1" si="320"/>
        <v>40673230.170293644</v>
      </c>
      <c r="AY125" s="411">
        <f t="shared" ca="1" si="320"/>
        <v>40604570.63512525</v>
      </c>
      <c r="AZ125" s="411">
        <f t="shared" ca="1" si="320"/>
        <v>40535596.410420664</v>
      </c>
      <c r="BA125" s="411">
        <f t="shared" ca="1" si="320"/>
        <v>40466306.053852849</v>
      </c>
      <c r="BB125" s="411">
        <f t="shared" ca="1" si="320"/>
        <v>40396698.116484098</v>
      </c>
      <c r="BC125" s="411">
        <f t="shared" ca="1" si="320"/>
        <v>40326771.142735742</v>
      </c>
      <c r="BD125" s="411">
        <f t="shared" ca="1" si="320"/>
        <v>40256523.670357704</v>
      </c>
      <c r="BE125" s="411">
        <f t="shared" ca="1" si="320"/>
        <v>40185954.230397932</v>
      </c>
      <c r="BF125" s="411">
        <f t="shared" ca="1" si="320"/>
        <v>40115061.347171679</v>
      </c>
      <c r="BG125" s="411">
        <f t="shared" ca="1" si="320"/>
        <v>40043843.538230643</v>
      </c>
      <c r="BH125" s="411">
        <f t="shared" ca="1" si="320"/>
        <v>39972299.314331956</v>
      </c>
      <c r="BI125" s="411">
        <f t="shared" ca="1" si="320"/>
        <v>39900427.179407068</v>
      </c>
      <c r="BJ125" s="411">
        <f t="shared" ca="1" si="320"/>
        <v>39828225.630530439</v>
      </c>
      <c r="BK125" s="411">
        <f t="shared" ca="1" si="320"/>
        <v>39755693.157888129</v>
      </c>
      <c r="BL125" s="411">
        <f t="shared" ca="1" si="320"/>
        <v>39682828.244746208</v>
      </c>
      <c r="BM125" s="411">
        <f t="shared" ca="1" si="320"/>
        <v>39609629.367419049</v>
      </c>
      <c r="BN125" s="411">
        <f t="shared" ca="1" si="320"/>
        <v>39536094.995237477</v>
      </c>
      <c r="BO125" s="411">
        <f t="shared" ca="1" si="320"/>
        <v>39462223.590516739</v>
      </c>
      <c r="BP125" s="411">
        <f t="shared" ca="1" si="320"/>
        <v>39388013.60852436</v>
      </c>
      <c r="BQ125" s="411">
        <f t="shared" ca="1" si="320"/>
        <v>39313463.497447856</v>
      </c>
      <c r="BR125" s="411">
        <f t="shared" ca="1" si="320"/>
        <v>39238571.698362246</v>
      </c>
      <c r="BS125" s="411">
        <f t="shared" ca="1" si="320"/>
        <v>39163336.645197496</v>
      </c>
      <c r="BT125" s="411">
        <f t="shared" ca="1" si="320"/>
        <v>39087756.76470574</v>
      </c>
      <c r="BU125" s="411">
        <f t="shared" ca="1" si="320"/>
        <v>39011830.476428397</v>
      </c>
      <c r="BV125" s="411">
        <f t="shared" ca="1" si="320"/>
        <v>38935556.192663118</v>
      </c>
      <c r="BW125" s="411">
        <f t="shared" ca="1" si="320"/>
        <v>38858932.31843058</v>
      </c>
      <c r="BX125" s="411">
        <f t="shared" ca="1" si="320"/>
        <v>38781957.251441143</v>
      </c>
      <c r="BY125" s="411">
        <f t="shared" ca="1" si="320"/>
        <v>38704629.38206134</v>
      </c>
      <c r="BZ125" s="411">
        <f t="shared" ca="1" si="320"/>
        <v>38626947.093280211</v>
      </c>
      <c r="CA125" s="411">
        <f t="shared" ca="1" si="320"/>
        <v>38548908.760675505</v>
      </c>
      <c r="CB125" s="411">
        <f t="shared" ca="1" si="320"/>
        <v>38470512.752379693</v>
      </c>
      <c r="CC125" s="411">
        <f t="shared" ca="1" si="320"/>
        <v>38391757.429045856</v>
      </c>
      <c r="CD125" s="411">
        <f t="shared" ca="1" si="320"/>
        <v>38312641.143813409</v>
      </c>
      <c r="CE125" s="411">
        <f t="shared" ca="1" si="320"/>
        <v>38233162.242273644</v>
      </c>
      <c r="CF125" s="411">
        <f t="shared" ca="1" si="320"/>
        <v>38153319.062435158</v>
      </c>
      <c r="CG125" s="411">
        <f t="shared" ca="1" si="320"/>
        <v>38073109.934689075</v>
      </c>
      <c r="CH125" s="411">
        <f t="shared" ca="1" si="320"/>
        <v>37992533.181774154</v>
      </c>
      <c r="CI125" s="411">
        <f t="shared" ca="1" si="320"/>
        <v>37911587.118741706</v>
      </c>
      <c r="CJ125" s="411">
        <f t="shared" ca="1" si="320"/>
        <v>37830270.052920364</v>
      </c>
      <c r="CK125" s="411">
        <f t="shared" ca="1" si="320"/>
        <v>37748580.283880673</v>
      </c>
      <c r="CL125" s="411">
        <f t="shared" ca="1" si="320"/>
        <v>37666516.103399552</v>
      </c>
      <c r="CM125" s="411">
        <f t="shared" ca="1" si="320"/>
        <v>37584075.795424558</v>
      </c>
      <c r="CN125" s="411">
        <f t="shared" ca="1" si="320"/>
        <v>37501257.636038013</v>
      </c>
      <c r="CO125" s="411">
        <f t="shared" ca="1" si="320"/>
        <v>37418059.893420942</v>
      </c>
      <c r="CP125" s="411">
        <f t="shared" ca="1" si="320"/>
        <v>37334480.827816881</v>
      </c>
      <c r="CQ125" s="411">
        <f t="shared" ca="1" si="320"/>
        <v>37250518.691495463</v>
      </c>
      <c r="CR125" s="411">
        <f t="shared" ca="1" si="320"/>
        <v>37166171.728715904</v>
      </c>
      <c r="CS125" s="411">
        <f t="shared" ca="1" si="320"/>
        <v>37081438.175690278</v>
      </c>
      <c r="CT125" s="411">
        <f t="shared" ca="1" si="320"/>
        <v>36996316.260546617</v>
      </c>
      <c r="CU125" s="411">
        <f t="shared" ca="1" si="320"/>
        <v>36910804.203291878</v>
      </c>
      <c r="CV125" s="411">
        <f t="shared" ca="1" si="320"/>
        <v>36824900.215774722</v>
      </c>
      <c r="CW125" s="411">
        <f t="shared" ca="1" si="320"/>
        <v>36738602.501648113</v>
      </c>
      <c r="CX125" s="411">
        <f t="shared" ca="1" si="320"/>
        <v>36651909.256331757</v>
      </c>
      <c r="CY125" s="411">
        <f t="shared" ca="1" si="320"/>
        <v>36564818.666974366</v>
      </c>
      <c r="CZ125" s="411">
        <f t="shared" ca="1" si="320"/>
        <v>36477328.912415758</v>
      </c>
      <c r="DA125" s="411">
        <f t="shared" ca="1" si="320"/>
        <v>36389438.163148753</v>
      </c>
      <c r="DB125" s="411">
        <f t="shared" ca="1" si="320"/>
        <v>36301144.581280939</v>
      </c>
      <c r="DC125" s="411">
        <f t="shared" ca="1" si="320"/>
        <v>36212446.320496231</v>
      </c>
      <c r="DD125" s="411">
        <f t="shared" ref="DD125:EA125" ca="1" si="321">SUM(DD121:DD124)</f>
        <v>36123341.526016265</v>
      </c>
      <c r="DE125" s="411">
        <f t="shared" ca="1" si="321"/>
        <v>36033828.334561594</v>
      </c>
      <c r="DF125" s="411">
        <f t="shared" ca="1" si="321"/>
        <v>35943904.874312758</v>
      </c>
      <c r="DG125" s="411">
        <f t="shared" ca="1" si="321"/>
        <v>35853569.264871113</v>
      </c>
      <c r="DH125" s="411">
        <f t="shared" ca="1" si="321"/>
        <v>35762819.61721953</v>
      </c>
      <c r="DI125" s="411">
        <f t="shared" ca="1" si="321"/>
        <v>35671654.033682875</v>
      </c>
      <c r="DJ125" s="411">
        <f t="shared" ca="1" si="321"/>
        <v>35580070.607888348</v>
      </c>
      <c r="DK125" s="411">
        <f t="shared" ca="1" si="321"/>
        <v>35488067.424725592</v>
      </c>
      <c r="DL125" s="411">
        <f t="shared" ca="1" si="321"/>
        <v>35395642.560306676</v>
      </c>
      <c r="DM125" s="411">
        <f t="shared" ca="1" si="321"/>
        <v>35302794.081925839</v>
      </c>
      <c r="DN125" s="411">
        <f t="shared" ca="1" si="321"/>
        <v>35209520.048019089</v>
      </c>
      <c r="DO125" s="411">
        <f t="shared" ca="1" si="321"/>
        <v>35115818.508123599</v>
      </c>
      <c r="DP125" s="411">
        <f t="shared" ca="1" si="321"/>
        <v>35021687.50283692</v>
      </c>
      <c r="DQ125" s="411">
        <f t="shared" ca="1" si="321"/>
        <v>34927125.063776009</v>
      </c>
      <c r="DR125" s="411">
        <f t="shared" ca="1" si="321"/>
        <v>34832129.213536069</v>
      </c>
      <c r="DS125" s="411">
        <f t="shared" ca="1" si="321"/>
        <v>34736697.965649195</v>
      </c>
      <c r="DT125" s="411">
        <f t="shared" ca="1" si="321"/>
        <v>34640829.324542843</v>
      </c>
      <c r="DU125" s="411">
        <f t="shared" ca="1" si="321"/>
        <v>34544521.28549809</v>
      </c>
      <c r="DV125" s="411">
        <f t="shared" ca="1" si="321"/>
        <v>34447771.834607713</v>
      </c>
      <c r="DW125" s="411">
        <f t="shared" ca="1" si="321"/>
        <v>34350578.94873409</v>
      </c>
      <c r="DX125" s="411">
        <f t="shared" ca="1" si="321"/>
        <v>34252940.595466875</v>
      </c>
      <c r="DY125" s="411">
        <f t="shared" ca="1" si="321"/>
        <v>34154854.733080521</v>
      </c>
      <c r="DZ125" s="411">
        <f t="shared" ca="1" si="321"/>
        <v>34056319.310491562</v>
      </c>
      <c r="EA125" s="411">
        <f t="shared" ca="1" si="321"/>
        <v>0</v>
      </c>
      <c r="EB125" s="389"/>
      <c r="EC125" s="392" t="s">
        <v>65</v>
      </c>
    </row>
    <row r="126" spans="1:133" s="390" customFormat="1">
      <c r="A126" s="389"/>
      <c r="B126" s="389"/>
      <c r="C126" s="389"/>
      <c r="E126" s="389"/>
      <c r="F126" s="389"/>
      <c r="G126" s="389"/>
      <c r="H126" s="389"/>
      <c r="I126" s="795"/>
      <c r="J126" s="389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703"/>
      <c r="AB126" s="703"/>
      <c r="AC126" s="703"/>
      <c r="AD126" s="703"/>
      <c r="AE126" s="703"/>
      <c r="AF126" s="703"/>
      <c r="AG126" s="703"/>
      <c r="AH126" s="703"/>
      <c r="AI126" s="703"/>
      <c r="AJ126" s="703"/>
      <c r="AK126" s="703"/>
      <c r="AL126" s="703"/>
      <c r="AM126" s="703"/>
      <c r="AN126" s="703"/>
      <c r="AO126" s="703"/>
      <c r="AP126" s="703"/>
      <c r="AQ126" s="703"/>
      <c r="AR126" s="703"/>
      <c r="AS126" s="703"/>
      <c r="AT126" s="703"/>
      <c r="AU126" s="703"/>
      <c r="AV126" s="703"/>
      <c r="AW126" s="703"/>
      <c r="AX126" s="703"/>
      <c r="AY126" s="703"/>
      <c r="AZ126" s="703"/>
      <c r="BA126" s="703"/>
      <c r="BB126" s="703"/>
      <c r="BC126" s="703"/>
      <c r="BD126" s="703"/>
      <c r="BE126" s="703"/>
      <c r="BF126" s="703"/>
      <c r="BG126" s="703"/>
      <c r="BH126" s="703"/>
      <c r="BI126" s="703"/>
      <c r="BJ126" s="703"/>
      <c r="BK126" s="703"/>
      <c r="BL126" s="703"/>
      <c r="BM126" s="703"/>
      <c r="BN126" s="703"/>
      <c r="BO126" s="703"/>
      <c r="BP126" s="703"/>
      <c r="BQ126" s="703"/>
      <c r="BR126" s="703"/>
      <c r="BS126" s="703"/>
      <c r="BT126" s="703"/>
      <c r="BU126" s="703"/>
      <c r="BV126" s="703"/>
      <c r="BW126" s="703"/>
      <c r="BX126" s="703"/>
      <c r="BY126" s="703"/>
      <c r="BZ126" s="703"/>
      <c r="CA126" s="703"/>
      <c r="CB126" s="703"/>
      <c r="CC126" s="703"/>
      <c r="CD126" s="703"/>
      <c r="CE126" s="703"/>
      <c r="CF126" s="703"/>
      <c r="CG126" s="703"/>
      <c r="CH126" s="703"/>
      <c r="CI126" s="703"/>
      <c r="CJ126" s="703"/>
      <c r="CK126" s="703"/>
      <c r="CL126" s="703"/>
      <c r="CM126" s="703"/>
      <c r="CN126" s="703"/>
      <c r="CO126" s="703"/>
      <c r="CP126" s="703"/>
      <c r="CQ126" s="703"/>
      <c r="CR126" s="703"/>
      <c r="CS126" s="703"/>
      <c r="CT126" s="703"/>
      <c r="CU126" s="703"/>
      <c r="CV126" s="703"/>
      <c r="CW126" s="703"/>
      <c r="CX126" s="703"/>
      <c r="CY126" s="703"/>
      <c r="CZ126" s="703"/>
      <c r="DA126" s="703"/>
      <c r="DB126" s="703"/>
      <c r="DC126" s="703"/>
      <c r="DD126" s="703"/>
      <c r="DE126" s="703"/>
      <c r="DF126" s="703"/>
      <c r="DG126" s="703"/>
      <c r="DH126" s="703"/>
      <c r="DI126" s="703"/>
      <c r="DJ126" s="703"/>
      <c r="DK126" s="703"/>
      <c r="DL126" s="703"/>
      <c r="DM126" s="703"/>
      <c r="DN126" s="703"/>
      <c r="DO126" s="703"/>
      <c r="DP126" s="703"/>
      <c r="DQ126" s="703"/>
      <c r="DR126" s="703"/>
      <c r="DS126" s="703"/>
      <c r="DT126" s="703"/>
      <c r="DU126" s="703"/>
      <c r="DV126" s="703"/>
      <c r="DW126" s="703"/>
      <c r="DX126" s="703"/>
      <c r="DY126" s="703"/>
      <c r="DZ126" s="703"/>
      <c r="EA126" s="703"/>
      <c r="EB126" s="389"/>
      <c r="EC126" s="392" t="s">
        <v>65</v>
      </c>
    </row>
    <row r="127" spans="1:133" s="390" customFormat="1">
      <c r="A127" s="389"/>
      <c r="B127" s="389"/>
      <c r="C127" s="389"/>
      <c r="D127" s="707" t="s">
        <v>80</v>
      </c>
      <c r="E127" s="389"/>
      <c r="F127" s="785">
        <f>Assumptions!$E$68</f>
        <v>5.5E-2</v>
      </c>
      <c r="G127" s="389"/>
      <c r="H127" s="389"/>
      <c r="I127" s="795">
        <f t="shared" ref="I127" ca="1" si="322">SUM(K127:EA127)</f>
        <v>-16396900.112721523</v>
      </c>
      <c r="J127" s="389"/>
      <c r="K127" s="703">
        <f t="shared" ref="K127:AU127" si="323">IF(K121&gt;0,IPMT($F$127/12,K$120,$F$123*12,$I$122,0),0)</f>
        <v>0</v>
      </c>
      <c r="L127" s="703">
        <f t="shared" si="323"/>
        <v>0</v>
      </c>
      <c r="M127" s="703">
        <f t="shared" si="323"/>
        <v>0</v>
      </c>
      <c r="N127" s="703">
        <f t="shared" si="323"/>
        <v>0</v>
      </c>
      <c r="O127" s="703">
        <f t="shared" si="323"/>
        <v>0</v>
      </c>
      <c r="P127" s="703">
        <f t="shared" si="323"/>
        <v>0</v>
      </c>
      <c r="Q127" s="703">
        <f t="shared" si="323"/>
        <v>0</v>
      </c>
      <c r="R127" s="703">
        <f t="shared" si="323"/>
        <v>0</v>
      </c>
      <c r="S127" s="703">
        <f t="shared" si="323"/>
        <v>0</v>
      </c>
      <c r="T127" s="703">
        <f t="shared" si="323"/>
        <v>0</v>
      </c>
      <c r="U127" s="703">
        <f t="shared" si="323"/>
        <v>0</v>
      </c>
      <c r="V127" s="703">
        <f t="shared" si="323"/>
        <v>0</v>
      </c>
      <c r="W127" s="703">
        <f t="shared" si="323"/>
        <v>0</v>
      </c>
      <c r="X127" s="703">
        <f t="shared" si="323"/>
        <v>0</v>
      </c>
      <c r="Y127" s="703">
        <f t="shared" si="323"/>
        <v>0</v>
      </c>
      <c r="Z127" s="703">
        <f t="shared" si="323"/>
        <v>0</v>
      </c>
      <c r="AA127" s="703">
        <f t="shared" si="323"/>
        <v>0</v>
      </c>
      <c r="AB127" s="703">
        <f t="shared" si="323"/>
        <v>0</v>
      </c>
      <c r="AC127" s="703">
        <f t="shared" si="323"/>
        <v>0</v>
      </c>
      <c r="AD127" s="703">
        <f t="shared" si="323"/>
        <v>0</v>
      </c>
      <c r="AE127" s="703">
        <f t="shared" si="323"/>
        <v>0</v>
      </c>
      <c r="AF127" s="703">
        <f t="shared" si="323"/>
        <v>0</v>
      </c>
      <c r="AG127" s="703">
        <f t="shared" si="323"/>
        <v>0</v>
      </c>
      <c r="AH127" s="703">
        <f t="shared" si="323"/>
        <v>0</v>
      </c>
      <c r="AI127" s="703">
        <f t="shared" si="323"/>
        <v>0</v>
      </c>
      <c r="AJ127" s="703">
        <f t="shared" si="323"/>
        <v>0</v>
      </c>
      <c r="AK127" s="703">
        <f t="shared" si="323"/>
        <v>0</v>
      </c>
      <c r="AL127" s="703">
        <f t="shared" ca="1" si="323"/>
        <v>-190381.63738011496</v>
      </c>
      <c r="AM127" s="703">
        <f t="shared" ca="1" si="323"/>
        <v>-190085.11006202188</v>
      </c>
      <c r="AN127" s="703">
        <f t="shared" ca="1" si="323"/>
        <v>-189787.22366038754</v>
      </c>
      <c r="AO127" s="703">
        <f t="shared" ca="1" si="323"/>
        <v>-189487.97194607902</v>
      </c>
      <c r="AP127" s="703">
        <f t="shared" ca="1" si="323"/>
        <v>-189187.34866141327</v>
      </c>
      <c r="AQ127" s="703">
        <f t="shared" ca="1" si="323"/>
        <v>-188885.34752002615</v>
      </c>
      <c r="AR127" s="703">
        <f t="shared" ca="1" si="323"/>
        <v>-188581.96220674098</v>
      </c>
      <c r="AS127" s="703">
        <f t="shared" ca="1" si="323"/>
        <v>-188277.18637743659</v>
      </c>
      <c r="AT127" s="703">
        <f t="shared" ca="1" si="323"/>
        <v>-187971.01365891454</v>
      </c>
      <c r="AU127" s="703">
        <f t="shared" ca="1" si="323"/>
        <v>-187663.43764876595</v>
      </c>
      <c r="AV127" s="703">
        <f ca="1">IF(AV121&gt;0,IPMT($F$127/12,AV$120,$F$123*12,$I$122,0),0)</f>
        <v>-187354.4519152375</v>
      </c>
      <c r="AW127" s="703">
        <f ca="1">IF(AW121&gt;0,IPMT($F$127/12,AW$120,$F$123*12,$I$122,0),0)</f>
        <v>-187044.04999709706</v>
      </c>
      <c r="AX127" s="703">
        <f t="shared" ref="AX127:DI127" ca="1" si="324">IF(AX121&gt;0,IPMT($F$127/12,AX$120,$F$123*12,$I$122,0),0)</f>
        <v>-186732.22540349848</v>
      </c>
      <c r="AY127" s="703">
        <f t="shared" ca="1" si="324"/>
        <v>-186418.9716138459</v>
      </c>
      <c r="AZ127" s="703">
        <f t="shared" ca="1" si="324"/>
        <v>-186104.28207765744</v>
      </c>
      <c r="BA127" s="703">
        <f t="shared" ca="1" si="324"/>
        <v>-185788.15021442805</v>
      </c>
      <c r="BB127" s="703">
        <f t="shared" ca="1" si="324"/>
        <v>-185470.56941349225</v>
      </c>
      <c r="BC127" s="703">
        <f t="shared" ca="1" si="324"/>
        <v>-185151.53303388544</v>
      </c>
      <c r="BD127" s="703">
        <f t="shared" ca="1" si="324"/>
        <v>-184831.03440420551</v>
      </c>
      <c r="BE127" s="703">
        <f t="shared" ca="1" si="324"/>
        <v>-184509.06682247281</v>
      </c>
      <c r="BF127" s="703">
        <f t="shared" ca="1" si="324"/>
        <v>-184185.62355599052</v>
      </c>
      <c r="BG127" s="703">
        <f t="shared" ca="1" si="324"/>
        <v>-183860.69784120354</v>
      </c>
      <c r="BH127" s="703">
        <f t="shared" ca="1" si="324"/>
        <v>-183534.28288355711</v>
      </c>
      <c r="BI127" s="703">
        <f t="shared" ca="1" si="324"/>
        <v>-183206.37185735477</v>
      </c>
      <c r="BJ127" s="703">
        <f t="shared" ca="1" si="324"/>
        <v>-182876.95790561568</v>
      </c>
      <c r="BK127" s="703">
        <f t="shared" ca="1" si="324"/>
        <v>-182546.03413993114</v>
      </c>
      <c r="BL127" s="703">
        <f t="shared" ca="1" si="324"/>
        <v>-182213.59364032056</v>
      </c>
      <c r="BM127" s="703">
        <f t="shared" ca="1" si="324"/>
        <v>-181879.62945508675</v>
      </c>
      <c r="BN127" s="703">
        <f t="shared" ca="1" si="324"/>
        <v>-181544.1346006706</v>
      </c>
      <c r="BO127" s="703">
        <f t="shared" ca="1" si="324"/>
        <v>-181207.10206150508</v>
      </c>
      <c r="BP127" s="703">
        <f t="shared" ca="1" si="324"/>
        <v>-180868.52478986836</v>
      </c>
      <c r="BQ127" s="703">
        <f t="shared" ca="1" si="324"/>
        <v>-180528.39570573662</v>
      </c>
      <c r="BR127" s="703">
        <f t="shared" ca="1" si="324"/>
        <v>-180186.70769663597</v>
      </c>
      <c r="BS127" s="703">
        <f t="shared" ca="1" si="324"/>
        <v>-179843.45361749362</v>
      </c>
      <c r="BT127" s="703">
        <f t="shared" ca="1" si="324"/>
        <v>-179498.62629048852</v>
      </c>
      <c r="BU127" s="703">
        <f t="shared" ca="1" si="324"/>
        <v>-179152.21850490128</v>
      </c>
      <c r="BV127" s="703">
        <f t="shared" ca="1" si="324"/>
        <v>-178804.22301696346</v>
      </c>
      <c r="BW127" s="703">
        <f t="shared" ca="1" si="324"/>
        <v>-178454.63254970597</v>
      </c>
      <c r="BX127" s="703">
        <f t="shared" ca="1" si="324"/>
        <v>-178103.43979280684</v>
      </c>
      <c r="BY127" s="703">
        <f t="shared" ca="1" si="324"/>
        <v>-177750.63740243853</v>
      </c>
      <c r="BZ127" s="703">
        <f t="shared" ca="1" si="324"/>
        <v>-177396.21800111444</v>
      </c>
      <c r="CA127" s="703">
        <f t="shared" ca="1" si="324"/>
        <v>-177040.17417753427</v>
      </c>
      <c r="CB127" s="703">
        <f t="shared" ca="1" si="324"/>
        <v>-176682.49848642937</v>
      </c>
      <c r="CC127" s="703">
        <f t="shared" ca="1" si="324"/>
        <v>-176323.1834484069</v>
      </c>
      <c r="CD127" s="703">
        <f t="shared" ca="1" si="324"/>
        <v>-175962.22154979344</v>
      </c>
      <c r="CE127" s="703">
        <f t="shared" ca="1" si="324"/>
        <v>-175599.60524247805</v>
      </c>
      <c r="CF127" s="703">
        <f t="shared" ca="1" si="324"/>
        <v>-175235.32694375413</v>
      </c>
      <c r="CG127" s="703">
        <f t="shared" ca="1" si="324"/>
        <v>-174869.37903616103</v>
      </c>
      <c r="CH127" s="703">
        <f t="shared" ca="1" si="324"/>
        <v>-174501.75386732482</v>
      </c>
      <c r="CI127" s="703">
        <f t="shared" ca="1" si="324"/>
        <v>-174132.44374979814</v>
      </c>
      <c r="CJ127" s="703">
        <f t="shared" ca="1" si="324"/>
        <v>-173761.44096089946</v>
      </c>
      <c r="CK127" s="703">
        <f t="shared" ca="1" si="324"/>
        <v>-173388.7377425516</v>
      </c>
      <c r="CL127" s="703">
        <f t="shared" ca="1" si="324"/>
        <v>-173014.3263011197</v>
      </c>
      <c r="CM127" s="703">
        <f t="shared" ca="1" si="324"/>
        <v>-172638.19880724786</v>
      </c>
      <c r="CN127" s="703">
        <f t="shared" ca="1" si="324"/>
        <v>-172260.3473956958</v>
      </c>
      <c r="CO127" s="703">
        <f t="shared" ca="1" si="324"/>
        <v>-171880.7641651741</v>
      </c>
      <c r="CP127" s="703">
        <f t="shared" ca="1" si="324"/>
        <v>-171499.44117817923</v>
      </c>
      <c r="CQ127" s="703">
        <f t="shared" ca="1" si="324"/>
        <v>-171116.37046082722</v>
      </c>
      <c r="CR127" s="703">
        <f t="shared" ca="1" si="324"/>
        <v>-170731.54400268744</v>
      </c>
      <c r="CS127" s="703">
        <f t="shared" ca="1" si="324"/>
        <v>-170344.95375661447</v>
      </c>
      <c r="CT127" s="703">
        <f t="shared" ca="1" si="324"/>
        <v>-169956.59163858034</v>
      </c>
      <c r="CU127" s="703">
        <f t="shared" ca="1" si="324"/>
        <v>-169566.4495275052</v>
      </c>
      <c r="CV127" s="703">
        <f t="shared" ca="1" si="324"/>
        <v>-169174.51926508764</v>
      </c>
      <c r="CW127" s="703">
        <f t="shared" ca="1" si="324"/>
        <v>-168780.792655634</v>
      </c>
      <c r="CX127" s="703">
        <f t="shared" ca="1" si="324"/>
        <v>-168385.26146588704</v>
      </c>
      <c r="CY127" s="703">
        <f t="shared" ca="1" si="324"/>
        <v>-167987.91742485377</v>
      </c>
      <c r="CZ127" s="703">
        <f t="shared" ca="1" si="324"/>
        <v>-167588.75222363239</v>
      </c>
      <c r="DA127" s="703">
        <f t="shared" ca="1" si="324"/>
        <v>-167187.75751523874</v>
      </c>
      <c r="DB127" s="703">
        <f t="shared" ca="1" si="324"/>
        <v>-166784.92491443164</v>
      </c>
      <c r="DC127" s="703">
        <f t="shared" ca="1" si="324"/>
        <v>-166380.24599753751</v>
      </c>
      <c r="DD127" s="703">
        <f t="shared" ca="1" si="324"/>
        <v>-165973.71230227425</v>
      </c>
      <c r="DE127" s="703">
        <f t="shared" ca="1" si="324"/>
        <v>-165565.31532757441</v>
      </c>
      <c r="DF127" s="703">
        <f t="shared" ca="1" si="324"/>
        <v>-165155.04653340718</v>
      </c>
      <c r="DG127" s="703">
        <f t="shared" ca="1" si="324"/>
        <v>-164742.8973406</v>
      </c>
      <c r="DH127" s="703">
        <f t="shared" ca="1" si="324"/>
        <v>-164328.85913065914</v>
      </c>
      <c r="DI127" s="703">
        <f t="shared" ca="1" si="324"/>
        <v>-163912.92324558937</v>
      </c>
      <c r="DJ127" s="703">
        <f t="shared" ref="DJ127:EA127" ca="1" si="325">IF(DJ121&gt;0,IPMT($F$127/12,DJ$120,$F$123*12,$I$122,0),0)</f>
        <v>-163495.08098771304</v>
      </c>
      <c r="DK127" s="703">
        <f t="shared" ca="1" si="325"/>
        <v>-163075.3236194881</v>
      </c>
      <c r="DL127" s="703">
        <f t="shared" ca="1" si="325"/>
        <v>-162653.64236332546</v>
      </c>
      <c r="DM127" s="703">
        <f t="shared" ca="1" si="325"/>
        <v>-162230.02840140546</v>
      </c>
      <c r="DN127" s="703">
        <f t="shared" ca="1" si="325"/>
        <v>-161804.47287549326</v>
      </c>
      <c r="DO127" s="703">
        <f t="shared" ca="1" si="325"/>
        <v>-161376.96688675397</v>
      </c>
      <c r="DP127" s="703">
        <f t="shared" ca="1" si="325"/>
        <v>-160947.50149556636</v>
      </c>
      <c r="DQ127" s="703">
        <f t="shared" ca="1" si="325"/>
        <v>-160516.06772133571</v>
      </c>
      <c r="DR127" s="703">
        <f t="shared" ca="1" si="325"/>
        <v>-160082.65654230653</v>
      </c>
      <c r="DS127" s="703">
        <f t="shared" ca="1" si="325"/>
        <v>-159647.25889537352</v>
      </c>
      <c r="DT127" s="703">
        <f t="shared" ca="1" si="325"/>
        <v>-159209.86567589201</v>
      </c>
      <c r="DU127" s="703">
        <f t="shared" ca="1" si="325"/>
        <v>-158770.46773748792</v>
      </c>
      <c r="DV127" s="703">
        <f t="shared" ca="1" si="325"/>
        <v>-158329.0558918661</v>
      </c>
      <c r="DW127" s="703">
        <f t="shared" ca="1" si="325"/>
        <v>-157885.62090861856</v>
      </c>
      <c r="DX127" s="703">
        <f t="shared" ca="1" si="325"/>
        <v>-157440.1535150311</v>
      </c>
      <c r="DY127" s="703">
        <f t="shared" ca="1" si="325"/>
        <v>-156992.64439588971</v>
      </c>
      <c r="DZ127" s="703">
        <f t="shared" ca="1" si="325"/>
        <v>-156543.08419328558</v>
      </c>
      <c r="EA127" s="703">
        <f t="shared" ca="1" si="325"/>
        <v>-156091.46350641956</v>
      </c>
      <c r="EB127" s="389"/>
      <c r="EC127" s="392" t="s">
        <v>65</v>
      </c>
    </row>
    <row r="128" spans="1:133" s="390" customFormat="1">
      <c r="A128" s="389"/>
      <c r="B128" s="389"/>
      <c r="C128" s="389"/>
      <c r="D128" s="389"/>
      <c r="E128" s="457"/>
      <c r="F128" s="389"/>
      <c r="G128" s="389"/>
      <c r="H128" s="389"/>
      <c r="I128" s="795"/>
      <c r="J128" s="389"/>
      <c r="K128" s="703"/>
      <c r="L128" s="712"/>
      <c r="M128" s="712"/>
      <c r="N128" s="712"/>
      <c r="O128" s="703"/>
      <c r="P128" s="703"/>
      <c r="Q128" s="703"/>
      <c r="R128" s="703"/>
      <c r="S128" s="703"/>
      <c r="T128" s="703"/>
      <c r="U128" s="703"/>
      <c r="V128" s="703"/>
      <c r="W128" s="703"/>
      <c r="X128" s="703"/>
      <c r="Y128" s="703"/>
      <c r="Z128" s="703"/>
      <c r="AA128" s="703"/>
      <c r="AB128" s="703"/>
      <c r="AC128" s="703"/>
      <c r="AD128" s="703"/>
      <c r="AE128" s="703"/>
      <c r="AF128" s="703"/>
      <c r="AG128" s="703"/>
      <c r="AH128" s="703"/>
      <c r="AI128" s="703"/>
      <c r="AJ128" s="703"/>
      <c r="AK128" s="703"/>
      <c r="AL128" s="703"/>
      <c r="AM128" s="703"/>
      <c r="AN128" s="703"/>
      <c r="AO128" s="703"/>
      <c r="AP128" s="703"/>
      <c r="AQ128" s="703"/>
      <c r="AR128" s="703"/>
      <c r="AS128" s="703"/>
      <c r="AT128" s="703"/>
      <c r="AU128" s="703"/>
      <c r="AV128" s="703"/>
      <c r="AW128" s="703"/>
      <c r="AX128" s="703"/>
      <c r="AY128" s="703"/>
      <c r="AZ128" s="703"/>
      <c r="BA128" s="703"/>
      <c r="BB128" s="703"/>
      <c r="BC128" s="703"/>
      <c r="BD128" s="703"/>
      <c r="BE128" s="703"/>
      <c r="BF128" s="703"/>
      <c r="BG128" s="703"/>
      <c r="BH128" s="703"/>
      <c r="BI128" s="703"/>
      <c r="BJ128" s="703"/>
      <c r="BK128" s="703"/>
      <c r="BL128" s="703"/>
      <c r="BM128" s="703"/>
      <c r="BN128" s="703"/>
      <c r="BO128" s="703"/>
      <c r="BP128" s="703"/>
      <c r="BQ128" s="703"/>
      <c r="BR128" s="703"/>
      <c r="BS128" s="703"/>
      <c r="BT128" s="703"/>
      <c r="BU128" s="703"/>
      <c r="BV128" s="703"/>
      <c r="BW128" s="703"/>
      <c r="BX128" s="703"/>
      <c r="BY128" s="703"/>
      <c r="BZ128" s="703"/>
      <c r="CA128" s="703"/>
      <c r="CB128" s="703"/>
      <c r="CC128" s="703"/>
      <c r="CD128" s="703"/>
      <c r="CE128" s="703"/>
      <c r="CF128" s="703"/>
      <c r="CG128" s="703"/>
      <c r="CH128" s="703"/>
      <c r="CI128" s="703"/>
      <c r="CJ128" s="703"/>
      <c r="CK128" s="703"/>
      <c r="CL128" s="703"/>
      <c r="CM128" s="703"/>
      <c r="CN128" s="703"/>
      <c r="CO128" s="703"/>
      <c r="CP128" s="703"/>
      <c r="CQ128" s="703"/>
      <c r="CR128" s="703"/>
      <c r="CS128" s="703"/>
      <c r="CT128" s="703"/>
      <c r="CU128" s="703"/>
      <c r="CV128" s="703"/>
      <c r="CW128" s="703"/>
      <c r="CX128" s="703"/>
      <c r="CY128" s="703"/>
      <c r="CZ128" s="703"/>
      <c r="DA128" s="703"/>
      <c r="DB128" s="703"/>
      <c r="DC128" s="703"/>
      <c r="DD128" s="703"/>
      <c r="DE128" s="703"/>
      <c r="DF128" s="703"/>
      <c r="DG128" s="703"/>
      <c r="DH128" s="703"/>
      <c r="DI128" s="703"/>
      <c r="DJ128" s="703"/>
      <c r="DK128" s="703"/>
      <c r="DL128" s="703"/>
      <c r="DM128" s="703"/>
      <c r="DN128" s="703"/>
      <c r="DO128" s="703"/>
      <c r="DP128" s="703"/>
      <c r="DQ128" s="703"/>
      <c r="DR128" s="703"/>
      <c r="DS128" s="703"/>
      <c r="DT128" s="703"/>
      <c r="DU128" s="703"/>
      <c r="DV128" s="703"/>
      <c r="DW128" s="703"/>
      <c r="DX128" s="703"/>
      <c r="DY128" s="703"/>
      <c r="DZ128" s="703"/>
      <c r="EA128" s="703"/>
      <c r="EB128" s="389"/>
      <c r="EC128" s="392" t="s">
        <v>65</v>
      </c>
    </row>
    <row r="129" spans="1:133" s="390" customFormat="1">
      <c r="A129" s="389"/>
      <c r="B129" s="389"/>
      <c r="C129" s="389"/>
      <c r="D129" s="423" t="s">
        <v>111</v>
      </c>
      <c r="F129" s="431"/>
      <c r="G129" s="431"/>
      <c r="H129" s="431"/>
      <c r="I129" s="806">
        <f t="shared" ref="I129" ca="1" si="326">SUM(K129:EA129)</f>
        <v>49098975.722157963</v>
      </c>
      <c r="J129" s="716"/>
      <c r="K129" s="751">
        <f t="shared" ref="K129:AK129" si="327">K98+K109+K110+K112+K116+K117+K122+K123+K124+K127</f>
        <v>0</v>
      </c>
      <c r="L129" s="751">
        <f ca="1">L98+L109+L110+L112+L116+L117+L122+L123+L124+L127</f>
        <v>-5200000</v>
      </c>
      <c r="M129" s="751">
        <f t="shared" ca="1" si="327"/>
        <v>-391153.00715178321</v>
      </c>
      <c r="N129" s="751">
        <f t="shared" ca="1" si="327"/>
        <v>-2750737.3328289636</v>
      </c>
      <c r="O129" s="751">
        <f t="shared" ca="1" si="327"/>
        <v>-2750737.3328289636</v>
      </c>
      <c r="P129" s="751">
        <f t="shared" ca="1" si="327"/>
        <v>-2750737.3328289636</v>
      </c>
      <c r="Q129" s="751">
        <f t="shared" ca="1" si="327"/>
        <v>-2750737.3328289636</v>
      </c>
      <c r="R129" s="751">
        <f t="shared" ca="1" si="327"/>
        <v>-2750737.3328289636</v>
      </c>
      <c r="S129" s="751">
        <f t="shared" ca="1" si="327"/>
        <v>-2648862.4467854165</v>
      </c>
      <c r="T129" s="751">
        <f t="shared" ca="1" si="327"/>
        <v>0</v>
      </c>
      <c r="U129" s="751">
        <f t="shared" ca="1" si="327"/>
        <v>0</v>
      </c>
      <c r="V129" s="751">
        <f t="shared" ca="1" si="327"/>
        <v>0</v>
      </c>
      <c r="W129" s="751">
        <f t="shared" ca="1" si="327"/>
        <v>0</v>
      </c>
      <c r="X129" s="751">
        <f t="shared" ca="1" si="327"/>
        <v>0</v>
      </c>
      <c r="Y129" s="751">
        <f t="shared" ca="1" si="327"/>
        <v>0</v>
      </c>
      <c r="Z129" s="751">
        <f t="shared" ca="1" si="327"/>
        <v>0</v>
      </c>
      <c r="AA129" s="751">
        <f t="shared" ca="1" si="327"/>
        <v>0</v>
      </c>
      <c r="AB129" s="751">
        <f t="shared" ca="1" si="327"/>
        <v>0</v>
      </c>
      <c r="AC129" s="751">
        <f t="shared" ca="1" si="327"/>
        <v>0</v>
      </c>
      <c r="AD129" s="751">
        <f t="shared" ca="1" si="327"/>
        <v>0</v>
      </c>
      <c r="AE129" s="751">
        <f t="shared" ca="1" si="327"/>
        <v>131719.02465141728</v>
      </c>
      <c r="AF129" s="751">
        <f t="shared" ca="1" si="327"/>
        <v>131719.02465141728</v>
      </c>
      <c r="AG129" s="751">
        <f t="shared" ca="1" si="327"/>
        <v>131719.02465141728</v>
      </c>
      <c r="AH129" s="751">
        <f t="shared" ca="1" si="327"/>
        <v>143110.42607851737</v>
      </c>
      <c r="AI129" s="751">
        <f t="shared" ca="1" si="327"/>
        <v>187893.02928506277</v>
      </c>
      <c r="AJ129" s="751">
        <f t="shared" ca="1" si="327"/>
        <v>223258.32390192867</v>
      </c>
      <c r="AK129" s="751">
        <f t="shared" ca="1" si="327"/>
        <v>8753494.2609041221</v>
      </c>
      <c r="AL129" s="751">
        <f ca="1">AL98+AL109+AL110+AL112+AL116+AL117+AL122+AL123+AL124+AL127</f>
        <v>-17370.623266367096</v>
      </c>
      <c r="AM129" s="751">
        <f t="shared" ref="AM129:CX129" ca="1" si="328">AM98+AM109+AM110+AM112+AM116+AM117+AM122+AM123+AM124+AM127</f>
        <v>26103.651216286671</v>
      </c>
      <c r="AN129" s="751">
        <f t="shared" ca="1" si="328"/>
        <v>121282.88700700147</v>
      </c>
      <c r="AO129" s="751">
        <f t="shared" ca="1" si="328"/>
        <v>7251.7013281394029</v>
      </c>
      <c r="AP129" s="751">
        <f ca="1">AP98+AP109+AP110+AP112+AP116+AP117+AP122+AP123+AP124+AP127</f>
        <v>-62288.239624104375</v>
      </c>
      <c r="AQ129" s="751">
        <f t="shared" ca="1" si="328"/>
        <v>-102171.0570176622</v>
      </c>
      <c r="AR129" s="751">
        <f t="shared" ca="1" si="328"/>
        <v>-22186.620393879595</v>
      </c>
      <c r="AS129" s="751">
        <f t="shared" ca="1" si="328"/>
        <v>122311.60534646138</v>
      </c>
      <c r="AT129" s="751">
        <f t="shared" ca="1" si="328"/>
        <v>129749.23374339618</v>
      </c>
      <c r="AU129" s="751">
        <f ca="1">AU98+AU109+AU110+AU112+AU116+AU117+AU122+AU123+AU124+AU127</f>
        <v>155324.10182380988</v>
      </c>
      <c r="AV129" s="751">
        <f t="shared" ca="1" si="328"/>
        <v>177521.84196787977</v>
      </c>
      <c r="AW129" s="751">
        <f t="shared" ca="1" si="328"/>
        <v>99732.883186023158</v>
      </c>
      <c r="AX129" s="751">
        <f t="shared" ca="1" si="328"/>
        <v>96873.10662356703</v>
      </c>
      <c r="AY129" s="751">
        <f t="shared" ca="1" si="328"/>
        <v>137172.6144919974</v>
      </c>
      <c r="AZ129" s="751">
        <f t="shared" ca="1" si="328"/>
        <v>238658.3937898796</v>
      </c>
      <c r="BA129" s="751">
        <f t="shared" ca="1" si="328"/>
        <v>85491.145679710171</v>
      </c>
      <c r="BB129" s="751">
        <f t="shared" ca="1" si="328"/>
        <v>-8424.5963284388126</v>
      </c>
      <c r="BC129" s="751">
        <f t="shared" ca="1" si="328"/>
        <v>-63647.334740154925</v>
      </c>
      <c r="BD129" s="751">
        <f t="shared" ca="1" si="328"/>
        <v>16019.477605383436</v>
      </c>
      <c r="BE129" s="751">
        <f t="shared" ca="1" si="328"/>
        <v>161989.66377544744</v>
      </c>
      <c r="BF129" s="751">
        <f t="shared" ca="1" si="328"/>
        <v>156201.66153444018</v>
      </c>
      <c r="BG129" s="751">
        <f t="shared" ca="1" si="328"/>
        <v>169453.90276853612</v>
      </c>
      <c r="BH129" s="751">
        <f t="shared" ca="1" si="328"/>
        <v>178748.90117303623</v>
      </c>
      <c r="BI129" s="751">
        <f t="shared" ca="1" si="328"/>
        <v>99721.875262605958</v>
      </c>
      <c r="BJ129" s="751">
        <f t="shared" ca="1" si="328"/>
        <v>96826.063886152464</v>
      </c>
      <c r="BK129" s="751">
        <f t="shared" ca="1" si="328"/>
        <v>137764.1821413227</v>
      </c>
      <c r="BL129" s="751">
        <f t="shared" ca="1" si="328"/>
        <v>240811.75259696439</v>
      </c>
      <c r="BM129" s="751">
        <f t="shared" ca="1" si="328"/>
        <v>85302.743708306196</v>
      </c>
      <c r="BN129" s="751">
        <f t="shared" ca="1" si="328"/>
        <v>-10040.908999584964</v>
      </c>
      <c r="BO129" s="751">
        <f t="shared" ca="1" si="328"/>
        <v>-62978.033074759936</v>
      </c>
      <c r="BP129" s="751">
        <f t="shared" ca="1" si="328"/>
        <v>34940.034722330107</v>
      </c>
      <c r="BQ129" s="751">
        <f t="shared" ca="1" si="328"/>
        <v>166019.00941374307</v>
      </c>
      <c r="BR129" s="751">
        <f t="shared" ca="1" si="328"/>
        <v>160159.78975891008</v>
      </c>
      <c r="BS129" s="751">
        <f t="shared" ca="1" si="328"/>
        <v>173600.59008825786</v>
      </c>
      <c r="BT129" s="751">
        <f t="shared" ca="1" si="328"/>
        <v>183061.13629277598</v>
      </c>
      <c r="BU129" s="751">
        <f t="shared" ca="1" si="328"/>
        <v>102791.7692889616</v>
      </c>
      <c r="BV129" s="751">
        <f t="shared" ca="1" si="328"/>
        <v>99860.334808576561</v>
      </c>
      <c r="BW129" s="751">
        <f t="shared" ca="1" si="328"/>
        <v>141439.11051660968</v>
      </c>
      <c r="BX129" s="751">
        <f t="shared" ca="1" si="328"/>
        <v>246050.84239810854</v>
      </c>
      <c r="BY129" s="751">
        <f t="shared" ca="1" si="328"/>
        <v>88197.417607551353</v>
      </c>
      <c r="BZ129" s="751">
        <f t="shared" ca="1" si="328"/>
        <v>-8575.2962742587551</v>
      </c>
      <c r="CA129" s="751">
        <f t="shared" ca="1" si="328"/>
        <v>-62466.715909289749</v>
      </c>
      <c r="CB129" s="751">
        <f t="shared" ca="1" si="328"/>
        <v>19603.102874313976</v>
      </c>
      <c r="CC129" s="751">
        <f t="shared" ca="1" si="328"/>
        <v>169888.89989182408</v>
      </c>
      <c r="CD129" s="751">
        <f t="shared" ca="1" si="328"/>
        <v>163959.39898035227</v>
      </c>
      <c r="CE129" s="751">
        <f t="shared" ca="1" si="328"/>
        <v>177588.14493355676</v>
      </c>
      <c r="CF129" s="751">
        <f t="shared" ca="1" si="328"/>
        <v>187215.67703480468</v>
      </c>
      <c r="CG129" s="751">
        <f t="shared" ca="1" si="328"/>
        <v>105700.55279532235</v>
      </c>
      <c r="CH129" s="751">
        <f t="shared" ca="1" si="328"/>
        <v>102733.96405500927</v>
      </c>
      <c r="CI129" s="751">
        <f t="shared" ca="1" si="328"/>
        <v>144954.99235664724</v>
      </c>
      <c r="CJ129" s="751">
        <f t="shared" ca="1" si="328"/>
        <v>251131.99253614427</v>
      </c>
      <c r="CK129" s="751">
        <f t="shared" ca="1" si="328"/>
        <v>90933.444997574145</v>
      </c>
      <c r="CL129" s="751">
        <f t="shared" ca="1" si="328"/>
        <v>-7268.2644411533256</v>
      </c>
      <c r="CM129" s="751">
        <f t="shared" ca="1" si="328"/>
        <v>-62123.59395796372</v>
      </c>
      <c r="CN129" s="751">
        <f t="shared" ca="1" si="328"/>
        <v>21147.237635752303</v>
      </c>
      <c r="CO129" s="751">
        <f t="shared" ca="1" si="328"/>
        <v>173586.01221627771</v>
      </c>
      <c r="CP129" s="751">
        <f t="shared" ca="1" si="328"/>
        <v>167587.28647045814</v>
      </c>
      <c r="CQ129" s="751">
        <f t="shared" ca="1" si="328"/>
        <v>181403.15806465395</v>
      </c>
      <c r="CR129" s="751">
        <f t="shared" ca="1" si="328"/>
        <v>194138.413022722</v>
      </c>
      <c r="CS129" s="751">
        <f t="shared" ca="1" si="328"/>
        <v>111375.02854373492</v>
      </c>
      <c r="CT129" s="751">
        <f t="shared" ca="1" si="328"/>
        <v>108373.81457893029</v>
      </c>
      <c r="CU129" s="751">
        <f t="shared" ca="1" si="328"/>
        <v>151238.20973165246</v>
      </c>
      <c r="CV129" s="751">
        <f t="shared" ca="1" si="328"/>
        <v>258980.24374833444</v>
      </c>
      <c r="CW129" s="751">
        <f t="shared" ca="1" si="328"/>
        <v>96437.934179181873</v>
      </c>
      <c r="CX129" s="751">
        <f t="shared" ca="1" si="328"/>
        <v>-3191.4151073841786</v>
      </c>
      <c r="CY129" s="751">
        <f t="shared" ref="CY129:EA129" ca="1" si="329">CY98+CY109+CY110+CY112+CY116+CY117+CY122+CY123+CY124+CY127</f>
        <v>-52345.812135934262</v>
      </c>
      <c r="CZ129" s="751">
        <f t="shared" ca="1" si="329"/>
        <v>33423.144405593514</v>
      </c>
      <c r="DA129" s="751">
        <f t="shared" ca="1" si="329"/>
        <v>190435.08222353479</v>
      </c>
      <c r="DB129" s="751">
        <f t="shared" ca="1" si="329"/>
        <v>184256.39470534038</v>
      </c>
      <c r="DC129" s="751">
        <f t="shared" ca="1" si="329"/>
        <v>198486.74244736205</v>
      </c>
      <c r="DD129" s="751">
        <f t="shared" ca="1" si="329"/>
        <v>186046.72208652302</v>
      </c>
      <c r="DE129" s="751">
        <f t="shared" ca="1" si="329"/>
        <v>100800.43607316664</v>
      </c>
      <c r="DF129" s="751">
        <f t="shared" ca="1" si="329"/>
        <v>97709.185689417995</v>
      </c>
      <c r="DG129" s="751">
        <f t="shared" ca="1" si="329"/>
        <v>141859.51269672162</v>
      </c>
      <c r="DH129" s="751">
        <f t="shared" ca="1" si="329"/>
        <v>252833.80773390399</v>
      </c>
      <c r="DI129" s="751">
        <f t="shared" ca="1" si="329"/>
        <v>85415.228877676826</v>
      </c>
      <c r="DJ129" s="751">
        <f t="shared" ca="1" si="329"/>
        <v>-17203.00088748624</v>
      </c>
      <c r="DK129" s="751">
        <f t="shared" ca="1" si="329"/>
        <v>-67832.029826892584</v>
      </c>
      <c r="DL129" s="751">
        <f t="shared" ca="1" si="329"/>
        <v>39113.263332696602</v>
      </c>
      <c r="DM129" s="751">
        <f t="shared" ca="1" si="329"/>
        <v>182232.29136336016</v>
      </c>
      <c r="DN129" s="751">
        <f t="shared" ca="1" si="329"/>
        <v>175868.24321961982</v>
      </c>
      <c r="DO129" s="751">
        <f t="shared" ca="1" si="329"/>
        <v>190525.50139390258</v>
      </c>
      <c r="DP129" s="751">
        <f t="shared" ca="1" si="329"/>
        <v>199237.96802111241</v>
      </c>
      <c r="DQ129" s="751">
        <f t="shared" ca="1" si="329"/>
        <v>111434.29342735544</v>
      </c>
      <c r="DR129" s="751">
        <f t="shared" ca="1" si="329"/>
        <v>108250.30553209397</v>
      </c>
      <c r="DS129" s="751">
        <f t="shared" ca="1" si="329"/>
        <v>153725.14234961706</v>
      </c>
      <c r="DT129" s="751">
        <f t="shared" ca="1" si="329"/>
        <v>268028.66623791517</v>
      </c>
      <c r="DU129" s="751">
        <f t="shared" ca="1" si="329"/>
        <v>95587.530016001023</v>
      </c>
      <c r="DV129" s="751">
        <f t="shared" ca="1" si="329"/>
        <v>-10109.246642117039</v>
      </c>
      <c r="DW129" s="751">
        <f t="shared" ca="1" si="329"/>
        <v>-62257.146449705673</v>
      </c>
      <c r="DX129" s="751">
        <f t="shared" ca="1" si="329"/>
        <v>28735.139545201033</v>
      </c>
      <c r="DY129" s="751">
        <f t="shared" ca="1" si="329"/>
        <v>195309.10437625455</v>
      </c>
      <c r="DZ129" s="751">
        <f t="shared" ca="1" si="329"/>
        <v>188754.13478820256</v>
      </c>
      <c r="EA129" s="751">
        <f t="shared" ca="1" si="329"/>
        <v>51669765.886451244</v>
      </c>
      <c r="EB129" s="389"/>
      <c r="EC129" s="392" t="s">
        <v>65</v>
      </c>
    </row>
    <row r="130" spans="1:133" s="390" customFormat="1">
      <c r="A130" s="389"/>
      <c r="B130" s="389"/>
      <c r="C130" s="389"/>
      <c r="D130" s="422"/>
      <c r="F130" s="716"/>
      <c r="G130" s="716"/>
      <c r="H130" s="716"/>
      <c r="I130" s="1826"/>
      <c r="J130" s="716"/>
      <c r="K130" s="1827"/>
      <c r="L130" s="1827"/>
      <c r="M130" s="1827"/>
      <c r="N130" s="1827"/>
      <c r="O130" s="1827"/>
      <c r="P130" s="1827"/>
      <c r="Q130" s="1827"/>
      <c r="R130" s="1827"/>
      <c r="S130" s="1827"/>
      <c r="T130" s="1827"/>
      <c r="U130" s="1827"/>
      <c r="V130" s="1827"/>
      <c r="W130" s="1827"/>
      <c r="X130" s="1827"/>
      <c r="Y130" s="1827"/>
      <c r="Z130" s="1827"/>
      <c r="AA130" s="1827"/>
      <c r="AB130" s="1827"/>
      <c r="AC130" s="1827"/>
      <c r="AD130" s="1827"/>
      <c r="AE130" s="1827"/>
      <c r="AF130" s="1827"/>
      <c r="AG130" s="1827"/>
      <c r="AH130" s="1827"/>
      <c r="AI130" s="1827"/>
      <c r="AJ130" s="1827"/>
      <c r="AK130" s="1827"/>
      <c r="AL130" s="1827"/>
      <c r="AM130" s="1827"/>
      <c r="AN130" s="1827"/>
      <c r="AO130" s="1827"/>
      <c r="AP130" s="1827"/>
      <c r="AQ130" s="1827"/>
      <c r="AR130" s="1827"/>
      <c r="AS130" s="1827"/>
      <c r="AT130" s="1827"/>
      <c r="AU130" s="1827"/>
      <c r="AV130" s="1827"/>
      <c r="AW130" s="1827"/>
      <c r="AX130" s="1827"/>
      <c r="AY130" s="1827"/>
      <c r="AZ130" s="1827"/>
      <c r="BA130" s="1827"/>
      <c r="BB130" s="1827"/>
      <c r="BC130" s="1827"/>
      <c r="BD130" s="1827"/>
      <c r="BE130" s="1827"/>
      <c r="BF130" s="1827"/>
      <c r="BG130" s="1827"/>
      <c r="BH130" s="1827"/>
      <c r="BI130" s="1827"/>
      <c r="BJ130" s="1827"/>
      <c r="BK130" s="1827"/>
      <c r="BL130" s="1827"/>
      <c r="BM130" s="1827"/>
      <c r="BN130" s="1827"/>
      <c r="BO130" s="1827"/>
      <c r="BP130" s="1827"/>
      <c r="BQ130" s="1827"/>
      <c r="BR130" s="1827"/>
      <c r="BS130" s="1827"/>
      <c r="BT130" s="1827"/>
      <c r="BU130" s="1827"/>
      <c r="BV130" s="1827"/>
      <c r="BW130" s="1827"/>
      <c r="BX130" s="1827"/>
      <c r="BY130" s="1827"/>
      <c r="BZ130" s="1827"/>
      <c r="CA130" s="1827"/>
      <c r="CB130" s="1827"/>
      <c r="CC130" s="1827"/>
      <c r="CD130" s="1827"/>
      <c r="CE130" s="1827"/>
      <c r="CF130" s="1827"/>
      <c r="CG130" s="1827"/>
      <c r="CH130" s="1827"/>
      <c r="CI130" s="1827"/>
      <c r="CJ130" s="1827"/>
      <c r="CK130" s="1827"/>
      <c r="CL130" s="1827"/>
      <c r="CM130" s="1827"/>
      <c r="CN130" s="1827"/>
      <c r="CO130" s="1827"/>
      <c r="CP130" s="1827"/>
      <c r="CQ130" s="1827"/>
      <c r="CR130" s="1827"/>
      <c r="CS130" s="1827"/>
      <c r="CT130" s="1827"/>
      <c r="CU130" s="1827"/>
      <c r="CV130" s="1827"/>
      <c r="CW130" s="1827"/>
      <c r="CX130" s="1827"/>
      <c r="CY130" s="1827"/>
      <c r="CZ130" s="1827"/>
      <c r="DA130" s="1827"/>
      <c r="DB130" s="1827"/>
      <c r="DC130" s="1827"/>
      <c r="DD130" s="1827"/>
      <c r="DE130" s="1827"/>
      <c r="DF130" s="1827"/>
      <c r="DG130" s="1827"/>
      <c r="DH130" s="1827"/>
      <c r="DI130" s="1827"/>
      <c r="DJ130" s="1827"/>
      <c r="DK130" s="1827"/>
      <c r="DL130" s="1827"/>
      <c r="DM130" s="1827"/>
      <c r="DN130" s="1827"/>
      <c r="DO130" s="1827"/>
      <c r="DP130" s="1827"/>
      <c r="DQ130" s="1827"/>
      <c r="DR130" s="1827"/>
      <c r="DS130" s="1827"/>
      <c r="DT130" s="1827"/>
      <c r="DU130" s="1827"/>
      <c r="DV130" s="1827"/>
      <c r="DW130" s="1827"/>
      <c r="DX130" s="1827"/>
      <c r="DY130" s="1827"/>
      <c r="DZ130" s="1827"/>
      <c r="EA130" s="1827"/>
      <c r="EB130" s="389"/>
      <c r="EC130" s="392" t="s">
        <v>65</v>
      </c>
    </row>
    <row r="131" spans="1:133" s="390" customFormat="1">
      <c r="A131" s="389"/>
      <c r="B131" s="389"/>
      <c r="C131" s="389"/>
      <c r="D131" s="998" t="s">
        <v>1160</v>
      </c>
      <c r="F131" s="716"/>
      <c r="G131" s="716"/>
      <c r="H131" s="716"/>
      <c r="I131" s="1826"/>
      <c r="J131" s="716"/>
      <c r="K131" s="1827"/>
      <c r="L131" s="1827"/>
      <c r="M131" s="1827"/>
      <c r="N131" s="1827"/>
      <c r="O131" s="1827"/>
      <c r="P131" s="1827"/>
      <c r="Q131" s="1827"/>
      <c r="R131" s="1827"/>
      <c r="S131" s="1827"/>
      <c r="T131" s="1827"/>
      <c r="U131" s="1827"/>
      <c r="V131" s="1827"/>
      <c r="W131" s="1827"/>
      <c r="X131" s="1827"/>
      <c r="Y131" s="1827"/>
      <c r="Z131" s="1827"/>
      <c r="AA131" s="1827"/>
      <c r="AB131" s="1827"/>
      <c r="AC131" s="1827"/>
      <c r="AD131" s="1827"/>
      <c r="AE131" s="1827"/>
      <c r="AF131" s="1827"/>
      <c r="AG131" s="1827"/>
      <c r="AH131" s="1827"/>
      <c r="AI131" s="1827"/>
      <c r="AJ131" s="1827"/>
      <c r="AK131" s="1827"/>
      <c r="AL131" s="1827"/>
      <c r="AM131" s="1827"/>
      <c r="AN131" s="1827"/>
      <c r="AO131" s="1827"/>
      <c r="AP131" s="1827"/>
      <c r="AQ131" s="1827"/>
      <c r="AR131" s="1827"/>
      <c r="AS131" s="1827"/>
      <c r="AT131" s="1827"/>
      <c r="AU131" s="1827"/>
      <c r="AV131" s="1827"/>
      <c r="AW131" s="1827"/>
      <c r="AX131" s="1827"/>
      <c r="AY131" s="1827"/>
      <c r="AZ131" s="1827"/>
      <c r="BA131" s="1827"/>
      <c r="BB131" s="1827"/>
      <c r="BC131" s="1827"/>
      <c r="BD131" s="1827"/>
      <c r="BE131" s="1827"/>
      <c r="BF131" s="1827"/>
      <c r="BG131" s="1827"/>
      <c r="BH131" s="1827"/>
      <c r="BI131" s="1827"/>
      <c r="BJ131" s="1827"/>
      <c r="BK131" s="1827"/>
      <c r="BL131" s="1827"/>
      <c r="BM131" s="1827"/>
      <c r="BN131" s="1827"/>
      <c r="BO131" s="1827"/>
      <c r="BP131" s="1827"/>
      <c r="BQ131" s="1827"/>
      <c r="BR131" s="1827"/>
      <c r="BS131" s="1827"/>
      <c r="BT131" s="1827"/>
      <c r="BU131" s="1827"/>
      <c r="BV131" s="1827"/>
      <c r="BW131" s="1827"/>
      <c r="BX131" s="1827"/>
      <c r="BY131" s="1827"/>
      <c r="BZ131" s="1827"/>
      <c r="CA131" s="1827"/>
      <c r="CB131" s="1827"/>
      <c r="CC131" s="1827"/>
      <c r="CD131" s="1827"/>
      <c r="CE131" s="1827"/>
      <c r="CF131" s="1827"/>
      <c r="CG131" s="1827"/>
      <c r="CH131" s="1827"/>
      <c r="CI131" s="1827"/>
      <c r="CJ131" s="1827"/>
      <c r="CK131" s="1827"/>
      <c r="CL131" s="1827"/>
      <c r="CM131" s="1827"/>
      <c r="CN131" s="1827"/>
      <c r="CO131" s="1827"/>
      <c r="CP131" s="1827"/>
      <c r="CQ131" s="1827"/>
      <c r="CR131" s="1827"/>
      <c r="CS131" s="1827"/>
      <c r="CT131" s="1827"/>
      <c r="CU131" s="1827"/>
      <c r="CV131" s="1827"/>
      <c r="CW131" s="1827"/>
      <c r="CX131" s="1827"/>
      <c r="CY131" s="1827"/>
      <c r="CZ131" s="1827"/>
      <c r="DA131" s="1827"/>
      <c r="DB131" s="1827"/>
      <c r="DC131" s="1827"/>
      <c r="DD131" s="1827"/>
      <c r="DE131" s="1827"/>
      <c r="DF131" s="1827"/>
      <c r="DG131" s="1827"/>
      <c r="DH131" s="1827"/>
      <c r="DI131" s="1827"/>
      <c r="DJ131" s="1827"/>
      <c r="DK131" s="1827"/>
      <c r="DL131" s="1827"/>
      <c r="DM131" s="1827"/>
      <c r="DN131" s="1827"/>
      <c r="DO131" s="1827"/>
      <c r="DP131" s="1827"/>
      <c r="DQ131" s="1827"/>
      <c r="DR131" s="1827"/>
      <c r="DS131" s="1827"/>
      <c r="DT131" s="1827"/>
      <c r="DU131" s="1827"/>
      <c r="DV131" s="1827"/>
      <c r="DW131" s="1827"/>
      <c r="DX131" s="1827"/>
      <c r="DY131" s="1827"/>
      <c r="DZ131" s="1827"/>
      <c r="EA131" s="1827"/>
      <c r="EB131" s="389"/>
      <c r="EC131" s="392" t="s">
        <v>65</v>
      </c>
    </row>
    <row r="132" spans="1:133" s="390" customFormat="1">
      <c r="A132" s="389"/>
      <c r="B132" s="389"/>
      <c r="C132" s="389"/>
      <c r="D132" s="457" t="s">
        <v>1161</v>
      </c>
      <c r="E132" s="487"/>
      <c r="F132" s="1836"/>
      <c r="G132" s="1836"/>
      <c r="H132" s="1836"/>
      <c r="I132" s="1837">
        <v>0</v>
      </c>
      <c r="J132" s="716"/>
      <c r="K132" s="1838">
        <v>0</v>
      </c>
      <c r="L132" s="1838">
        <f>K136</f>
        <v>0</v>
      </c>
      <c r="M132" s="1838">
        <f t="shared" ref="M132:BX132" ca="1" si="330">L136</f>
        <v>0</v>
      </c>
      <c r="N132" s="1838">
        <f t="shared" ca="1" si="330"/>
        <v>0</v>
      </c>
      <c r="O132" s="1838">
        <f t="shared" ca="1" si="330"/>
        <v>0</v>
      </c>
      <c r="P132" s="1838">
        <f t="shared" ca="1" si="330"/>
        <v>0</v>
      </c>
      <c r="Q132" s="1838">
        <f t="shared" ca="1" si="330"/>
        <v>0</v>
      </c>
      <c r="R132" s="1838">
        <f t="shared" ca="1" si="330"/>
        <v>0</v>
      </c>
      <c r="S132" s="1838">
        <f t="shared" ca="1" si="330"/>
        <v>0</v>
      </c>
      <c r="T132" s="1838">
        <f t="shared" ca="1" si="330"/>
        <v>0</v>
      </c>
      <c r="U132" s="1838">
        <f t="shared" ca="1" si="330"/>
        <v>0</v>
      </c>
      <c r="V132" s="1838">
        <f t="shared" ca="1" si="330"/>
        <v>0</v>
      </c>
      <c r="W132" s="1838">
        <f t="shared" ca="1" si="330"/>
        <v>0</v>
      </c>
      <c r="X132" s="1838">
        <f t="shared" ca="1" si="330"/>
        <v>0</v>
      </c>
      <c r="Y132" s="1838">
        <f t="shared" ca="1" si="330"/>
        <v>0</v>
      </c>
      <c r="Z132" s="1838">
        <f t="shared" ca="1" si="330"/>
        <v>0</v>
      </c>
      <c r="AA132" s="1838">
        <f t="shared" ca="1" si="330"/>
        <v>0</v>
      </c>
      <c r="AB132" s="1838">
        <f t="shared" ca="1" si="330"/>
        <v>0</v>
      </c>
      <c r="AC132" s="1838">
        <f t="shared" ca="1" si="330"/>
        <v>0</v>
      </c>
      <c r="AD132" s="1838">
        <f t="shared" ca="1" si="330"/>
        <v>0</v>
      </c>
      <c r="AE132" s="1838">
        <f t="shared" ca="1" si="330"/>
        <v>0</v>
      </c>
      <c r="AF132" s="1838">
        <f t="shared" ca="1" si="330"/>
        <v>131719.02465141728</v>
      </c>
      <c r="AG132" s="1838">
        <f t="shared" ca="1" si="330"/>
        <v>263438.04930283455</v>
      </c>
      <c r="AH132" s="1838">
        <f t="shared" ca="1" si="330"/>
        <v>395157.07395425183</v>
      </c>
      <c r="AI132" s="1838">
        <f t="shared" ca="1" si="330"/>
        <v>538267.50003276917</v>
      </c>
      <c r="AJ132" s="1838">
        <f t="shared" ca="1" si="330"/>
        <v>726160.52931783197</v>
      </c>
      <c r="AK132" s="1838">
        <f t="shared" ca="1" si="330"/>
        <v>949418.85321976058</v>
      </c>
      <c r="AL132" s="1838">
        <f t="shared" ca="1" si="330"/>
        <v>500000</v>
      </c>
      <c r="AM132" s="1838">
        <f t="shared" ca="1" si="330"/>
        <v>482629.37673363287</v>
      </c>
      <c r="AN132" s="1838">
        <f t="shared" ca="1" si="330"/>
        <v>500000</v>
      </c>
      <c r="AO132" s="1838">
        <f t="shared" ca="1" si="330"/>
        <v>500000</v>
      </c>
      <c r="AP132" s="1838">
        <f t="shared" ca="1" si="330"/>
        <v>500000</v>
      </c>
      <c r="AQ132" s="1838">
        <f t="shared" ca="1" si="330"/>
        <v>437711.76037589565</v>
      </c>
      <c r="AR132" s="1838">
        <f t="shared" ca="1" si="330"/>
        <v>335540.70335823344</v>
      </c>
      <c r="AS132" s="1838">
        <f t="shared" ca="1" si="330"/>
        <v>313354.08296435385</v>
      </c>
      <c r="AT132" s="1838">
        <f t="shared" ca="1" si="330"/>
        <v>435665.68831081525</v>
      </c>
      <c r="AU132" s="1838">
        <f t="shared" ca="1" si="330"/>
        <v>500000</v>
      </c>
      <c r="AV132" s="1838">
        <f t="shared" ca="1" si="330"/>
        <v>500000</v>
      </c>
      <c r="AW132" s="1838">
        <f t="shared" ca="1" si="330"/>
        <v>500000</v>
      </c>
      <c r="AX132" s="1838">
        <f t="shared" ca="1" si="330"/>
        <v>500000</v>
      </c>
      <c r="AY132" s="1838">
        <f t="shared" ca="1" si="330"/>
        <v>500000</v>
      </c>
      <c r="AZ132" s="1838">
        <f t="shared" ca="1" si="330"/>
        <v>500000</v>
      </c>
      <c r="BA132" s="1838">
        <f t="shared" ca="1" si="330"/>
        <v>500000</v>
      </c>
      <c r="BB132" s="1838">
        <f t="shared" ca="1" si="330"/>
        <v>500000</v>
      </c>
      <c r="BC132" s="1838">
        <f t="shared" ca="1" si="330"/>
        <v>491575.40367156116</v>
      </c>
      <c r="BD132" s="1838">
        <f t="shared" ca="1" si="330"/>
        <v>427928.06893140625</v>
      </c>
      <c r="BE132" s="1838">
        <f t="shared" ca="1" si="330"/>
        <v>443947.54653678968</v>
      </c>
      <c r="BF132" s="1838">
        <f t="shared" ca="1" si="330"/>
        <v>500000</v>
      </c>
      <c r="BG132" s="1838">
        <f t="shared" ca="1" si="330"/>
        <v>500000</v>
      </c>
      <c r="BH132" s="1838">
        <f t="shared" ca="1" si="330"/>
        <v>500000</v>
      </c>
      <c r="BI132" s="1838">
        <f t="shared" ca="1" si="330"/>
        <v>500000</v>
      </c>
      <c r="BJ132" s="1838">
        <f t="shared" ca="1" si="330"/>
        <v>500000</v>
      </c>
      <c r="BK132" s="1838">
        <f t="shared" ca="1" si="330"/>
        <v>500000</v>
      </c>
      <c r="BL132" s="1838">
        <f t="shared" ca="1" si="330"/>
        <v>500000</v>
      </c>
      <c r="BM132" s="1838">
        <f t="shared" ca="1" si="330"/>
        <v>500000</v>
      </c>
      <c r="BN132" s="1838">
        <f t="shared" ca="1" si="330"/>
        <v>500000</v>
      </c>
      <c r="BO132" s="1838">
        <f t="shared" ca="1" si="330"/>
        <v>489959.09100041504</v>
      </c>
      <c r="BP132" s="1838">
        <f t="shared" ca="1" si="330"/>
        <v>426981.0579256551</v>
      </c>
      <c r="BQ132" s="1838">
        <f t="shared" ca="1" si="330"/>
        <v>461921.09264798521</v>
      </c>
      <c r="BR132" s="1838">
        <f t="shared" ca="1" si="330"/>
        <v>500000</v>
      </c>
      <c r="BS132" s="1838">
        <f t="shared" ca="1" si="330"/>
        <v>500000</v>
      </c>
      <c r="BT132" s="1838">
        <f t="shared" ca="1" si="330"/>
        <v>500000</v>
      </c>
      <c r="BU132" s="1838">
        <f t="shared" ca="1" si="330"/>
        <v>500000</v>
      </c>
      <c r="BV132" s="1838">
        <f t="shared" ca="1" si="330"/>
        <v>500000</v>
      </c>
      <c r="BW132" s="1838">
        <f t="shared" ca="1" si="330"/>
        <v>500000</v>
      </c>
      <c r="BX132" s="1838">
        <f t="shared" ca="1" si="330"/>
        <v>500000</v>
      </c>
      <c r="BY132" s="1838">
        <f t="shared" ref="BY132:EA132" ca="1" si="331">BX136</f>
        <v>500000</v>
      </c>
      <c r="BZ132" s="1838">
        <f t="shared" ca="1" si="331"/>
        <v>500000</v>
      </c>
      <c r="CA132" s="1838">
        <f t="shared" ca="1" si="331"/>
        <v>491424.70372574124</v>
      </c>
      <c r="CB132" s="1838">
        <f t="shared" ca="1" si="331"/>
        <v>428957.98781645147</v>
      </c>
      <c r="CC132" s="1838">
        <f t="shared" ca="1" si="331"/>
        <v>448561.09069076541</v>
      </c>
      <c r="CD132" s="1838">
        <f t="shared" ca="1" si="331"/>
        <v>500000</v>
      </c>
      <c r="CE132" s="1838">
        <f t="shared" ca="1" si="331"/>
        <v>500000</v>
      </c>
      <c r="CF132" s="1838">
        <f t="shared" ca="1" si="331"/>
        <v>500000</v>
      </c>
      <c r="CG132" s="1838">
        <f t="shared" ca="1" si="331"/>
        <v>500000</v>
      </c>
      <c r="CH132" s="1838">
        <f t="shared" ca="1" si="331"/>
        <v>500000</v>
      </c>
      <c r="CI132" s="1838">
        <f t="shared" ca="1" si="331"/>
        <v>500000</v>
      </c>
      <c r="CJ132" s="1838">
        <f t="shared" ca="1" si="331"/>
        <v>500000</v>
      </c>
      <c r="CK132" s="1838">
        <f t="shared" ca="1" si="331"/>
        <v>500000</v>
      </c>
      <c r="CL132" s="1838">
        <f t="shared" ca="1" si="331"/>
        <v>500000</v>
      </c>
      <c r="CM132" s="1838">
        <f t="shared" ca="1" si="331"/>
        <v>492731.73555884667</v>
      </c>
      <c r="CN132" s="1838">
        <f t="shared" ca="1" si="331"/>
        <v>430608.14160088298</v>
      </c>
      <c r="CO132" s="1838">
        <f t="shared" ca="1" si="331"/>
        <v>451755.37923663529</v>
      </c>
      <c r="CP132" s="1838">
        <f t="shared" ca="1" si="331"/>
        <v>500000</v>
      </c>
      <c r="CQ132" s="1838">
        <f t="shared" ca="1" si="331"/>
        <v>500000</v>
      </c>
      <c r="CR132" s="1838">
        <f t="shared" ca="1" si="331"/>
        <v>500000</v>
      </c>
      <c r="CS132" s="1838">
        <f t="shared" ca="1" si="331"/>
        <v>500000</v>
      </c>
      <c r="CT132" s="1838">
        <f t="shared" ca="1" si="331"/>
        <v>500000</v>
      </c>
      <c r="CU132" s="1838">
        <f t="shared" ca="1" si="331"/>
        <v>500000</v>
      </c>
      <c r="CV132" s="1838">
        <f t="shared" ca="1" si="331"/>
        <v>500000</v>
      </c>
      <c r="CW132" s="1838">
        <f t="shared" ca="1" si="331"/>
        <v>500000</v>
      </c>
      <c r="CX132" s="1838">
        <f t="shared" ca="1" si="331"/>
        <v>500000</v>
      </c>
      <c r="CY132" s="1838">
        <f t="shared" ca="1" si="331"/>
        <v>496808.58489261579</v>
      </c>
      <c r="CZ132" s="1838">
        <f t="shared" ca="1" si="331"/>
        <v>444462.77275668154</v>
      </c>
      <c r="DA132" s="1838">
        <f t="shared" ca="1" si="331"/>
        <v>477885.91716227506</v>
      </c>
      <c r="DB132" s="1838">
        <f t="shared" ca="1" si="331"/>
        <v>500000</v>
      </c>
      <c r="DC132" s="1838">
        <f t="shared" ca="1" si="331"/>
        <v>500000</v>
      </c>
      <c r="DD132" s="1838">
        <f t="shared" ca="1" si="331"/>
        <v>500000</v>
      </c>
      <c r="DE132" s="1838">
        <f t="shared" ca="1" si="331"/>
        <v>500000</v>
      </c>
      <c r="DF132" s="1838">
        <f t="shared" ca="1" si="331"/>
        <v>500000</v>
      </c>
      <c r="DG132" s="1838">
        <f t="shared" ca="1" si="331"/>
        <v>500000</v>
      </c>
      <c r="DH132" s="1838">
        <f t="shared" ca="1" si="331"/>
        <v>500000</v>
      </c>
      <c r="DI132" s="1838">
        <f t="shared" ca="1" si="331"/>
        <v>500000</v>
      </c>
      <c r="DJ132" s="1838">
        <f t="shared" ca="1" si="331"/>
        <v>500000</v>
      </c>
      <c r="DK132" s="1838">
        <f t="shared" ca="1" si="331"/>
        <v>482796.99911251373</v>
      </c>
      <c r="DL132" s="1838">
        <f t="shared" ca="1" si="331"/>
        <v>414964.96928562113</v>
      </c>
      <c r="DM132" s="1838">
        <f t="shared" ca="1" si="331"/>
        <v>454078.23261831771</v>
      </c>
      <c r="DN132" s="1838">
        <f t="shared" ca="1" si="331"/>
        <v>500000</v>
      </c>
      <c r="DO132" s="1838">
        <f t="shared" ca="1" si="331"/>
        <v>500000</v>
      </c>
      <c r="DP132" s="1838">
        <f t="shared" ca="1" si="331"/>
        <v>500000</v>
      </c>
      <c r="DQ132" s="1838">
        <f t="shared" ca="1" si="331"/>
        <v>500000</v>
      </c>
      <c r="DR132" s="1838">
        <f t="shared" ca="1" si="331"/>
        <v>500000</v>
      </c>
      <c r="DS132" s="1838">
        <f t="shared" ca="1" si="331"/>
        <v>500000</v>
      </c>
      <c r="DT132" s="1838">
        <f t="shared" ca="1" si="331"/>
        <v>500000</v>
      </c>
      <c r="DU132" s="1838">
        <f t="shared" ca="1" si="331"/>
        <v>500000</v>
      </c>
      <c r="DV132" s="1838">
        <f t="shared" ca="1" si="331"/>
        <v>500000</v>
      </c>
      <c r="DW132" s="1838">
        <f t="shared" ca="1" si="331"/>
        <v>489890.75335788296</v>
      </c>
      <c r="DX132" s="1838">
        <f t="shared" ca="1" si="331"/>
        <v>427633.60690817726</v>
      </c>
      <c r="DY132" s="1838">
        <f t="shared" ca="1" si="331"/>
        <v>456368.74645337835</v>
      </c>
      <c r="DZ132" s="1838">
        <f t="shared" ca="1" si="331"/>
        <v>500000</v>
      </c>
      <c r="EA132" s="1838">
        <f t="shared" ca="1" si="331"/>
        <v>500000</v>
      </c>
      <c r="EB132" s="389"/>
      <c r="EC132" s="392" t="s">
        <v>65</v>
      </c>
    </row>
    <row r="133" spans="1:133" s="390" customFormat="1">
      <c r="A133" s="389"/>
      <c r="B133" s="389"/>
      <c r="C133" s="389"/>
      <c r="D133" s="389" t="s">
        <v>1162</v>
      </c>
      <c r="F133" s="716"/>
      <c r="G133" s="716"/>
      <c r="H133" s="716"/>
      <c r="I133" s="1826">
        <f t="shared" ref="I133:I135" ca="1" si="332">SUM(K133:EA133)</f>
        <v>49098975.722157963</v>
      </c>
      <c r="J133" s="716"/>
      <c r="K133" s="1827"/>
      <c r="L133" s="1827">
        <f ca="1">L129</f>
        <v>-5200000</v>
      </c>
      <c r="M133" s="1827">
        <f t="shared" ref="M133:BX133" ca="1" si="333">M129</f>
        <v>-391153.00715178321</v>
      </c>
      <c r="N133" s="1827">
        <f t="shared" ca="1" si="333"/>
        <v>-2750737.3328289636</v>
      </c>
      <c r="O133" s="1827">
        <f t="shared" ca="1" si="333"/>
        <v>-2750737.3328289636</v>
      </c>
      <c r="P133" s="1827">
        <f t="shared" ca="1" si="333"/>
        <v>-2750737.3328289636</v>
      </c>
      <c r="Q133" s="1827">
        <f t="shared" ca="1" si="333"/>
        <v>-2750737.3328289636</v>
      </c>
      <c r="R133" s="1827">
        <f t="shared" ca="1" si="333"/>
        <v>-2750737.3328289636</v>
      </c>
      <c r="S133" s="1827">
        <f t="shared" ca="1" si="333"/>
        <v>-2648862.4467854165</v>
      </c>
      <c r="T133" s="1827">
        <f t="shared" ca="1" si="333"/>
        <v>0</v>
      </c>
      <c r="U133" s="1827">
        <f t="shared" ca="1" si="333"/>
        <v>0</v>
      </c>
      <c r="V133" s="1827">
        <f t="shared" ca="1" si="333"/>
        <v>0</v>
      </c>
      <c r="W133" s="1827">
        <f t="shared" ca="1" si="333"/>
        <v>0</v>
      </c>
      <c r="X133" s="1827">
        <f t="shared" ca="1" si="333"/>
        <v>0</v>
      </c>
      <c r="Y133" s="1827">
        <f t="shared" ca="1" si="333"/>
        <v>0</v>
      </c>
      <c r="Z133" s="1827">
        <f t="shared" ca="1" si="333"/>
        <v>0</v>
      </c>
      <c r="AA133" s="1827">
        <f t="shared" ca="1" si="333"/>
        <v>0</v>
      </c>
      <c r="AB133" s="1827">
        <f t="shared" ca="1" si="333"/>
        <v>0</v>
      </c>
      <c r="AC133" s="1827">
        <f t="shared" ca="1" si="333"/>
        <v>0</v>
      </c>
      <c r="AD133" s="1827">
        <f t="shared" ca="1" si="333"/>
        <v>0</v>
      </c>
      <c r="AE133" s="1827">
        <f t="shared" ca="1" si="333"/>
        <v>131719.02465141728</v>
      </c>
      <c r="AF133" s="1827">
        <f t="shared" ca="1" si="333"/>
        <v>131719.02465141728</v>
      </c>
      <c r="AG133" s="1827">
        <f t="shared" ca="1" si="333"/>
        <v>131719.02465141728</v>
      </c>
      <c r="AH133" s="1827">
        <f t="shared" ca="1" si="333"/>
        <v>143110.42607851737</v>
      </c>
      <c r="AI133" s="1827">
        <f t="shared" ca="1" si="333"/>
        <v>187893.02928506277</v>
      </c>
      <c r="AJ133" s="1827">
        <f t="shared" ca="1" si="333"/>
        <v>223258.32390192867</v>
      </c>
      <c r="AK133" s="1827">
        <f t="shared" ca="1" si="333"/>
        <v>8753494.2609041221</v>
      </c>
      <c r="AL133" s="1827">
        <f t="shared" ca="1" si="333"/>
        <v>-17370.623266367096</v>
      </c>
      <c r="AM133" s="1827">
        <f t="shared" ca="1" si="333"/>
        <v>26103.651216286671</v>
      </c>
      <c r="AN133" s="1827">
        <f t="shared" ca="1" si="333"/>
        <v>121282.88700700147</v>
      </c>
      <c r="AO133" s="1827">
        <f t="shared" ca="1" si="333"/>
        <v>7251.7013281394029</v>
      </c>
      <c r="AP133" s="1827">
        <f t="shared" ca="1" si="333"/>
        <v>-62288.239624104375</v>
      </c>
      <c r="AQ133" s="1827">
        <f t="shared" ca="1" si="333"/>
        <v>-102171.0570176622</v>
      </c>
      <c r="AR133" s="1827">
        <f t="shared" ca="1" si="333"/>
        <v>-22186.620393879595</v>
      </c>
      <c r="AS133" s="1827">
        <f t="shared" ca="1" si="333"/>
        <v>122311.60534646138</v>
      </c>
      <c r="AT133" s="1827">
        <f t="shared" ca="1" si="333"/>
        <v>129749.23374339618</v>
      </c>
      <c r="AU133" s="1827">
        <f t="shared" ca="1" si="333"/>
        <v>155324.10182380988</v>
      </c>
      <c r="AV133" s="1827">
        <f t="shared" ca="1" si="333"/>
        <v>177521.84196787977</v>
      </c>
      <c r="AW133" s="1827">
        <f t="shared" ca="1" si="333"/>
        <v>99732.883186023158</v>
      </c>
      <c r="AX133" s="1827">
        <f t="shared" ca="1" si="333"/>
        <v>96873.10662356703</v>
      </c>
      <c r="AY133" s="1827">
        <f t="shared" ca="1" si="333"/>
        <v>137172.6144919974</v>
      </c>
      <c r="AZ133" s="1827">
        <f t="shared" ca="1" si="333"/>
        <v>238658.3937898796</v>
      </c>
      <c r="BA133" s="1827">
        <f t="shared" ca="1" si="333"/>
        <v>85491.145679710171</v>
      </c>
      <c r="BB133" s="1827">
        <f t="shared" ca="1" si="333"/>
        <v>-8424.5963284388126</v>
      </c>
      <c r="BC133" s="1827">
        <f t="shared" ca="1" si="333"/>
        <v>-63647.334740154925</v>
      </c>
      <c r="BD133" s="1827">
        <f t="shared" ca="1" si="333"/>
        <v>16019.477605383436</v>
      </c>
      <c r="BE133" s="1827">
        <f t="shared" ca="1" si="333"/>
        <v>161989.66377544744</v>
      </c>
      <c r="BF133" s="1827">
        <f t="shared" ca="1" si="333"/>
        <v>156201.66153444018</v>
      </c>
      <c r="BG133" s="1827">
        <f t="shared" ca="1" si="333"/>
        <v>169453.90276853612</v>
      </c>
      <c r="BH133" s="1827">
        <f t="shared" ca="1" si="333"/>
        <v>178748.90117303623</v>
      </c>
      <c r="BI133" s="1827">
        <f t="shared" ca="1" si="333"/>
        <v>99721.875262605958</v>
      </c>
      <c r="BJ133" s="1827">
        <f t="shared" ca="1" si="333"/>
        <v>96826.063886152464</v>
      </c>
      <c r="BK133" s="1827">
        <f t="shared" ca="1" si="333"/>
        <v>137764.1821413227</v>
      </c>
      <c r="BL133" s="1827">
        <f t="shared" ca="1" si="333"/>
        <v>240811.75259696439</v>
      </c>
      <c r="BM133" s="1827">
        <f t="shared" ca="1" si="333"/>
        <v>85302.743708306196</v>
      </c>
      <c r="BN133" s="1827">
        <f t="shared" ca="1" si="333"/>
        <v>-10040.908999584964</v>
      </c>
      <c r="BO133" s="1827">
        <f t="shared" ca="1" si="333"/>
        <v>-62978.033074759936</v>
      </c>
      <c r="BP133" s="1827">
        <f t="shared" ca="1" si="333"/>
        <v>34940.034722330107</v>
      </c>
      <c r="BQ133" s="1827">
        <f t="shared" ca="1" si="333"/>
        <v>166019.00941374307</v>
      </c>
      <c r="BR133" s="1827">
        <f t="shared" ca="1" si="333"/>
        <v>160159.78975891008</v>
      </c>
      <c r="BS133" s="1827">
        <f t="shared" ca="1" si="333"/>
        <v>173600.59008825786</v>
      </c>
      <c r="BT133" s="1827">
        <f t="shared" ca="1" si="333"/>
        <v>183061.13629277598</v>
      </c>
      <c r="BU133" s="1827">
        <f t="shared" ca="1" si="333"/>
        <v>102791.7692889616</v>
      </c>
      <c r="BV133" s="1827">
        <f t="shared" ca="1" si="333"/>
        <v>99860.334808576561</v>
      </c>
      <c r="BW133" s="1827">
        <f t="shared" ca="1" si="333"/>
        <v>141439.11051660968</v>
      </c>
      <c r="BX133" s="1827">
        <f t="shared" ca="1" si="333"/>
        <v>246050.84239810854</v>
      </c>
      <c r="BY133" s="1827">
        <f t="shared" ref="BY133:EA133" ca="1" si="334">BY129</f>
        <v>88197.417607551353</v>
      </c>
      <c r="BZ133" s="1827">
        <f t="shared" ca="1" si="334"/>
        <v>-8575.2962742587551</v>
      </c>
      <c r="CA133" s="1827">
        <f t="shared" ca="1" si="334"/>
        <v>-62466.715909289749</v>
      </c>
      <c r="CB133" s="1827">
        <f t="shared" ca="1" si="334"/>
        <v>19603.102874313976</v>
      </c>
      <c r="CC133" s="1827">
        <f t="shared" ca="1" si="334"/>
        <v>169888.89989182408</v>
      </c>
      <c r="CD133" s="1827">
        <f t="shared" ca="1" si="334"/>
        <v>163959.39898035227</v>
      </c>
      <c r="CE133" s="1827">
        <f t="shared" ca="1" si="334"/>
        <v>177588.14493355676</v>
      </c>
      <c r="CF133" s="1827">
        <f t="shared" ca="1" si="334"/>
        <v>187215.67703480468</v>
      </c>
      <c r="CG133" s="1827">
        <f t="shared" ca="1" si="334"/>
        <v>105700.55279532235</v>
      </c>
      <c r="CH133" s="1827">
        <f t="shared" ca="1" si="334"/>
        <v>102733.96405500927</v>
      </c>
      <c r="CI133" s="1827">
        <f t="shared" ca="1" si="334"/>
        <v>144954.99235664724</v>
      </c>
      <c r="CJ133" s="1827">
        <f t="shared" ca="1" si="334"/>
        <v>251131.99253614427</v>
      </c>
      <c r="CK133" s="1827">
        <f t="shared" ca="1" si="334"/>
        <v>90933.444997574145</v>
      </c>
      <c r="CL133" s="1827">
        <f t="shared" ca="1" si="334"/>
        <v>-7268.2644411533256</v>
      </c>
      <c r="CM133" s="1827">
        <f t="shared" ca="1" si="334"/>
        <v>-62123.59395796372</v>
      </c>
      <c r="CN133" s="1827">
        <f t="shared" ca="1" si="334"/>
        <v>21147.237635752303</v>
      </c>
      <c r="CO133" s="1827">
        <f t="shared" ca="1" si="334"/>
        <v>173586.01221627771</v>
      </c>
      <c r="CP133" s="1827">
        <f t="shared" ca="1" si="334"/>
        <v>167587.28647045814</v>
      </c>
      <c r="CQ133" s="1827">
        <f t="shared" ca="1" si="334"/>
        <v>181403.15806465395</v>
      </c>
      <c r="CR133" s="1827">
        <f t="shared" ca="1" si="334"/>
        <v>194138.413022722</v>
      </c>
      <c r="CS133" s="1827">
        <f t="shared" ca="1" si="334"/>
        <v>111375.02854373492</v>
      </c>
      <c r="CT133" s="1827">
        <f t="shared" ca="1" si="334"/>
        <v>108373.81457893029</v>
      </c>
      <c r="CU133" s="1827">
        <f t="shared" ca="1" si="334"/>
        <v>151238.20973165246</v>
      </c>
      <c r="CV133" s="1827">
        <f t="shared" ca="1" si="334"/>
        <v>258980.24374833444</v>
      </c>
      <c r="CW133" s="1827">
        <f t="shared" ca="1" si="334"/>
        <v>96437.934179181873</v>
      </c>
      <c r="CX133" s="1827">
        <f t="shared" ca="1" si="334"/>
        <v>-3191.4151073841786</v>
      </c>
      <c r="CY133" s="1827">
        <f t="shared" ca="1" si="334"/>
        <v>-52345.812135934262</v>
      </c>
      <c r="CZ133" s="1827">
        <f t="shared" ca="1" si="334"/>
        <v>33423.144405593514</v>
      </c>
      <c r="DA133" s="1827">
        <f t="shared" ca="1" si="334"/>
        <v>190435.08222353479</v>
      </c>
      <c r="DB133" s="1827">
        <f t="shared" ca="1" si="334"/>
        <v>184256.39470534038</v>
      </c>
      <c r="DC133" s="1827">
        <f t="shared" ca="1" si="334"/>
        <v>198486.74244736205</v>
      </c>
      <c r="DD133" s="1827">
        <f t="shared" ca="1" si="334"/>
        <v>186046.72208652302</v>
      </c>
      <c r="DE133" s="1827">
        <f t="shared" ca="1" si="334"/>
        <v>100800.43607316664</v>
      </c>
      <c r="DF133" s="1827">
        <f t="shared" ca="1" si="334"/>
        <v>97709.185689417995</v>
      </c>
      <c r="DG133" s="1827">
        <f t="shared" ca="1" si="334"/>
        <v>141859.51269672162</v>
      </c>
      <c r="DH133" s="1827">
        <f t="shared" ca="1" si="334"/>
        <v>252833.80773390399</v>
      </c>
      <c r="DI133" s="1827">
        <f t="shared" ca="1" si="334"/>
        <v>85415.228877676826</v>
      </c>
      <c r="DJ133" s="1827">
        <f t="shared" ca="1" si="334"/>
        <v>-17203.00088748624</v>
      </c>
      <c r="DK133" s="1827">
        <f t="shared" ca="1" si="334"/>
        <v>-67832.029826892584</v>
      </c>
      <c r="DL133" s="1827">
        <f t="shared" ca="1" si="334"/>
        <v>39113.263332696602</v>
      </c>
      <c r="DM133" s="1827">
        <f t="shared" ca="1" si="334"/>
        <v>182232.29136336016</v>
      </c>
      <c r="DN133" s="1827">
        <f t="shared" ca="1" si="334"/>
        <v>175868.24321961982</v>
      </c>
      <c r="DO133" s="1827">
        <f t="shared" ca="1" si="334"/>
        <v>190525.50139390258</v>
      </c>
      <c r="DP133" s="1827">
        <f t="shared" ca="1" si="334"/>
        <v>199237.96802111241</v>
      </c>
      <c r="DQ133" s="1827">
        <f t="shared" ca="1" si="334"/>
        <v>111434.29342735544</v>
      </c>
      <c r="DR133" s="1827">
        <f t="shared" ca="1" si="334"/>
        <v>108250.30553209397</v>
      </c>
      <c r="DS133" s="1827">
        <f t="shared" ca="1" si="334"/>
        <v>153725.14234961706</v>
      </c>
      <c r="DT133" s="1827">
        <f t="shared" ca="1" si="334"/>
        <v>268028.66623791517</v>
      </c>
      <c r="DU133" s="1827">
        <f t="shared" ca="1" si="334"/>
        <v>95587.530016001023</v>
      </c>
      <c r="DV133" s="1827">
        <f t="shared" ca="1" si="334"/>
        <v>-10109.246642117039</v>
      </c>
      <c r="DW133" s="1827">
        <f t="shared" ca="1" si="334"/>
        <v>-62257.146449705673</v>
      </c>
      <c r="DX133" s="1827">
        <f t="shared" ca="1" si="334"/>
        <v>28735.139545201033</v>
      </c>
      <c r="DY133" s="1827">
        <f t="shared" ca="1" si="334"/>
        <v>195309.10437625455</v>
      </c>
      <c r="DZ133" s="1827">
        <f t="shared" ca="1" si="334"/>
        <v>188754.13478820256</v>
      </c>
      <c r="EA133" s="1827">
        <f t="shared" ca="1" si="334"/>
        <v>51669765.886451244</v>
      </c>
      <c r="EB133" s="389"/>
      <c r="EC133" s="392" t="s">
        <v>65</v>
      </c>
    </row>
    <row r="134" spans="1:133" s="390" customFormat="1">
      <c r="A134" s="389"/>
      <c r="B134" s="389"/>
      <c r="C134" s="389"/>
      <c r="D134" s="389" t="s">
        <v>1163</v>
      </c>
      <c r="F134" s="716"/>
      <c r="G134" s="716"/>
      <c r="H134" s="716"/>
      <c r="I134" s="1826">
        <f t="shared" ca="1" si="332"/>
        <v>21993702.118082017</v>
      </c>
      <c r="J134" s="716"/>
      <c r="K134" s="1827"/>
      <c r="L134" s="1829">
        <f ca="1">L103+L104</f>
        <v>5200000</v>
      </c>
      <c r="M134" s="1829">
        <f t="shared" ref="M134:BX134" ca="1" si="335">M103+M104</f>
        <v>391153.00715178321</v>
      </c>
      <c r="N134" s="1829">
        <f t="shared" ca="1" si="335"/>
        <v>2750737.3328289636</v>
      </c>
      <c r="O134" s="1829">
        <f t="shared" ca="1" si="335"/>
        <v>2750737.3328289636</v>
      </c>
      <c r="P134" s="1829">
        <f t="shared" ca="1" si="335"/>
        <v>2750737.3328289636</v>
      </c>
      <c r="Q134" s="1829">
        <f t="shared" ca="1" si="335"/>
        <v>2750737.3328289636</v>
      </c>
      <c r="R134" s="1829">
        <f t="shared" ca="1" si="335"/>
        <v>2750737.3328289636</v>
      </c>
      <c r="S134" s="1829">
        <f t="shared" ca="1" si="335"/>
        <v>2648862.4467854165</v>
      </c>
      <c r="T134" s="1829">
        <f t="shared" ca="1" si="335"/>
        <v>0</v>
      </c>
      <c r="U134" s="1829">
        <f t="shared" ca="1" si="335"/>
        <v>0</v>
      </c>
      <c r="V134" s="1829">
        <f t="shared" ca="1" si="335"/>
        <v>0</v>
      </c>
      <c r="W134" s="1829">
        <f t="shared" ca="1" si="335"/>
        <v>0</v>
      </c>
      <c r="X134" s="1829">
        <f t="shared" ca="1" si="335"/>
        <v>0</v>
      </c>
      <c r="Y134" s="1829">
        <f t="shared" ca="1" si="335"/>
        <v>0</v>
      </c>
      <c r="Z134" s="1829">
        <f t="shared" ca="1" si="335"/>
        <v>0</v>
      </c>
      <c r="AA134" s="1829">
        <f t="shared" ca="1" si="335"/>
        <v>0</v>
      </c>
      <c r="AB134" s="1829">
        <f t="shared" ca="1" si="335"/>
        <v>0</v>
      </c>
      <c r="AC134" s="1829">
        <f t="shared" ca="1" si="335"/>
        <v>0</v>
      </c>
      <c r="AD134" s="1829">
        <f t="shared" ca="1" si="335"/>
        <v>0</v>
      </c>
      <c r="AE134" s="1829">
        <f t="shared" ca="1" si="335"/>
        <v>0</v>
      </c>
      <c r="AF134" s="1829">
        <f t="shared" ca="1" si="335"/>
        <v>0</v>
      </c>
      <c r="AG134" s="1829">
        <f t="shared" ca="1" si="335"/>
        <v>0</v>
      </c>
      <c r="AH134" s="1829">
        <f t="shared" ca="1" si="335"/>
        <v>0</v>
      </c>
      <c r="AI134" s="1829">
        <f t="shared" ca="1" si="335"/>
        <v>0</v>
      </c>
      <c r="AJ134" s="1829">
        <f t="shared" ca="1" si="335"/>
        <v>0</v>
      </c>
      <c r="AK134" s="1829">
        <f t="shared" ca="1" si="335"/>
        <v>0</v>
      </c>
      <c r="AL134" s="1829">
        <f t="shared" ca="1" si="335"/>
        <v>0</v>
      </c>
      <c r="AM134" s="1829">
        <f t="shared" ca="1" si="335"/>
        <v>0</v>
      </c>
      <c r="AN134" s="1829">
        <f t="shared" ca="1" si="335"/>
        <v>0</v>
      </c>
      <c r="AO134" s="1829">
        <f t="shared" ca="1" si="335"/>
        <v>0</v>
      </c>
      <c r="AP134" s="1829">
        <f t="shared" ca="1" si="335"/>
        <v>0</v>
      </c>
      <c r="AQ134" s="1829">
        <f t="shared" ca="1" si="335"/>
        <v>0</v>
      </c>
      <c r="AR134" s="1829">
        <f t="shared" ca="1" si="335"/>
        <v>0</v>
      </c>
      <c r="AS134" s="1829">
        <f t="shared" ca="1" si="335"/>
        <v>0</v>
      </c>
      <c r="AT134" s="1829">
        <f t="shared" ca="1" si="335"/>
        <v>0</v>
      </c>
      <c r="AU134" s="1829">
        <f t="shared" ca="1" si="335"/>
        <v>0</v>
      </c>
      <c r="AV134" s="1829">
        <f t="shared" ca="1" si="335"/>
        <v>0</v>
      </c>
      <c r="AW134" s="1829">
        <f t="shared" ca="1" si="335"/>
        <v>0</v>
      </c>
      <c r="AX134" s="1829">
        <f t="shared" ca="1" si="335"/>
        <v>0</v>
      </c>
      <c r="AY134" s="1829">
        <f t="shared" ca="1" si="335"/>
        <v>0</v>
      </c>
      <c r="AZ134" s="1829">
        <f t="shared" ca="1" si="335"/>
        <v>0</v>
      </c>
      <c r="BA134" s="1829">
        <f t="shared" ca="1" si="335"/>
        <v>0</v>
      </c>
      <c r="BB134" s="1829">
        <f t="shared" ca="1" si="335"/>
        <v>0</v>
      </c>
      <c r="BC134" s="1829">
        <f t="shared" ca="1" si="335"/>
        <v>0</v>
      </c>
      <c r="BD134" s="1829">
        <f t="shared" ca="1" si="335"/>
        <v>0</v>
      </c>
      <c r="BE134" s="1829">
        <f t="shared" ca="1" si="335"/>
        <v>0</v>
      </c>
      <c r="BF134" s="1829">
        <f t="shared" ca="1" si="335"/>
        <v>0</v>
      </c>
      <c r="BG134" s="1829">
        <f t="shared" ca="1" si="335"/>
        <v>0</v>
      </c>
      <c r="BH134" s="1829">
        <f t="shared" ca="1" si="335"/>
        <v>0</v>
      </c>
      <c r="BI134" s="1829">
        <f t="shared" ca="1" si="335"/>
        <v>0</v>
      </c>
      <c r="BJ134" s="1829">
        <f t="shared" ca="1" si="335"/>
        <v>0</v>
      </c>
      <c r="BK134" s="1829">
        <f t="shared" ca="1" si="335"/>
        <v>0</v>
      </c>
      <c r="BL134" s="1829">
        <f t="shared" ca="1" si="335"/>
        <v>0</v>
      </c>
      <c r="BM134" s="1829">
        <f t="shared" ca="1" si="335"/>
        <v>0</v>
      </c>
      <c r="BN134" s="1829">
        <f t="shared" ca="1" si="335"/>
        <v>0</v>
      </c>
      <c r="BO134" s="1829">
        <f t="shared" ca="1" si="335"/>
        <v>0</v>
      </c>
      <c r="BP134" s="1829">
        <f t="shared" ca="1" si="335"/>
        <v>0</v>
      </c>
      <c r="BQ134" s="1829">
        <f t="shared" ca="1" si="335"/>
        <v>0</v>
      </c>
      <c r="BR134" s="1829">
        <f t="shared" ca="1" si="335"/>
        <v>0</v>
      </c>
      <c r="BS134" s="1829">
        <f t="shared" ca="1" si="335"/>
        <v>0</v>
      </c>
      <c r="BT134" s="1829">
        <f t="shared" ca="1" si="335"/>
        <v>0</v>
      </c>
      <c r="BU134" s="1829">
        <f t="shared" ca="1" si="335"/>
        <v>0</v>
      </c>
      <c r="BV134" s="1829">
        <f t="shared" ca="1" si="335"/>
        <v>0</v>
      </c>
      <c r="BW134" s="1829">
        <f t="shared" ca="1" si="335"/>
        <v>0</v>
      </c>
      <c r="BX134" s="1829">
        <f t="shared" ca="1" si="335"/>
        <v>0</v>
      </c>
      <c r="BY134" s="1829">
        <f t="shared" ref="BY134:EA134" ca="1" si="336">BY103+BY104</f>
        <v>0</v>
      </c>
      <c r="BZ134" s="1829">
        <f t="shared" ca="1" si="336"/>
        <v>0</v>
      </c>
      <c r="CA134" s="1829">
        <f t="shared" ca="1" si="336"/>
        <v>0</v>
      </c>
      <c r="CB134" s="1829">
        <f t="shared" ca="1" si="336"/>
        <v>0</v>
      </c>
      <c r="CC134" s="1829">
        <f t="shared" ca="1" si="336"/>
        <v>0</v>
      </c>
      <c r="CD134" s="1829">
        <f t="shared" ca="1" si="336"/>
        <v>0</v>
      </c>
      <c r="CE134" s="1829">
        <f t="shared" ca="1" si="336"/>
        <v>0</v>
      </c>
      <c r="CF134" s="1829">
        <f t="shared" ca="1" si="336"/>
        <v>0</v>
      </c>
      <c r="CG134" s="1829">
        <f t="shared" ca="1" si="336"/>
        <v>0</v>
      </c>
      <c r="CH134" s="1829">
        <f t="shared" ca="1" si="336"/>
        <v>0</v>
      </c>
      <c r="CI134" s="1829">
        <f t="shared" ca="1" si="336"/>
        <v>0</v>
      </c>
      <c r="CJ134" s="1829">
        <f t="shared" ca="1" si="336"/>
        <v>0</v>
      </c>
      <c r="CK134" s="1829">
        <f t="shared" ca="1" si="336"/>
        <v>0</v>
      </c>
      <c r="CL134" s="1829">
        <f t="shared" ca="1" si="336"/>
        <v>0</v>
      </c>
      <c r="CM134" s="1829">
        <f t="shared" ca="1" si="336"/>
        <v>0</v>
      </c>
      <c r="CN134" s="1829">
        <f t="shared" ca="1" si="336"/>
        <v>0</v>
      </c>
      <c r="CO134" s="1829">
        <f t="shared" ca="1" si="336"/>
        <v>0</v>
      </c>
      <c r="CP134" s="1829">
        <f t="shared" ca="1" si="336"/>
        <v>0</v>
      </c>
      <c r="CQ134" s="1829">
        <f t="shared" ca="1" si="336"/>
        <v>0</v>
      </c>
      <c r="CR134" s="1829">
        <f t="shared" ca="1" si="336"/>
        <v>0</v>
      </c>
      <c r="CS134" s="1829">
        <f t="shared" ca="1" si="336"/>
        <v>0</v>
      </c>
      <c r="CT134" s="1829">
        <f t="shared" ca="1" si="336"/>
        <v>0</v>
      </c>
      <c r="CU134" s="1829">
        <f t="shared" ca="1" si="336"/>
        <v>0</v>
      </c>
      <c r="CV134" s="1829">
        <f t="shared" ca="1" si="336"/>
        <v>0</v>
      </c>
      <c r="CW134" s="1829">
        <f t="shared" ca="1" si="336"/>
        <v>0</v>
      </c>
      <c r="CX134" s="1829">
        <f t="shared" ca="1" si="336"/>
        <v>0</v>
      </c>
      <c r="CY134" s="1829">
        <f t="shared" ca="1" si="336"/>
        <v>0</v>
      </c>
      <c r="CZ134" s="1829">
        <f t="shared" ca="1" si="336"/>
        <v>0</v>
      </c>
      <c r="DA134" s="1829">
        <f t="shared" ca="1" si="336"/>
        <v>0</v>
      </c>
      <c r="DB134" s="1829">
        <f t="shared" ca="1" si="336"/>
        <v>0</v>
      </c>
      <c r="DC134" s="1829">
        <f t="shared" ca="1" si="336"/>
        <v>0</v>
      </c>
      <c r="DD134" s="1829">
        <f t="shared" ca="1" si="336"/>
        <v>0</v>
      </c>
      <c r="DE134" s="1829">
        <f t="shared" ca="1" si="336"/>
        <v>0</v>
      </c>
      <c r="DF134" s="1829">
        <f t="shared" ca="1" si="336"/>
        <v>0</v>
      </c>
      <c r="DG134" s="1829">
        <f t="shared" ca="1" si="336"/>
        <v>0</v>
      </c>
      <c r="DH134" s="1829">
        <f t="shared" ca="1" si="336"/>
        <v>0</v>
      </c>
      <c r="DI134" s="1829">
        <f t="shared" ca="1" si="336"/>
        <v>0</v>
      </c>
      <c r="DJ134" s="1829">
        <f t="shared" ca="1" si="336"/>
        <v>0</v>
      </c>
      <c r="DK134" s="1829">
        <f t="shared" ca="1" si="336"/>
        <v>0</v>
      </c>
      <c r="DL134" s="1829">
        <f t="shared" ca="1" si="336"/>
        <v>0</v>
      </c>
      <c r="DM134" s="1829">
        <f t="shared" ca="1" si="336"/>
        <v>0</v>
      </c>
      <c r="DN134" s="1829">
        <f t="shared" ca="1" si="336"/>
        <v>0</v>
      </c>
      <c r="DO134" s="1829">
        <f t="shared" ca="1" si="336"/>
        <v>0</v>
      </c>
      <c r="DP134" s="1829">
        <f t="shared" ca="1" si="336"/>
        <v>0</v>
      </c>
      <c r="DQ134" s="1829">
        <f t="shared" ca="1" si="336"/>
        <v>0</v>
      </c>
      <c r="DR134" s="1829">
        <f t="shared" ca="1" si="336"/>
        <v>0</v>
      </c>
      <c r="DS134" s="1829">
        <f t="shared" ca="1" si="336"/>
        <v>0</v>
      </c>
      <c r="DT134" s="1829">
        <f t="shared" ca="1" si="336"/>
        <v>0</v>
      </c>
      <c r="DU134" s="1829">
        <f t="shared" ca="1" si="336"/>
        <v>0</v>
      </c>
      <c r="DV134" s="1829">
        <f t="shared" ca="1" si="336"/>
        <v>0</v>
      </c>
      <c r="DW134" s="1829">
        <f t="shared" ca="1" si="336"/>
        <v>0</v>
      </c>
      <c r="DX134" s="1829">
        <f t="shared" ca="1" si="336"/>
        <v>0</v>
      </c>
      <c r="DY134" s="1829">
        <f t="shared" ca="1" si="336"/>
        <v>0</v>
      </c>
      <c r="DZ134" s="1829">
        <f t="shared" ca="1" si="336"/>
        <v>0</v>
      </c>
      <c r="EA134" s="1829">
        <f t="shared" ca="1" si="336"/>
        <v>0</v>
      </c>
      <c r="EB134" s="389"/>
      <c r="EC134" s="392" t="s">
        <v>65</v>
      </c>
    </row>
    <row r="135" spans="1:133" s="390" customFormat="1">
      <c r="A135" s="389"/>
      <c r="B135" s="389"/>
      <c r="C135" s="389"/>
      <c r="D135" s="457" t="s">
        <v>1164</v>
      </c>
      <c r="E135" s="457" t="s">
        <v>1167</v>
      </c>
      <c r="F135" s="1830">
        <v>500000</v>
      </c>
      <c r="G135" s="1836"/>
      <c r="H135" s="1836"/>
      <c r="I135" s="1837">
        <f t="shared" ca="1" si="332"/>
        <v>-71092677.840239987</v>
      </c>
      <c r="J135" s="716"/>
      <c r="K135" s="1840"/>
      <c r="L135" s="1840"/>
      <c r="M135" s="1840"/>
      <c r="N135" s="1840"/>
      <c r="O135" s="1840"/>
      <c r="P135" s="1840"/>
      <c r="Q135" s="1840"/>
      <c r="R135" s="1840"/>
      <c r="S135" s="1840"/>
      <c r="T135" s="1840"/>
      <c r="U135" s="1840"/>
      <c r="V135" s="1840"/>
      <c r="W135" s="1840"/>
      <c r="X135" s="1840"/>
      <c r="Y135" s="1840"/>
      <c r="Z135" s="1840"/>
      <c r="AA135" s="1840"/>
      <c r="AB135" s="1840"/>
      <c r="AC135" s="1840"/>
      <c r="AD135" s="1840"/>
      <c r="AE135" s="1831"/>
      <c r="AF135" s="1831"/>
      <c r="AG135" s="1831"/>
      <c r="AH135" s="1831"/>
      <c r="AI135" s="1831"/>
      <c r="AJ135" s="1831"/>
      <c r="AK135" s="1828">
        <f t="shared" ref="AK135" ca="1" si="337">IF(SUM(AK132:AK134)&gt;$F$135,-SUM(AK132:AK134)+$F$135,0)</f>
        <v>-9202913.1141238827</v>
      </c>
      <c r="AL135" s="1828">
        <f t="shared" ref="AL135" ca="1" si="338">IF(SUM(AL132:AL134)&gt;$F$135,-SUM(AL132:AL134)+$F$135,0)</f>
        <v>0</v>
      </c>
      <c r="AM135" s="1828">
        <f t="shared" ref="AM135" ca="1" si="339">IF(SUM(AM132:AM134)&gt;$F$135,-SUM(AM132:AM134)+$F$135,0)</f>
        <v>-8733.0279499195749</v>
      </c>
      <c r="AN135" s="1828">
        <f t="shared" ref="AN135" ca="1" si="340">IF(SUM(AN132:AN134)&gt;$F$135,-SUM(AN132:AN134)+$F$135,0)</f>
        <v>-121282.88700700144</v>
      </c>
      <c r="AO135" s="1828">
        <f t="shared" ref="AO135" ca="1" si="341">IF(SUM(AO132:AO134)&gt;$F$135,-SUM(AO132:AO134)+$F$135,0)</f>
        <v>-7251.7013281394029</v>
      </c>
      <c r="AP135" s="1828">
        <f t="shared" ref="AP135" ca="1" si="342">IF(SUM(AP132:AP134)&gt;$F$135,-SUM(AP132:AP134)+$F$135,0)</f>
        <v>0</v>
      </c>
      <c r="AQ135" s="1828">
        <f t="shared" ref="AQ135" ca="1" si="343">IF(SUM(AQ132:AQ134)&gt;$F$135,-SUM(AQ132:AQ134)+$F$135,0)</f>
        <v>0</v>
      </c>
      <c r="AR135" s="1828">
        <f t="shared" ref="AR135" ca="1" si="344">IF(SUM(AR132:AR134)&gt;$F$135,-SUM(AR132:AR134)+$F$135,0)</f>
        <v>0</v>
      </c>
      <c r="AS135" s="1828">
        <f t="shared" ref="AS135" ca="1" si="345">IF(SUM(AS132:AS134)&gt;$F$135,-SUM(AS132:AS134)+$F$135,0)</f>
        <v>0</v>
      </c>
      <c r="AT135" s="1828">
        <f t="shared" ref="AT135" ca="1" si="346">IF(SUM(AT132:AT134)&gt;$F$135,-SUM(AT132:AT134)+$F$135,0)</f>
        <v>-65414.922054211376</v>
      </c>
      <c r="AU135" s="1828">
        <f t="shared" ref="AU135" ca="1" si="347">IF(SUM(AU132:AU134)&gt;$F$135,-SUM(AU132:AU134)+$F$135,0)</f>
        <v>-155324.10182380991</v>
      </c>
      <c r="AV135" s="1828">
        <f t="shared" ref="AV135:CQ135" ca="1" si="348">IF(SUM(AV132:AV134)&gt;$F$135,-SUM(AV132:AV134)+$F$135,0)</f>
        <v>-177521.84196787979</v>
      </c>
      <c r="AW135" s="1828">
        <f t="shared" ca="1" si="348"/>
        <v>-99732.883186023217</v>
      </c>
      <c r="AX135" s="1828">
        <f t="shared" ca="1" si="348"/>
        <v>-96873.106623567059</v>
      </c>
      <c r="AY135" s="1828">
        <f t="shared" ca="1" si="348"/>
        <v>-137172.6144919974</v>
      </c>
      <c r="AZ135" s="1828">
        <f t="shared" ca="1" si="348"/>
        <v>-238658.39378987963</v>
      </c>
      <c r="BA135" s="1828">
        <f t="shared" ca="1" si="348"/>
        <v>-85491.1456797102</v>
      </c>
      <c r="BB135" s="1828">
        <f t="shared" ca="1" si="348"/>
        <v>0</v>
      </c>
      <c r="BC135" s="1828">
        <f t="shared" ca="1" si="348"/>
        <v>0</v>
      </c>
      <c r="BD135" s="1828">
        <f t="shared" ca="1" si="348"/>
        <v>0</v>
      </c>
      <c r="BE135" s="1828">
        <f t="shared" ca="1" si="348"/>
        <v>-105937.21031223715</v>
      </c>
      <c r="BF135" s="1828">
        <f t="shared" ca="1" si="348"/>
        <v>-156201.66153444024</v>
      </c>
      <c r="BG135" s="1828">
        <f t="shared" ca="1" si="348"/>
        <v>-169453.90276853612</v>
      </c>
      <c r="BH135" s="1828">
        <f t="shared" ca="1" si="348"/>
        <v>-178748.9011730362</v>
      </c>
      <c r="BI135" s="1828">
        <f t="shared" ca="1" si="348"/>
        <v>-99721.875262605958</v>
      </c>
      <c r="BJ135" s="1828">
        <f t="shared" ca="1" si="348"/>
        <v>-96826.063886152464</v>
      </c>
      <c r="BK135" s="1828">
        <f t="shared" ca="1" si="348"/>
        <v>-137764.18214132264</v>
      </c>
      <c r="BL135" s="1828">
        <f t="shared" ca="1" si="348"/>
        <v>-240811.75259696436</v>
      </c>
      <c r="BM135" s="1828">
        <f t="shared" ca="1" si="348"/>
        <v>-85302.743708306225</v>
      </c>
      <c r="BN135" s="1828">
        <f t="shared" ca="1" si="348"/>
        <v>0</v>
      </c>
      <c r="BO135" s="1828">
        <f t="shared" ca="1" si="348"/>
        <v>0</v>
      </c>
      <c r="BP135" s="1828">
        <f t="shared" ca="1" si="348"/>
        <v>0</v>
      </c>
      <c r="BQ135" s="1828">
        <f t="shared" ca="1" si="348"/>
        <v>-127940.10206172825</v>
      </c>
      <c r="BR135" s="1828">
        <f t="shared" ca="1" si="348"/>
        <v>-160159.78975891008</v>
      </c>
      <c r="BS135" s="1828">
        <f t="shared" ca="1" si="348"/>
        <v>-173600.5900882578</v>
      </c>
      <c r="BT135" s="1828">
        <f t="shared" ca="1" si="348"/>
        <v>-183061.13629277598</v>
      </c>
      <c r="BU135" s="1828">
        <f t="shared" ca="1" si="348"/>
        <v>-102791.76928896154</v>
      </c>
      <c r="BV135" s="1828">
        <f t="shared" ca="1" si="348"/>
        <v>-99860.334808576619</v>
      </c>
      <c r="BW135" s="1828">
        <f t="shared" ca="1" si="348"/>
        <v>-141439.11051660962</v>
      </c>
      <c r="BX135" s="1828">
        <f t="shared" ca="1" si="348"/>
        <v>-246050.84239810857</v>
      </c>
      <c r="BY135" s="1828">
        <f t="shared" ca="1" si="348"/>
        <v>-88197.417607551324</v>
      </c>
      <c r="BZ135" s="1828">
        <f t="shared" ca="1" si="348"/>
        <v>0</v>
      </c>
      <c r="CA135" s="1828">
        <f t="shared" ca="1" si="348"/>
        <v>0</v>
      </c>
      <c r="CB135" s="1828">
        <f t="shared" ca="1" si="348"/>
        <v>0</v>
      </c>
      <c r="CC135" s="1828">
        <f t="shared" ca="1" si="348"/>
        <v>-118449.99058258953</v>
      </c>
      <c r="CD135" s="1828">
        <f t="shared" ca="1" si="348"/>
        <v>-163959.39898035233</v>
      </c>
      <c r="CE135" s="1828">
        <f t="shared" ca="1" si="348"/>
        <v>-177588.14493355679</v>
      </c>
      <c r="CF135" s="1828">
        <f t="shared" ca="1" si="348"/>
        <v>-187215.67703480471</v>
      </c>
      <c r="CG135" s="1828">
        <f t="shared" ca="1" si="348"/>
        <v>-105700.55279532238</v>
      </c>
      <c r="CH135" s="1828">
        <f t="shared" ca="1" si="348"/>
        <v>-102733.9640550093</v>
      </c>
      <c r="CI135" s="1828">
        <f t="shared" ca="1" si="348"/>
        <v>-144954.99235664727</v>
      </c>
      <c r="CJ135" s="1828">
        <f t="shared" ca="1" si="348"/>
        <v>-251131.99253614433</v>
      </c>
      <c r="CK135" s="1828">
        <f t="shared" ca="1" si="348"/>
        <v>-90933.444997574203</v>
      </c>
      <c r="CL135" s="1828">
        <f t="shared" ca="1" si="348"/>
        <v>0</v>
      </c>
      <c r="CM135" s="1828">
        <f t="shared" ca="1" si="348"/>
        <v>0</v>
      </c>
      <c r="CN135" s="1828">
        <f t="shared" ca="1" si="348"/>
        <v>0</v>
      </c>
      <c r="CO135" s="1828">
        <f t="shared" ca="1" si="348"/>
        <v>-125341.39145291294</v>
      </c>
      <c r="CP135" s="1828">
        <f t="shared" ca="1" si="348"/>
        <v>-167587.28647045814</v>
      </c>
      <c r="CQ135" s="1828">
        <f t="shared" ca="1" si="348"/>
        <v>-181403.15806465398</v>
      </c>
      <c r="CR135" s="1828">
        <f t="shared" ref="CR135:DZ135" ca="1" si="349">IF(SUM(CR132:CR134)&gt;$F$135,-SUM(CR132:CR134)+$F$135,0)</f>
        <v>-194138.413022722</v>
      </c>
      <c r="CS135" s="1828">
        <f t="shared" ca="1" si="349"/>
        <v>-111375.02854373492</v>
      </c>
      <c r="CT135" s="1828">
        <f t="shared" ca="1" si="349"/>
        <v>-108373.81457893027</v>
      </c>
      <c r="CU135" s="1828">
        <f t="shared" ca="1" si="349"/>
        <v>-151238.2097316524</v>
      </c>
      <c r="CV135" s="1828">
        <f t="shared" ca="1" si="349"/>
        <v>-258980.24374833447</v>
      </c>
      <c r="CW135" s="1828">
        <f t="shared" ca="1" si="349"/>
        <v>-96437.934179181932</v>
      </c>
      <c r="CX135" s="1828">
        <f t="shared" ca="1" si="349"/>
        <v>0</v>
      </c>
      <c r="CY135" s="1828">
        <f t="shared" ca="1" si="349"/>
        <v>0</v>
      </c>
      <c r="CZ135" s="1828">
        <f t="shared" ca="1" si="349"/>
        <v>0</v>
      </c>
      <c r="DA135" s="1828">
        <f t="shared" ca="1" si="349"/>
        <v>-168320.99938580988</v>
      </c>
      <c r="DB135" s="1828">
        <f t="shared" ca="1" si="349"/>
        <v>-184256.39470534038</v>
      </c>
      <c r="DC135" s="1828">
        <f t="shared" ca="1" si="349"/>
        <v>-198486.74244736205</v>
      </c>
      <c r="DD135" s="1828">
        <f t="shared" ca="1" si="349"/>
        <v>-186046.72208652296</v>
      </c>
      <c r="DE135" s="1828">
        <f t="shared" ca="1" si="349"/>
        <v>-100800.43607316667</v>
      </c>
      <c r="DF135" s="1828">
        <f t="shared" ca="1" si="349"/>
        <v>-97709.185689417995</v>
      </c>
      <c r="DG135" s="1828">
        <f t="shared" ca="1" si="349"/>
        <v>-141859.51269672159</v>
      </c>
      <c r="DH135" s="1828">
        <f t="shared" ca="1" si="349"/>
        <v>-252833.80773390399</v>
      </c>
      <c r="DI135" s="1828">
        <f t="shared" ca="1" si="349"/>
        <v>-85415.228877676884</v>
      </c>
      <c r="DJ135" s="1828">
        <f t="shared" ca="1" si="349"/>
        <v>0</v>
      </c>
      <c r="DK135" s="1828">
        <f t="shared" ca="1" si="349"/>
        <v>0</v>
      </c>
      <c r="DL135" s="1828">
        <f t="shared" ca="1" si="349"/>
        <v>0</v>
      </c>
      <c r="DM135" s="1828">
        <f t="shared" ca="1" si="349"/>
        <v>-136310.52398167783</v>
      </c>
      <c r="DN135" s="1828">
        <f t="shared" ca="1" si="349"/>
        <v>-175868.24321961985</v>
      </c>
      <c r="DO135" s="1828">
        <f t="shared" ca="1" si="349"/>
        <v>-190525.50139390258</v>
      </c>
      <c r="DP135" s="1828">
        <f t="shared" ca="1" si="349"/>
        <v>-199237.96802111238</v>
      </c>
      <c r="DQ135" s="1828">
        <f t="shared" ca="1" si="349"/>
        <v>-111434.29342735547</v>
      </c>
      <c r="DR135" s="1828">
        <f t="shared" ca="1" si="349"/>
        <v>-108250.30553209397</v>
      </c>
      <c r="DS135" s="1828">
        <f t="shared" ca="1" si="349"/>
        <v>-153725.14234961709</v>
      </c>
      <c r="DT135" s="1828">
        <f t="shared" ca="1" si="349"/>
        <v>-268028.66623791517</v>
      </c>
      <c r="DU135" s="1828">
        <f t="shared" ca="1" si="349"/>
        <v>-95587.530016001081</v>
      </c>
      <c r="DV135" s="1828">
        <f t="shared" ca="1" si="349"/>
        <v>0</v>
      </c>
      <c r="DW135" s="1828">
        <f t="shared" ca="1" si="349"/>
        <v>0</v>
      </c>
      <c r="DX135" s="1828">
        <f t="shared" ca="1" si="349"/>
        <v>0</v>
      </c>
      <c r="DY135" s="1828">
        <f t="shared" ca="1" si="349"/>
        <v>-151677.85082963295</v>
      </c>
      <c r="DZ135" s="1828">
        <f t="shared" ca="1" si="349"/>
        <v>-188754.13478820259</v>
      </c>
      <c r="EA135" s="1831">
        <f ca="1">-SUM(EA132:EA134)</f>
        <v>-52169765.886451244</v>
      </c>
      <c r="EB135" s="389"/>
      <c r="EC135" s="392" t="s">
        <v>65</v>
      </c>
    </row>
    <row r="136" spans="1:133" s="390" customFormat="1">
      <c r="A136" s="389"/>
      <c r="B136" s="389"/>
      <c r="C136" s="389"/>
      <c r="D136" s="389" t="s">
        <v>1165</v>
      </c>
      <c r="F136" s="716"/>
      <c r="G136" s="716"/>
      <c r="H136" s="716"/>
      <c r="I136" s="1826">
        <f ca="1">SUM(I132:I135)</f>
        <v>0</v>
      </c>
      <c r="J136" s="716"/>
      <c r="K136" s="1827">
        <f>SUM(K132:K135)</f>
        <v>0</v>
      </c>
      <c r="L136" s="1827">
        <f ca="1">SUM(L132:L135)</f>
        <v>0</v>
      </c>
      <c r="M136" s="1827">
        <f t="shared" ref="M136:BX136" ca="1" si="350">SUM(M132:M135)</f>
        <v>0</v>
      </c>
      <c r="N136" s="1827">
        <f t="shared" ca="1" si="350"/>
        <v>0</v>
      </c>
      <c r="O136" s="1827">
        <f t="shared" ca="1" si="350"/>
        <v>0</v>
      </c>
      <c r="P136" s="1827">
        <f t="shared" ca="1" si="350"/>
        <v>0</v>
      </c>
      <c r="Q136" s="1827">
        <f t="shared" ca="1" si="350"/>
        <v>0</v>
      </c>
      <c r="R136" s="1827">
        <f t="shared" ca="1" si="350"/>
        <v>0</v>
      </c>
      <c r="S136" s="1827">
        <f t="shared" ca="1" si="350"/>
        <v>0</v>
      </c>
      <c r="T136" s="1827">
        <f t="shared" ca="1" si="350"/>
        <v>0</v>
      </c>
      <c r="U136" s="1827">
        <f t="shared" ca="1" si="350"/>
        <v>0</v>
      </c>
      <c r="V136" s="1827">
        <f t="shared" ca="1" si="350"/>
        <v>0</v>
      </c>
      <c r="W136" s="1827">
        <f t="shared" ca="1" si="350"/>
        <v>0</v>
      </c>
      <c r="X136" s="1827">
        <f t="shared" ca="1" si="350"/>
        <v>0</v>
      </c>
      <c r="Y136" s="1827">
        <f t="shared" ca="1" si="350"/>
        <v>0</v>
      </c>
      <c r="Z136" s="1827">
        <f t="shared" ca="1" si="350"/>
        <v>0</v>
      </c>
      <c r="AA136" s="1827">
        <f t="shared" ca="1" si="350"/>
        <v>0</v>
      </c>
      <c r="AB136" s="1827">
        <f t="shared" ca="1" si="350"/>
        <v>0</v>
      </c>
      <c r="AC136" s="1827">
        <f t="shared" ca="1" si="350"/>
        <v>0</v>
      </c>
      <c r="AD136" s="1827">
        <f t="shared" ca="1" si="350"/>
        <v>0</v>
      </c>
      <c r="AE136" s="1827">
        <f t="shared" ca="1" si="350"/>
        <v>131719.02465141728</v>
      </c>
      <c r="AF136" s="1827">
        <f t="shared" ca="1" si="350"/>
        <v>263438.04930283455</v>
      </c>
      <c r="AG136" s="1827">
        <f t="shared" ca="1" si="350"/>
        <v>395157.07395425183</v>
      </c>
      <c r="AH136" s="1827">
        <f t="shared" ca="1" si="350"/>
        <v>538267.50003276917</v>
      </c>
      <c r="AI136" s="1827">
        <f t="shared" ca="1" si="350"/>
        <v>726160.52931783197</v>
      </c>
      <c r="AJ136" s="1827">
        <f t="shared" ca="1" si="350"/>
        <v>949418.85321976058</v>
      </c>
      <c r="AK136" s="1827">
        <f t="shared" ca="1" si="350"/>
        <v>500000</v>
      </c>
      <c r="AL136" s="1827">
        <f t="shared" ca="1" si="350"/>
        <v>482629.37673363287</v>
      </c>
      <c r="AM136" s="1827">
        <f t="shared" ca="1" si="350"/>
        <v>500000</v>
      </c>
      <c r="AN136" s="1827">
        <f t="shared" ca="1" si="350"/>
        <v>500000</v>
      </c>
      <c r="AO136" s="1827">
        <f t="shared" ca="1" si="350"/>
        <v>500000</v>
      </c>
      <c r="AP136" s="1827">
        <f t="shared" ca="1" si="350"/>
        <v>437711.76037589565</v>
      </c>
      <c r="AQ136" s="1827">
        <f t="shared" ca="1" si="350"/>
        <v>335540.70335823344</v>
      </c>
      <c r="AR136" s="1827">
        <f t="shared" ca="1" si="350"/>
        <v>313354.08296435385</v>
      </c>
      <c r="AS136" s="1827">
        <f t="shared" ca="1" si="350"/>
        <v>435665.68831081525</v>
      </c>
      <c r="AT136" s="1827">
        <f t="shared" ca="1" si="350"/>
        <v>500000</v>
      </c>
      <c r="AU136" s="1827">
        <f t="shared" ca="1" si="350"/>
        <v>500000</v>
      </c>
      <c r="AV136" s="1827">
        <f t="shared" ca="1" si="350"/>
        <v>500000</v>
      </c>
      <c r="AW136" s="1827">
        <f t="shared" ca="1" si="350"/>
        <v>500000</v>
      </c>
      <c r="AX136" s="1827">
        <f t="shared" ca="1" si="350"/>
        <v>500000</v>
      </c>
      <c r="AY136" s="1827">
        <f t="shared" ca="1" si="350"/>
        <v>500000</v>
      </c>
      <c r="AZ136" s="1827">
        <f t="shared" ca="1" si="350"/>
        <v>500000</v>
      </c>
      <c r="BA136" s="1827">
        <f t="shared" ca="1" si="350"/>
        <v>500000</v>
      </c>
      <c r="BB136" s="1827">
        <f t="shared" ca="1" si="350"/>
        <v>491575.40367156116</v>
      </c>
      <c r="BC136" s="1827">
        <f t="shared" ca="1" si="350"/>
        <v>427928.06893140625</v>
      </c>
      <c r="BD136" s="1827">
        <f t="shared" ca="1" si="350"/>
        <v>443947.54653678968</v>
      </c>
      <c r="BE136" s="1827">
        <f t="shared" ca="1" si="350"/>
        <v>500000</v>
      </c>
      <c r="BF136" s="1827">
        <f t="shared" ca="1" si="350"/>
        <v>500000</v>
      </c>
      <c r="BG136" s="1827">
        <f t="shared" ca="1" si="350"/>
        <v>500000</v>
      </c>
      <c r="BH136" s="1827">
        <f t="shared" ca="1" si="350"/>
        <v>500000</v>
      </c>
      <c r="BI136" s="1827">
        <f t="shared" ca="1" si="350"/>
        <v>500000</v>
      </c>
      <c r="BJ136" s="1827">
        <f t="shared" ca="1" si="350"/>
        <v>500000</v>
      </c>
      <c r="BK136" s="1827">
        <f t="shared" ca="1" si="350"/>
        <v>500000</v>
      </c>
      <c r="BL136" s="1827">
        <f t="shared" ca="1" si="350"/>
        <v>500000</v>
      </c>
      <c r="BM136" s="1827">
        <f t="shared" ca="1" si="350"/>
        <v>500000</v>
      </c>
      <c r="BN136" s="1827">
        <f t="shared" ca="1" si="350"/>
        <v>489959.09100041504</v>
      </c>
      <c r="BO136" s="1827">
        <f t="shared" ca="1" si="350"/>
        <v>426981.0579256551</v>
      </c>
      <c r="BP136" s="1827">
        <f t="shared" ca="1" si="350"/>
        <v>461921.09264798521</v>
      </c>
      <c r="BQ136" s="1827">
        <f t="shared" ca="1" si="350"/>
        <v>500000</v>
      </c>
      <c r="BR136" s="1827">
        <f t="shared" ca="1" si="350"/>
        <v>500000</v>
      </c>
      <c r="BS136" s="1827">
        <f t="shared" ca="1" si="350"/>
        <v>500000</v>
      </c>
      <c r="BT136" s="1827">
        <f t="shared" ca="1" si="350"/>
        <v>500000</v>
      </c>
      <c r="BU136" s="1827">
        <f t="shared" ca="1" si="350"/>
        <v>500000</v>
      </c>
      <c r="BV136" s="1827">
        <f t="shared" ca="1" si="350"/>
        <v>500000</v>
      </c>
      <c r="BW136" s="1827">
        <f t="shared" ca="1" si="350"/>
        <v>500000</v>
      </c>
      <c r="BX136" s="1827">
        <f t="shared" ca="1" si="350"/>
        <v>500000</v>
      </c>
      <c r="BY136" s="1827">
        <f t="shared" ref="BY136:EA136" ca="1" si="351">SUM(BY132:BY135)</f>
        <v>500000</v>
      </c>
      <c r="BZ136" s="1827">
        <f t="shared" ca="1" si="351"/>
        <v>491424.70372574124</v>
      </c>
      <c r="CA136" s="1827">
        <f t="shared" ca="1" si="351"/>
        <v>428957.98781645147</v>
      </c>
      <c r="CB136" s="1827">
        <f t="shared" ca="1" si="351"/>
        <v>448561.09069076541</v>
      </c>
      <c r="CC136" s="1827">
        <f t="shared" ca="1" si="351"/>
        <v>500000</v>
      </c>
      <c r="CD136" s="1827">
        <f t="shared" ca="1" si="351"/>
        <v>500000</v>
      </c>
      <c r="CE136" s="1827">
        <f t="shared" ca="1" si="351"/>
        <v>500000</v>
      </c>
      <c r="CF136" s="1827">
        <f t="shared" ca="1" si="351"/>
        <v>500000</v>
      </c>
      <c r="CG136" s="1827">
        <f t="shared" ca="1" si="351"/>
        <v>500000</v>
      </c>
      <c r="CH136" s="1827">
        <f t="shared" ca="1" si="351"/>
        <v>500000</v>
      </c>
      <c r="CI136" s="1827">
        <f t="shared" ca="1" si="351"/>
        <v>500000</v>
      </c>
      <c r="CJ136" s="1827">
        <f t="shared" ca="1" si="351"/>
        <v>500000</v>
      </c>
      <c r="CK136" s="1827">
        <f t="shared" ca="1" si="351"/>
        <v>500000</v>
      </c>
      <c r="CL136" s="1827">
        <f t="shared" ca="1" si="351"/>
        <v>492731.73555884667</v>
      </c>
      <c r="CM136" s="1827">
        <f t="shared" ca="1" si="351"/>
        <v>430608.14160088298</v>
      </c>
      <c r="CN136" s="1827">
        <f t="shared" ca="1" si="351"/>
        <v>451755.37923663529</v>
      </c>
      <c r="CO136" s="1827">
        <f t="shared" ca="1" si="351"/>
        <v>500000</v>
      </c>
      <c r="CP136" s="1827">
        <f t="shared" ca="1" si="351"/>
        <v>500000</v>
      </c>
      <c r="CQ136" s="1827">
        <f t="shared" ca="1" si="351"/>
        <v>500000</v>
      </c>
      <c r="CR136" s="1827">
        <f t="shared" ca="1" si="351"/>
        <v>500000</v>
      </c>
      <c r="CS136" s="1827">
        <f t="shared" ca="1" si="351"/>
        <v>500000</v>
      </c>
      <c r="CT136" s="1827">
        <f t="shared" ca="1" si="351"/>
        <v>500000</v>
      </c>
      <c r="CU136" s="1827">
        <f t="shared" ca="1" si="351"/>
        <v>500000</v>
      </c>
      <c r="CV136" s="1827">
        <f t="shared" ca="1" si="351"/>
        <v>500000</v>
      </c>
      <c r="CW136" s="1827">
        <f t="shared" ca="1" si="351"/>
        <v>500000</v>
      </c>
      <c r="CX136" s="1827">
        <f t="shared" ca="1" si="351"/>
        <v>496808.58489261579</v>
      </c>
      <c r="CY136" s="1827">
        <f t="shared" ca="1" si="351"/>
        <v>444462.77275668154</v>
      </c>
      <c r="CZ136" s="1827">
        <f t="shared" ca="1" si="351"/>
        <v>477885.91716227506</v>
      </c>
      <c r="DA136" s="1827">
        <f t="shared" ca="1" si="351"/>
        <v>500000</v>
      </c>
      <c r="DB136" s="1827">
        <f t="shared" ca="1" si="351"/>
        <v>500000</v>
      </c>
      <c r="DC136" s="1827">
        <f t="shared" ca="1" si="351"/>
        <v>500000</v>
      </c>
      <c r="DD136" s="1827">
        <f t="shared" ca="1" si="351"/>
        <v>500000</v>
      </c>
      <c r="DE136" s="1827">
        <f t="shared" ca="1" si="351"/>
        <v>500000</v>
      </c>
      <c r="DF136" s="1827">
        <f t="shared" ca="1" si="351"/>
        <v>500000</v>
      </c>
      <c r="DG136" s="1827">
        <f t="shared" ca="1" si="351"/>
        <v>500000</v>
      </c>
      <c r="DH136" s="1827">
        <f t="shared" ca="1" si="351"/>
        <v>500000</v>
      </c>
      <c r="DI136" s="1827">
        <f t="shared" ca="1" si="351"/>
        <v>500000</v>
      </c>
      <c r="DJ136" s="1827">
        <f t="shared" ca="1" si="351"/>
        <v>482796.99911251373</v>
      </c>
      <c r="DK136" s="1827">
        <f t="shared" ca="1" si="351"/>
        <v>414964.96928562113</v>
      </c>
      <c r="DL136" s="1827">
        <f t="shared" ca="1" si="351"/>
        <v>454078.23261831771</v>
      </c>
      <c r="DM136" s="1827">
        <f t="shared" ca="1" si="351"/>
        <v>500000</v>
      </c>
      <c r="DN136" s="1827">
        <f t="shared" ca="1" si="351"/>
        <v>500000</v>
      </c>
      <c r="DO136" s="1827">
        <f t="shared" ca="1" si="351"/>
        <v>500000</v>
      </c>
      <c r="DP136" s="1827">
        <f t="shared" ca="1" si="351"/>
        <v>500000</v>
      </c>
      <c r="DQ136" s="1827">
        <f t="shared" ca="1" si="351"/>
        <v>500000</v>
      </c>
      <c r="DR136" s="1827">
        <f t="shared" ca="1" si="351"/>
        <v>500000</v>
      </c>
      <c r="DS136" s="1827">
        <f t="shared" ca="1" si="351"/>
        <v>500000</v>
      </c>
      <c r="DT136" s="1827">
        <f t="shared" ca="1" si="351"/>
        <v>500000</v>
      </c>
      <c r="DU136" s="1827">
        <f t="shared" ca="1" si="351"/>
        <v>500000</v>
      </c>
      <c r="DV136" s="1827">
        <f t="shared" ca="1" si="351"/>
        <v>489890.75335788296</v>
      </c>
      <c r="DW136" s="1827">
        <f t="shared" ca="1" si="351"/>
        <v>427633.60690817726</v>
      </c>
      <c r="DX136" s="1827">
        <f t="shared" ca="1" si="351"/>
        <v>456368.74645337829</v>
      </c>
      <c r="DY136" s="1827">
        <f t="shared" ca="1" si="351"/>
        <v>500000</v>
      </c>
      <c r="DZ136" s="1827">
        <f t="shared" ca="1" si="351"/>
        <v>500000</v>
      </c>
      <c r="EA136" s="1827">
        <f t="shared" ca="1" si="351"/>
        <v>0</v>
      </c>
      <c r="EB136" s="389"/>
      <c r="EC136" s="392" t="s">
        <v>65</v>
      </c>
    </row>
    <row r="137" spans="1:133" s="390" customFormat="1" ht="13.5" thickBot="1">
      <c r="A137" s="389"/>
      <c r="B137" s="389"/>
      <c r="C137" s="389"/>
      <c r="D137" s="1832"/>
      <c r="E137" s="1172"/>
      <c r="F137" s="1833"/>
      <c r="G137" s="1833"/>
      <c r="H137" s="1833"/>
      <c r="I137" s="1834"/>
      <c r="J137" s="716"/>
      <c r="K137" s="1835"/>
      <c r="L137" s="1835"/>
      <c r="M137" s="1835"/>
      <c r="N137" s="1835"/>
      <c r="O137" s="1835"/>
      <c r="P137" s="1835"/>
      <c r="Q137" s="1835"/>
      <c r="R137" s="1835"/>
      <c r="S137" s="1835"/>
      <c r="T137" s="1835"/>
      <c r="U137" s="1835"/>
      <c r="V137" s="1835"/>
      <c r="W137" s="1835"/>
      <c r="X137" s="1835"/>
      <c r="Y137" s="1835"/>
      <c r="Z137" s="1835"/>
      <c r="AA137" s="1835"/>
      <c r="AB137" s="1835"/>
      <c r="AC137" s="1835"/>
      <c r="AD137" s="1835"/>
      <c r="AE137" s="1835"/>
      <c r="AF137" s="1835"/>
      <c r="AG137" s="1835"/>
      <c r="AH137" s="1835"/>
      <c r="AI137" s="1835"/>
      <c r="AJ137" s="1835"/>
      <c r="AK137" s="1835"/>
      <c r="AL137" s="1835"/>
      <c r="AM137" s="1835"/>
      <c r="AN137" s="1835"/>
      <c r="AO137" s="1835"/>
      <c r="AP137" s="1835"/>
      <c r="AQ137" s="1835"/>
      <c r="AR137" s="1835"/>
      <c r="AS137" s="1835"/>
      <c r="AT137" s="1835"/>
      <c r="AU137" s="1835"/>
      <c r="AV137" s="1835"/>
      <c r="AW137" s="1835"/>
      <c r="AX137" s="1835"/>
      <c r="AY137" s="1835"/>
      <c r="AZ137" s="1835"/>
      <c r="BA137" s="1835"/>
      <c r="BB137" s="1835"/>
      <c r="BC137" s="1835"/>
      <c r="BD137" s="1835"/>
      <c r="BE137" s="1835"/>
      <c r="BF137" s="1835"/>
      <c r="BG137" s="1835"/>
      <c r="BH137" s="1835"/>
      <c r="BI137" s="1835"/>
      <c r="BJ137" s="1835"/>
      <c r="BK137" s="1835"/>
      <c r="BL137" s="1835"/>
      <c r="BM137" s="1835"/>
      <c r="BN137" s="1835"/>
      <c r="BO137" s="1835"/>
      <c r="BP137" s="1835"/>
      <c r="BQ137" s="1835"/>
      <c r="BR137" s="1835"/>
      <c r="BS137" s="1835"/>
      <c r="BT137" s="1835"/>
      <c r="BU137" s="1835"/>
      <c r="BV137" s="1835"/>
      <c r="BW137" s="1835"/>
      <c r="BX137" s="1835"/>
      <c r="BY137" s="1835"/>
      <c r="BZ137" s="1835"/>
      <c r="CA137" s="1835"/>
      <c r="CB137" s="1835"/>
      <c r="CC137" s="1835"/>
      <c r="CD137" s="1835"/>
      <c r="CE137" s="1835"/>
      <c r="CF137" s="1835"/>
      <c r="CG137" s="1835"/>
      <c r="CH137" s="1835"/>
      <c r="CI137" s="1835"/>
      <c r="CJ137" s="1835"/>
      <c r="CK137" s="1835"/>
      <c r="CL137" s="1835"/>
      <c r="CM137" s="1835"/>
      <c r="CN137" s="1835"/>
      <c r="CO137" s="1835"/>
      <c r="CP137" s="1835"/>
      <c r="CQ137" s="1835"/>
      <c r="CR137" s="1835"/>
      <c r="CS137" s="1835"/>
      <c r="CT137" s="1835"/>
      <c r="CU137" s="1835"/>
      <c r="CV137" s="1835"/>
      <c r="CW137" s="1835"/>
      <c r="CX137" s="1835"/>
      <c r="CY137" s="1835"/>
      <c r="CZ137" s="1835"/>
      <c r="DA137" s="1835"/>
      <c r="DB137" s="1835"/>
      <c r="DC137" s="1835"/>
      <c r="DD137" s="1835"/>
      <c r="DE137" s="1835"/>
      <c r="DF137" s="1835"/>
      <c r="DG137" s="1835"/>
      <c r="DH137" s="1835"/>
      <c r="DI137" s="1835"/>
      <c r="DJ137" s="1835"/>
      <c r="DK137" s="1835"/>
      <c r="DL137" s="1835"/>
      <c r="DM137" s="1835"/>
      <c r="DN137" s="1835"/>
      <c r="DO137" s="1835"/>
      <c r="DP137" s="1835"/>
      <c r="DQ137" s="1835"/>
      <c r="DR137" s="1835"/>
      <c r="DS137" s="1835"/>
      <c r="DT137" s="1835"/>
      <c r="DU137" s="1835"/>
      <c r="DV137" s="1835"/>
      <c r="DW137" s="1835"/>
      <c r="DX137" s="1835"/>
      <c r="DY137" s="1835"/>
      <c r="DZ137" s="1835"/>
      <c r="EA137" s="1835"/>
      <c r="EB137" s="389"/>
      <c r="EC137" s="392" t="s">
        <v>65</v>
      </c>
    </row>
    <row r="138" spans="1:133" s="390" customFormat="1" ht="13.5" thickTop="1">
      <c r="A138" s="389"/>
      <c r="B138" s="389"/>
      <c r="C138" s="389"/>
      <c r="D138" s="389" t="s">
        <v>1166</v>
      </c>
      <c r="F138" s="716"/>
      <c r="G138" s="716"/>
      <c r="H138" s="716"/>
      <c r="I138" s="1826">
        <f t="shared" ref="I138" ca="1" si="352">SUM(K138:EA138)</f>
        <v>49098975.72215797</v>
      </c>
      <c r="J138" s="716"/>
      <c r="K138" s="1827"/>
      <c r="L138" s="1827">
        <f ca="1">-SUM(L134:L135)</f>
        <v>-5200000</v>
      </c>
      <c r="M138" s="1827">
        <f t="shared" ref="M138:BX138" ca="1" si="353">-SUM(M134:M135)</f>
        <v>-391153.00715178321</v>
      </c>
      <c r="N138" s="1827">
        <f t="shared" ca="1" si="353"/>
        <v>-2750737.3328289636</v>
      </c>
      <c r="O138" s="1827">
        <f t="shared" ca="1" si="353"/>
        <v>-2750737.3328289636</v>
      </c>
      <c r="P138" s="1827">
        <f t="shared" ca="1" si="353"/>
        <v>-2750737.3328289636</v>
      </c>
      <c r="Q138" s="1827">
        <f t="shared" ca="1" si="353"/>
        <v>-2750737.3328289636</v>
      </c>
      <c r="R138" s="1827">
        <f t="shared" ca="1" si="353"/>
        <v>-2750737.3328289636</v>
      </c>
      <c r="S138" s="1827">
        <f t="shared" ca="1" si="353"/>
        <v>-2648862.4467854165</v>
      </c>
      <c r="T138" s="1827">
        <f t="shared" ca="1" si="353"/>
        <v>0</v>
      </c>
      <c r="U138" s="1827">
        <f t="shared" ca="1" si="353"/>
        <v>0</v>
      </c>
      <c r="V138" s="1827">
        <f t="shared" ca="1" si="353"/>
        <v>0</v>
      </c>
      <c r="W138" s="1827">
        <f t="shared" ca="1" si="353"/>
        <v>0</v>
      </c>
      <c r="X138" s="1827">
        <f t="shared" ca="1" si="353"/>
        <v>0</v>
      </c>
      <c r="Y138" s="1827">
        <f t="shared" ca="1" si="353"/>
        <v>0</v>
      </c>
      <c r="Z138" s="1827">
        <f t="shared" ca="1" si="353"/>
        <v>0</v>
      </c>
      <c r="AA138" s="1827">
        <f t="shared" ca="1" si="353"/>
        <v>0</v>
      </c>
      <c r="AB138" s="1827">
        <f t="shared" ca="1" si="353"/>
        <v>0</v>
      </c>
      <c r="AC138" s="1827">
        <f t="shared" ca="1" si="353"/>
        <v>0</v>
      </c>
      <c r="AD138" s="1827">
        <f t="shared" ca="1" si="353"/>
        <v>0</v>
      </c>
      <c r="AE138" s="1827">
        <f t="shared" ca="1" si="353"/>
        <v>0</v>
      </c>
      <c r="AF138" s="1827">
        <f t="shared" ca="1" si="353"/>
        <v>0</v>
      </c>
      <c r="AG138" s="1827">
        <f t="shared" ca="1" si="353"/>
        <v>0</v>
      </c>
      <c r="AH138" s="1827">
        <f t="shared" ca="1" si="353"/>
        <v>0</v>
      </c>
      <c r="AI138" s="1827">
        <f t="shared" ca="1" si="353"/>
        <v>0</v>
      </c>
      <c r="AJ138" s="1827">
        <f t="shared" ca="1" si="353"/>
        <v>0</v>
      </c>
      <c r="AK138" s="1827">
        <f t="shared" ca="1" si="353"/>
        <v>9202913.1141238827</v>
      </c>
      <c r="AL138" s="1827">
        <f t="shared" ca="1" si="353"/>
        <v>0</v>
      </c>
      <c r="AM138" s="1827">
        <f t="shared" ca="1" si="353"/>
        <v>8733.0279499195749</v>
      </c>
      <c r="AN138" s="1827">
        <f t="shared" ca="1" si="353"/>
        <v>121282.88700700144</v>
      </c>
      <c r="AO138" s="1827">
        <f t="shared" ca="1" si="353"/>
        <v>7251.7013281394029</v>
      </c>
      <c r="AP138" s="1827">
        <f t="shared" ca="1" si="353"/>
        <v>0</v>
      </c>
      <c r="AQ138" s="1827">
        <f t="shared" ca="1" si="353"/>
        <v>0</v>
      </c>
      <c r="AR138" s="1827">
        <f t="shared" ca="1" si="353"/>
        <v>0</v>
      </c>
      <c r="AS138" s="1827">
        <f t="shared" ca="1" si="353"/>
        <v>0</v>
      </c>
      <c r="AT138" s="1827">
        <f t="shared" ca="1" si="353"/>
        <v>65414.922054211376</v>
      </c>
      <c r="AU138" s="1827">
        <f t="shared" ca="1" si="353"/>
        <v>155324.10182380991</v>
      </c>
      <c r="AV138" s="1827">
        <f t="shared" ca="1" si="353"/>
        <v>177521.84196787979</v>
      </c>
      <c r="AW138" s="1827">
        <f t="shared" ca="1" si="353"/>
        <v>99732.883186023217</v>
      </c>
      <c r="AX138" s="1827">
        <f t="shared" ca="1" si="353"/>
        <v>96873.106623567059</v>
      </c>
      <c r="AY138" s="1827">
        <f t="shared" ca="1" si="353"/>
        <v>137172.6144919974</v>
      </c>
      <c r="AZ138" s="1827">
        <f t="shared" ca="1" si="353"/>
        <v>238658.39378987963</v>
      </c>
      <c r="BA138" s="1827">
        <f t="shared" ca="1" si="353"/>
        <v>85491.1456797102</v>
      </c>
      <c r="BB138" s="1827">
        <f t="shared" ca="1" si="353"/>
        <v>0</v>
      </c>
      <c r="BC138" s="1827">
        <f t="shared" ca="1" si="353"/>
        <v>0</v>
      </c>
      <c r="BD138" s="1827">
        <f t="shared" ca="1" si="353"/>
        <v>0</v>
      </c>
      <c r="BE138" s="1827">
        <f t="shared" ca="1" si="353"/>
        <v>105937.21031223715</v>
      </c>
      <c r="BF138" s="1827">
        <f t="shared" ca="1" si="353"/>
        <v>156201.66153444024</v>
      </c>
      <c r="BG138" s="1827">
        <f t="shared" ca="1" si="353"/>
        <v>169453.90276853612</v>
      </c>
      <c r="BH138" s="1827">
        <f t="shared" ca="1" si="353"/>
        <v>178748.9011730362</v>
      </c>
      <c r="BI138" s="1827">
        <f t="shared" ca="1" si="353"/>
        <v>99721.875262605958</v>
      </c>
      <c r="BJ138" s="1827">
        <f t="shared" ca="1" si="353"/>
        <v>96826.063886152464</v>
      </c>
      <c r="BK138" s="1827">
        <f t="shared" ca="1" si="353"/>
        <v>137764.18214132264</v>
      </c>
      <c r="BL138" s="1827">
        <f t="shared" ca="1" si="353"/>
        <v>240811.75259696436</v>
      </c>
      <c r="BM138" s="1827">
        <f t="shared" ca="1" si="353"/>
        <v>85302.743708306225</v>
      </c>
      <c r="BN138" s="1827">
        <f t="shared" ca="1" si="353"/>
        <v>0</v>
      </c>
      <c r="BO138" s="1827">
        <f t="shared" ca="1" si="353"/>
        <v>0</v>
      </c>
      <c r="BP138" s="1827">
        <f t="shared" ca="1" si="353"/>
        <v>0</v>
      </c>
      <c r="BQ138" s="1827">
        <f t="shared" ca="1" si="353"/>
        <v>127940.10206172825</v>
      </c>
      <c r="BR138" s="1827">
        <f t="shared" ca="1" si="353"/>
        <v>160159.78975891008</v>
      </c>
      <c r="BS138" s="1827">
        <f t="shared" ca="1" si="353"/>
        <v>173600.5900882578</v>
      </c>
      <c r="BT138" s="1827">
        <f t="shared" ca="1" si="353"/>
        <v>183061.13629277598</v>
      </c>
      <c r="BU138" s="1827">
        <f t="shared" ca="1" si="353"/>
        <v>102791.76928896154</v>
      </c>
      <c r="BV138" s="1827">
        <f t="shared" ca="1" si="353"/>
        <v>99860.334808576619</v>
      </c>
      <c r="BW138" s="1827">
        <f t="shared" ca="1" si="353"/>
        <v>141439.11051660962</v>
      </c>
      <c r="BX138" s="1827">
        <f t="shared" ca="1" si="353"/>
        <v>246050.84239810857</v>
      </c>
      <c r="BY138" s="1827">
        <f t="shared" ref="BY138:EA138" ca="1" si="354">-SUM(BY134:BY135)</f>
        <v>88197.417607551324</v>
      </c>
      <c r="BZ138" s="1827">
        <f t="shared" ca="1" si="354"/>
        <v>0</v>
      </c>
      <c r="CA138" s="1827">
        <f t="shared" ca="1" si="354"/>
        <v>0</v>
      </c>
      <c r="CB138" s="1827">
        <f t="shared" ca="1" si="354"/>
        <v>0</v>
      </c>
      <c r="CC138" s="1827">
        <f t="shared" ca="1" si="354"/>
        <v>118449.99058258953</v>
      </c>
      <c r="CD138" s="1827">
        <f t="shared" ca="1" si="354"/>
        <v>163959.39898035233</v>
      </c>
      <c r="CE138" s="1827">
        <f t="shared" ca="1" si="354"/>
        <v>177588.14493355679</v>
      </c>
      <c r="CF138" s="1827">
        <f t="shared" ca="1" si="354"/>
        <v>187215.67703480471</v>
      </c>
      <c r="CG138" s="1827">
        <f t="shared" ca="1" si="354"/>
        <v>105700.55279532238</v>
      </c>
      <c r="CH138" s="1827">
        <f t="shared" ca="1" si="354"/>
        <v>102733.9640550093</v>
      </c>
      <c r="CI138" s="1827">
        <f t="shared" ca="1" si="354"/>
        <v>144954.99235664727</v>
      </c>
      <c r="CJ138" s="1827">
        <f t="shared" ca="1" si="354"/>
        <v>251131.99253614433</v>
      </c>
      <c r="CK138" s="1827">
        <f t="shared" ca="1" si="354"/>
        <v>90933.444997574203</v>
      </c>
      <c r="CL138" s="1827">
        <f t="shared" ca="1" si="354"/>
        <v>0</v>
      </c>
      <c r="CM138" s="1827">
        <f t="shared" ca="1" si="354"/>
        <v>0</v>
      </c>
      <c r="CN138" s="1827">
        <f t="shared" ca="1" si="354"/>
        <v>0</v>
      </c>
      <c r="CO138" s="1827">
        <f t="shared" ca="1" si="354"/>
        <v>125341.39145291294</v>
      </c>
      <c r="CP138" s="1827">
        <f t="shared" ca="1" si="354"/>
        <v>167587.28647045814</v>
      </c>
      <c r="CQ138" s="1827">
        <f t="shared" ca="1" si="354"/>
        <v>181403.15806465398</v>
      </c>
      <c r="CR138" s="1827">
        <f t="shared" ca="1" si="354"/>
        <v>194138.413022722</v>
      </c>
      <c r="CS138" s="1827">
        <f t="shared" ca="1" si="354"/>
        <v>111375.02854373492</v>
      </c>
      <c r="CT138" s="1827">
        <f t="shared" ca="1" si="354"/>
        <v>108373.81457893027</v>
      </c>
      <c r="CU138" s="1827">
        <f t="shared" ca="1" si="354"/>
        <v>151238.2097316524</v>
      </c>
      <c r="CV138" s="1827">
        <f t="shared" ca="1" si="354"/>
        <v>258980.24374833447</v>
      </c>
      <c r="CW138" s="1827">
        <f t="shared" ca="1" si="354"/>
        <v>96437.934179181932</v>
      </c>
      <c r="CX138" s="1827">
        <f t="shared" ca="1" si="354"/>
        <v>0</v>
      </c>
      <c r="CY138" s="1827">
        <f t="shared" ca="1" si="354"/>
        <v>0</v>
      </c>
      <c r="CZ138" s="1827">
        <f t="shared" ca="1" si="354"/>
        <v>0</v>
      </c>
      <c r="DA138" s="1827">
        <f t="shared" ca="1" si="354"/>
        <v>168320.99938580988</v>
      </c>
      <c r="DB138" s="1827">
        <f t="shared" ca="1" si="354"/>
        <v>184256.39470534038</v>
      </c>
      <c r="DC138" s="1827">
        <f t="shared" ca="1" si="354"/>
        <v>198486.74244736205</v>
      </c>
      <c r="DD138" s="1827">
        <f t="shared" ca="1" si="354"/>
        <v>186046.72208652296</v>
      </c>
      <c r="DE138" s="1827">
        <f t="shared" ca="1" si="354"/>
        <v>100800.43607316667</v>
      </c>
      <c r="DF138" s="1827">
        <f t="shared" ca="1" si="354"/>
        <v>97709.185689417995</v>
      </c>
      <c r="DG138" s="1827">
        <f t="shared" ca="1" si="354"/>
        <v>141859.51269672159</v>
      </c>
      <c r="DH138" s="1827">
        <f t="shared" ca="1" si="354"/>
        <v>252833.80773390399</v>
      </c>
      <c r="DI138" s="1827">
        <f t="shared" ca="1" si="354"/>
        <v>85415.228877676884</v>
      </c>
      <c r="DJ138" s="1827">
        <f t="shared" ca="1" si="354"/>
        <v>0</v>
      </c>
      <c r="DK138" s="1827">
        <f t="shared" ca="1" si="354"/>
        <v>0</v>
      </c>
      <c r="DL138" s="1827">
        <f t="shared" ca="1" si="354"/>
        <v>0</v>
      </c>
      <c r="DM138" s="1827">
        <f t="shared" ca="1" si="354"/>
        <v>136310.52398167783</v>
      </c>
      <c r="DN138" s="1827">
        <f t="shared" ca="1" si="354"/>
        <v>175868.24321961985</v>
      </c>
      <c r="DO138" s="1827">
        <f t="shared" ca="1" si="354"/>
        <v>190525.50139390258</v>
      </c>
      <c r="DP138" s="1827">
        <f t="shared" ca="1" si="354"/>
        <v>199237.96802111238</v>
      </c>
      <c r="DQ138" s="1827">
        <f t="shared" ca="1" si="354"/>
        <v>111434.29342735547</v>
      </c>
      <c r="DR138" s="1827">
        <f t="shared" ca="1" si="354"/>
        <v>108250.30553209397</v>
      </c>
      <c r="DS138" s="1827">
        <f t="shared" ca="1" si="354"/>
        <v>153725.14234961709</v>
      </c>
      <c r="DT138" s="1827">
        <f t="shared" ca="1" si="354"/>
        <v>268028.66623791517</v>
      </c>
      <c r="DU138" s="1827">
        <f t="shared" ca="1" si="354"/>
        <v>95587.530016001081</v>
      </c>
      <c r="DV138" s="1827">
        <f t="shared" ca="1" si="354"/>
        <v>0</v>
      </c>
      <c r="DW138" s="1827">
        <f t="shared" ca="1" si="354"/>
        <v>0</v>
      </c>
      <c r="DX138" s="1827">
        <f t="shared" ca="1" si="354"/>
        <v>0</v>
      </c>
      <c r="DY138" s="1827">
        <f t="shared" ca="1" si="354"/>
        <v>151677.85082963295</v>
      </c>
      <c r="DZ138" s="1827">
        <f t="shared" ca="1" si="354"/>
        <v>188754.13478820259</v>
      </c>
      <c r="EA138" s="1827">
        <f t="shared" ca="1" si="354"/>
        <v>52169765.886451244</v>
      </c>
      <c r="EB138" s="389"/>
      <c r="EC138" s="392" t="s">
        <v>65</v>
      </c>
    </row>
    <row r="139" spans="1:133" s="390" customFormat="1">
      <c r="A139" s="389"/>
      <c r="B139" s="389"/>
      <c r="C139" s="389"/>
      <c r="D139" s="389"/>
      <c r="F139" s="716"/>
      <c r="G139" s="716"/>
      <c r="H139" s="716"/>
      <c r="I139" s="1826"/>
      <c r="J139" s="716"/>
      <c r="K139" s="1827"/>
      <c r="L139" s="1827"/>
      <c r="M139" s="1827"/>
      <c r="N139" s="1827"/>
      <c r="O139" s="1827"/>
      <c r="P139" s="1827"/>
      <c r="Q139" s="1827"/>
      <c r="R139" s="1827"/>
      <c r="S139" s="1827"/>
      <c r="T139" s="1827"/>
      <c r="U139" s="1827"/>
      <c r="V139" s="1827"/>
      <c r="W139" s="1827"/>
      <c r="X139" s="1827"/>
      <c r="Y139" s="1827"/>
      <c r="Z139" s="1827"/>
      <c r="AA139" s="1827"/>
      <c r="AB139" s="1827"/>
      <c r="AC139" s="1827"/>
      <c r="AD139" s="1827"/>
      <c r="AE139" s="1827"/>
      <c r="AF139" s="1827"/>
      <c r="AG139" s="1827"/>
      <c r="AH139" s="1827"/>
      <c r="AI139" s="1827"/>
      <c r="AJ139" s="1827"/>
      <c r="AK139" s="1827"/>
      <c r="AL139" s="1827"/>
      <c r="AM139" s="1827"/>
      <c r="AN139" s="1827"/>
      <c r="AO139" s="1827"/>
      <c r="AP139" s="1827"/>
      <c r="AQ139" s="1827"/>
      <c r="AR139" s="1827"/>
      <c r="AS139" s="1827"/>
      <c r="AT139" s="1827"/>
      <c r="AU139" s="1827"/>
      <c r="AV139" s="1827"/>
      <c r="AW139" s="1827"/>
      <c r="AX139" s="1827"/>
      <c r="AY139" s="1827"/>
      <c r="AZ139" s="1827"/>
      <c r="BA139" s="1827"/>
      <c r="BB139" s="1827"/>
      <c r="BC139" s="1827"/>
      <c r="BD139" s="1827"/>
      <c r="BE139" s="1827"/>
      <c r="BF139" s="1827"/>
      <c r="BG139" s="1827"/>
      <c r="BH139" s="1827"/>
      <c r="BI139" s="1827"/>
      <c r="BJ139" s="1827"/>
      <c r="BK139" s="1827"/>
      <c r="BL139" s="1827"/>
      <c r="BM139" s="1827"/>
      <c r="BN139" s="1827"/>
      <c r="BO139" s="1827"/>
      <c r="BP139" s="1827"/>
      <c r="BQ139" s="1827"/>
      <c r="BR139" s="1827"/>
      <c r="BS139" s="1827"/>
      <c r="BT139" s="1827"/>
      <c r="BU139" s="1827"/>
      <c r="BV139" s="1827"/>
      <c r="BW139" s="1827"/>
      <c r="BX139" s="1827"/>
      <c r="BY139" s="1827"/>
      <c r="BZ139" s="1827"/>
      <c r="CA139" s="1827"/>
      <c r="CB139" s="1827"/>
      <c r="CC139" s="1827"/>
      <c r="CD139" s="1827"/>
      <c r="CE139" s="1827"/>
      <c r="CF139" s="1827"/>
      <c r="CG139" s="1827"/>
      <c r="CH139" s="1827"/>
      <c r="CI139" s="1827"/>
      <c r="CJ139" s="1827"/>
      <c r="CK139" s="1827"/>
      <c r="CL139" s="1827"/>
      <c r="CM139" s="1827"/>
      <c r="CN139" s="1827"/>
      <c r="CO139" s="1827"/>
      <c r="CP139" s="1827"/>
      <c r="CQ139" s="1827"/>
      <c r="CR139" s="1827"/>
      <c r="CS139" s="1827"/>
      <c r="CT139" s="1827"/>
      <c r="CU139" s="1827"/>
      <c r="CV139" s="1827"/>
      <c r="CW139" s="1827"/>
      <c r="CX139" s="1827"/>
      <c r="CY139" s="1827"/>
      <c r="CZ139" s="1827"/>
      <c r="DA139" s="1827"/>
      <c r="DB139" s="1827"/>
      <c r="DC139" s="1827"/>
      <c r="DD139" s="1827"/>
      <c r="DE139" s="1827"/>
      <c r="DF139" s="1827"/>
      <c r="DG139" s="1827"/>
      <c r="DH139" s="1827"/>
      <c r="DI139" s="1827"/>
      <c r="DJ139" s="1827"/>
      <c r="DK139" s="1827"/>
      <c r="DL139" s="1827"/>
      <c r="DM139" s="1827"/>
      <c r="DN139" s="1827"/>
      <c r="DO139" s="1827"/>
      <c r="DP139" s="1827"/>
      <c r="DQ139" s="1827"/>
      <c r="DR139" s="1827"/>
      <c r="DS139" s="1827"/>
      <c r="DT139" s="1827"/>
      <c r="DU139" s="1827"/>
      <c r="DV139" s="1827"/>
      <c r="DW139" s="1827"/>
      <c r="DX139" s="1827"/>
      <c r="DY139" s="1827"/>
      <c r="DZ139" s="1827"/>
      <c r="EA139" s="1827"/>
      <c r="EB139" s="389"/>
      <c r="EC139" s="392" t="s">
        <v>65</v>
      </c>
    </row>
    <row r="140" spans="1:133" s="390" customFormat="1">
      <c r="A140" s="389"/>
      <c r="B140" s="389"/>
      <c r="C140" s="389"/>
      <c r="D140" s="425" t="s">
        <v>347</v>
      </c>
      <c r="E140" s="432">
        <f ca="1">XIRR(L138:EA138,L8:EA8)</f>
        <v>0.17306911349296569</v>
      </c>
      <c r="F140" s="397"/>
      <c r="G140" s="397"/>
      <c r="H140" s="397"/>
      <c r="I140" s="796"/>
      <c r="J140" s="397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  <c r="AM140" s="389"/>
      <c r="AN140" s="389"/>
      <c r="AO140" s="389"/>
      <c r="AP140" s="389"/>
      <c r="AQ140" s="389"/>
      <c r="AR140" s="389"/>
      <c r="AS140" s="389"/>
      <c r="AT140" s="389"/>
      <c r="AU140" s="389"/>
      <c r="AV140" s="389"/>
      <c r="AW140" s="389"/>
      <c r="AX140" s="389"/>
      <c r="AY140" s="389"/>
      <c r="AZ140" s="389"/>
      <c r="BA140" s="389"/>
      <c r="BB140" s="389"/>
      <c r="BC140" s="389"/>
      <c r="BD140" s="389"/>
      <c r="BE140" s="389"/>
      <c r="BF140" s="389"/>
      <c r="BG140" s="389"/>
      <c r="BH140" s="389"/>
      <c r="BI140" s="389"/>
      <c r="BJ140" s="389"/>
      <c r="BK140" s="389"/>
      <c r="BL140" s="389"/>
      <c r="BM140" s="389"/>
      <c r="BN140" s="389"/>
      <c r="BO140" s="389"/>
      <c r="BP140" s="389"/>
      <c r="BQ140" s="389"/>
      <c r="BR140" s="389"/>
      <c r="BS140" s="389"/>
      <c r="BT140" s="389"/>
      <c r="BU140" s="389"/>
      <c r="BV140" s="389"/>
      <c r="BW140" s="389"/>
      <c r="BX140" s="389"/>
      <c r="BY140" s="389"/>
      <c r="BZ140" s="389"/>
      <c r="CA140" s="389"/>
      <c r="CB140" s="389"/>
      <c r="CC140" s="389"/>
      <c r="CD140" s="389"/>
      <c r="CE140" s="389"/>
      <c r="CF140" s="389"/>
      <c r="CG140" s="389"/>
      <c r="CH140" s="389"/>
      <c r="CI140" s="389"/>
      <c r="CJ140" s="389"/>
      <c r="CK140" s="389"/>
      <c r="CL140" s="389"/>
      <c r="CM140" s="389"/>
      <c r="CN140" s="389"/>
      <c r="CO140" s="389"/>
      <c r="CP140" s="389"/>
      <c r="CQ140" s="389"/>
      <c r="CR140" s="389"/>
      <c r="CS140" s="389"/>
      <c r="CT140" s="389"/>
      <c r="CU140" s="389"/>
      <c r="CV140" s="389"/>
      <c r="CW140" s="389"/>
      <c r="CX140" s="389"/>
      <c r="CY140" s="389"/>
      <c r="CZ140" s="389"/>
      <c r="DA140" s="389"/>
      <c r="DB140" s="389"/>
      <c r="DC140" s="389"/>
      <c r="DD140" s="389"/>
      <c r="DE140" s="389"/>
      <c r="DF140" s="389"/>
      <c r="DG140" s="389"/>
      <c r="DH140" s="389"/>
      <c r="DI140" s="389"/>
      <c r="DJ140" s="389"/>
      <c r="DK140" s="389"/>
      <c r="DL140" s="389"/>
      <c r="DM140" s="389"/>
      <c r="DN140" s="389"/>
      <c r="DO140" s="389"/>
      <c r="DP140" s="389"/>
      <c r="DQ140" s="389"/>
      <c r="DR140" s="389"/>
      <c r="DS140" s="389"/>
      <c r="DT140" s="389"/>
      <c r="DU140" s="389"/>
      <c r="DV140" s="389"/>
      <c r="DW140" s="389"/>
      <c r="DX140" s="389"/>
      <c r="DY140" s="389"/>
      <c r="DZ140" s="389"/>
      <c r="EA140" s="389"/>
      <c r="EB140" s="389"/>
      <c r="EC140" s="392" t="s">
        <v>65</v>
      </c>
    </row>
    <row r="141" spans="1:133" s="390" customFormat="1">
      <c r="A141" s="389"/>
      <c r="B141" s="389"/>
      <c r="C141" s="389"/>
      <c r="D141" s="427" t="s">
        <v>348</v>
      </c>
      <c r="E141" s="428">
        <f ca="1">(F105+I129)/I129</f>
        <v>1.4479462513136794</v>
      </c>
      <c r="F141" s="573"/>
      <c r="G141" s="573"/>
      <c r="H141" s="573"/>
      <c r="I141" s="807"/>
      <c r="J141" s="573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  <c r="AG141" s="389"/>
      <c r="AH141" s="389"/>
      <c r="AI141" s="389"/>
      <c r="AJ141" s="389"/>
      <c r="AK141" s="389"/>
      <c r="AL141" s="389"/>
      <c r="AM141" s="389"/>
      <c r="AN141" s="389"/>
      <c r="AO141" s="389"/>
      <c r="AP141" s="389"/>
      <c r="AQ141" s="389"/>
      <c r="AR141" s="389"/>
      <c r="AS141" s="389"/>
      <c r="AT141" s="389"/>
      <c r="AU141" s="389"/>
      <c r="AV141" s="389"/>
      <c r="AW141" s="389"/>
      <c r="AX141" s="389"/>
      <c r="AY141" s="389"/>
      <c r="AZ141" s="389"/>
      <c r="BA141" s="389"/>
      <c r="BB141" s="389"/>
      <c r="BC141" s="389"/>
      <c r="BD141" s="389"/>
      <c r="BE141" s="389"/>
      <c r="BF141" s="389"/>
      <c r="BG141" s="389"/>
      <c r="BH141" s="389"/>
      <c r="BI141" s="389"/>
      <c r="BJ141" s="389"/>
      <c r="BK141" s="389"/>
      <c r="BL141" s="389"/>
      <c r="BM141" s="389"/>
      <c r="BN141" s="389"/>
      <c r="BO141" s="389"/>
      <c r="BP141" s="389"/>
      <c r="BQ141" s="389"/>
      <c r="BR141" s="389"/>
      <c r="BS141" s="389"/>
      <c r="BT141" s="389"/>
      <c r="BU141" s="389"/>
      <c r="BV141" s="389"/>
      <c r="BW141" s="389"/>
      <c r="BX141" s="389"/>
      <c r="BY141" s="389"/>
      <c r="BZ141" s="389"/>
      <c r="CA141" s="389"/>
      <c r="CB141" s="389"/>
      <c r="CC141" s="389"/>
      <c r="CD141" s="389"/>
      <c r="CE141" s="389"/>
      <c r="CF141" s="389"/>
      <c r="CG141" s="389"/>
      <c r="CH141" s="389"/>
      <c r="CI141" s="389"/>
      <c r="CJ141" s="389"/>
      <c r="CK141" s="389"/>
      <c r="CL141" s="389"/>
      <c r="CM141" s="389"/>
      <c r="CN141" s="389"/>
      <c r="CO141" s="389"/>
      <c r="CP141" s="389"/>
      <c r="CQ141" s="389"/>
      <c r="CR141" s="389"/>
      <c r="CS141" s="389"/>
      <c r="CT141" s="389"/>
      <c r="CU141" s="389"/>
      <c r="CV141" s="389"/>
      <c r="CW141" s="389"/>
      <c r="CX141" s="389"/>
      <c r="CY141" s="389"/>
      <c r="CZ141" s="389"/>
      <c r="DA141" s="389"/>
      <c r="DB141" s="389"/>
      <c r="DC141" s="389"/>
      <c r="DD141" s="389"/>
      <c r="DE141" s="389"/>
      <c r="DF141" s="389"/>
      <c r="DG141" s="389"/>
      <c r="DH141" s="389"/>
      <c r="DI141" s="389"/>
      <c r="DJ141" s="389"/>
      <c r="DK141" s="389"/>
      <c r="DL141" s="389"/>
      <c r="DM141" s="389"/>
      <c r="DN141" s="389"/>
      <c r="DO141" s="389"/>
      <c r="DP141" s="389"/>
      <c r="DQ141" s="389"/>
      <c r="DR141" s="389"/>
      <c r="DS141" s="389"/>
      <c r="DT141" s="389"/>
      <c r="DU141" s="389"/>
      <c r="DV141" s="389"/>
      <c r="DW141" s="389"/>
      <c r="DX141" s="389"/>
      <c r="DY141" s="389"/>
      <c r="DZ141" s="389"/>
      <c r="EA141" s="389"/>
      <c r="EB141" s="389"/>
      <c r="EC141" s="392" t="s">
        <v>65</v>
      </c>
    </row>
    <row r="142" spans="1:133" s="390" customFormat="1">
      <c r="A142" s="389"/>
      <c r="B142" s="389"/>
      <c r="C142" s="389"/>
      <c r="D142" s="389"/>
      <c r="I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  <c r="AG142" s="389"/>
      <c r="AH142" s="389"/>
      <c r="AI142" s="389"/>
      <c r="AJ142" s="389"/>
      <c r="AK142" s="389"/>
      <c r="AL142" s="389"/>
      <c r="AM142" s="389"/>
      <c r="AN142" s="389"/>
      <c r="AO142" s="389"/>
      <c r="AP142" s="389"/>
      <c r="AQ142" s="389"/>
      <c r="AR142" s="389"/>
      <c r="AS142" s="389"/>
      <c r="AT142" s="389"/>
      <c r="AU142" s="389"/>
      <c r="AV142" s="389"/>
      <c r="AW142" s="389"/>
      <c r="AX142" s="389"/>
      <c r="AY142" s="389"/>
      <c r="AZ142" s="389"/>
      <c r="BA142" s="389"/>
      <c r="BB142" s="389"/>
      <c r="BC142" s="389"/>
      <c r="BD142" s="389"/>
      <c r="BE142" s="389"/>
      <c r="BF142" s="389"/>
      <c r="BG142" s="389"/>
      <c r="BH142" s="389"/>
      <c r="BI142" s="389"/>
      <c r="BJ142" s="389"/>
      <c r="BK142" s="389"/>
      <c r="BL142" s="389"/>
      <c r="BM142" s="389"/>
      <c r="BN142" s="389"/>
      <c r="BO142" s="389"/>
      <c r="BP142" s="389"/>
      <c r="BQ142" s="389"/>
      <c r="BR142" s="389"/>
      <c r="BS142" s="389"/>
      <c r="BT142" s="389"/>
      <c r="BU142" s="389"/>
      <c r="BV142" s="389"/>
      <c r="BW142" s="389"/>
      <c r="BX142" s="389"/>
      <c r="BY142" s="389"/>
      <c r="BZ142" s="389"/>
      <c r="CA142" s="389"/>
      <c r="CB142" s="389"/>
      <c r="CC142" s="389"/>
      <c r="CD142" s="389"/>
      <c r="CE142" s="389"/>
      <c r="CF142" s="389"/>
      <c r="CG142" s="389"/>
      <c r="CH142" s="389"/>
      <c r="CI142" s="389"/>
      <c r="CJ142" s="389"/>
      <c r="CK142" s="389"/>
      <c r="CL142" s="389"/>
      <c r="CM142" s="389"/>
      <c r="CN142" s="389"/>
      <c r="CO142" s="389"/>
      <c r="CP142" s="389"/>
      <c r="CQ142" s="389"/>
      <c r="CR142" s="389"/>
      <c r="CS142" s="389"/>
      <c r="CT142" s="389"/>
      <c r="CU142" s="389"/>
      <c r="CV142" s="389"/>
      <c r="CW142" s="389"/>
      <c r="CX142" s="389"/>
      <c r="CY142" s="389"/>
      <c r="CZ142" s="389"/>
      <c r="DA142" s="389"/>
      <c r="DB142" s="389"/>
      <c r="DC142" s="389"/>
      <c r="DD142" s="389"/>
      <c r="DE142" s="389"/>
      <c r="DF142" s="389"/>
      <c r="DG142" s="389"/>
      <c r="DH142" s="389"/>
      <c r="DI142" s="389"/>
      <c r="DJ142" s="389"/>
      <c r="DK142" s="389"/>
      <c r="DL142" s="389"/>
      <c r="DM142" s="389"/>
      <c r="DN142" s="389"/>
      <c r="DO142" s="389"/>
      <c r="DP142" s="389"/>
      <c r="DQ142" s="389"/>
      <c r="DR142" s="389"/>
      <c r="DS142" s="389"/>
      <c r="DT142" s="389"/>
      <c r="DU142" s="389"/>
      <c r="DV142" s="389"/>
      <c r="DW142" s="389"/>
      <c r="DX142" s="389"/>
      <c r="DY142" s="389"/>
      <c r="DZ142" s="389"/>
      <c r="EA142" s="389"/>
      <c r="EB142" s="389"/>
      <c r="EC142" s="392" t="s">
        <v>65</v>
      </c>
    </row>
    <row r="143" spans="1:133" s="390" customFormat="1">
      <c r="A143" s="389"/>
      <c r="B143" s="389"/>
      <c r="C143" s="389"/>
      <c r="D143" s="389"/>
      <c r="E143" s="389"/>
      <c r="F143" s="389"/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  <c r="AG143" s="389"/>
      <c r="AH143" s="389"/>
      <c r="AI143" s="389"/>
      <c r="AJ143" s="389"/>
      <c r="AK143" s="389"/>
      <c r="AL143" s="389"/>
      <c r="AM143" s="389"/>
      <c r="AN143" s="389"/>
      <c r="AO143" s="389"/>
      <c r="AP143" s="389"/>
      <c r="AQ143" s="389"/>
      <c r="AR143" s="389"/>
      <c r="AS143" s="389"/>
      <c r="AT143" s="389"/>
      <c r="AU143" s="389"/>
      <c r="AV143" s="389"/>
      <c r="AW143" s="389"/>
      <c r="AX143" s="389"/>
      <c r="AY143" s="389"/>
      <c r="AZ143" s="389"/>
      <c r="BA143" s="389"/>
      <c r="BB143" s="389"/>
      <c r="BC143" s="389"/>
      <c r="BD143" s="389"/>
      <c r="BE143" s="389"/>
      <c r="BF143" s="389"/>
      <c r="BG143" s="389"/>
      <c r="BH143" s="389"/>
      <c r="BI143" s="389"/>
      <c r="BJ143" s="389"/>
      <c r="BK143" s="389"/>
      <c r="BL143" s="389"/>
      <c r="BM143" s="389"/>
      <c r="BN143" s="389"/>
      <c r="BO143" s="389"/>
      <c r="BP143" s="389"/>
      <c r="BQ143" s="389"/>
      <c r="BR143" s="389"/>
      <c r="BS143" s="389"/>
      <c r="BT143" s="389"/>
      <c r="BU143" s="389"/>
      <c r="BV143" s="389"/>
      <c r="BW143" s="389"/>
      <c r="BX143" s="389"/>
      <c r="BY143" s="389"/>
      <c r="BZ143" s="389"/>
      <c r="CA143" s="389"/>
      <c r="CB143" s="389"/>
      <c r="CC143" s="389"/>
      <c r="CD143" s="389"/>
      <c r="CE143" s="389"/>
      <c r="CF143" s="389"/>
      <c r="CG143" s="389"/>
      <c r="CH143" s="389"/>
      <c r="CI143" s="389"/>
      <c r="CJ143" s="389"/>
      <c r="CK143" s="389"/>
      <c r="CL143" s="389"/>
      <c r="CM143" s="389"/>
      <c r="CN143" s="389"/>
      <c r="CO143" s="389"/>
      <c r="CP143" s="389"/>
      <c r="CQ143" s="389"/>
      <c r="CR143" s="389"/>
      <c r="CS143" s="389"/>
      <c r="CT143" s="389"/>
      <c r="CU143" s="389"/>
      <c r="CV143" s="389"/>
      <c r="CW143" s="389"/>
      <c r="CX143" s="389"/>
      <c r="CY143" s="389"/>
      <c r="CZ143" s="389"/>
      <c r="DA143" s="389"/>
      <c r="DB143" s="389"/>
      <c r="DC143" s="389"/>
      <c r="DD143" s="389"/>
      <c r="DE143" s="389"/>
      <c r="DF143" s="389"/>
      <c r="DG143" s="389"/>
      <c r="DH143" s="389"/>
      <c r="DI143" s="389"/>
      <c r="DJ143" s="389"/>
      <c r="DK143" s="389"/>
      <c r="DL143" s="389"/>
      <c r="DM143" s="389"/>
      <c r="DN143" s="389"/>
      <c r="DO143" s="389"/>
      <c r="DP143" s="389"/>
      <c r="DQ143" s="389"/>
      <c r="DR143" s="389"/>
      <c r="DS143" s="389"/>
      <c r="DT143" s="389"/>
      <c r="DU143" s="389"/>
      <c r="DV143" s="389"/>
      <c r="DW143" s="389"/>
      <c r="DX143" s="389"/>
      <c r="DY143" s="389"/>
      <c r="DZ143" s="389"/>
      <c r="EA143" s="389"/>
      <c r="EB143" s="389"/>
      <c r="EC143" s="392" t="s">
        <v>65</v>
      </c>
    </row>
    <row r="144" spans="1:133" s="390" customFormat="1">
      <c r="A144" s="389"/>
      <c r="B144" s="389"/>
      <c r="C144" s="389"/>
      <c r="D144" s="389" t="s">
        <v>643</v>
      </c>
      <c r="E144" s="389"/>
      <c r="F144" s="389"/>
      <c r="G144" s="389"/>
      <c r="H144" s="389"/>
      <c r="I144" s="389"/>
      <c r="J144" s="389"/>
      <c r="K144" s="389"/>
      <c r="L144" s="856">
        <f>IFERROR(VLOOKUP(L8,'Forward Curve'!$D$4:$E$124,2,0),0)</f>
        <v>4.8833399999999999E-2</v>
      </c>
      <c r="M144" s="856">
        <f>IFERROR(VLOOKUP(M8,'Forward Curve'!$D$4:$E$124,2,0),0)</f>
        <v>4.8781900000000003E-2</v>
      </c>
      <c r="N144" s="856">
        <f>IFERROR(VLOOKUP(N8,'Forward Curve'!$D$4:$E$124,2,0),0)</f>
        <v>4.8353100000000003E-2</v>
      </c>
      <c r="O144" s="856">
        <f>IFERROR(VLOOKUP(O8,'Forward Curve'!$D$4:$E$124,2,0),0)</f>
        <v>4.7136400000000002E-2</v>
      </c>
      <c r="P144" s="856">
        <f>IFERROR(VLOOKUP(P8,'Forward Curve'!$D$4:$E$124,2,0),0)</f>
        <v>4.7142499999999997E-2</v>
      </c>
      <c r="Q144" s="856">
        <f>IFERROR(VLOOKUP(Q8,'Forward Curve'!$D$4:$E$124,2,0),0)</f>
        <v>4.6318699999999997E-2</v>
      </c>
      <c r="R144" s="856">
        <f>IFERROR(VLOOKUP(R8,'Forward Curve'!$D$4:$E$124,2,0),0)</f>
        <v>4.3635300000000002E-2</v>
      </c>
      <c r="S144" s="856">
        <f>IFERROR(VLOOKUP(S8,'Forward Curve'!$D$4:$E$124,2,0),0)</f>
        <v>4.3635300000000002E-2</v>
      </c>
      <c r="T144" s="856">
        <f>IFERROR(VLOOKUP(T8,'Forward Curve'!$D$4:$E$124,2,0),0)</f>
        <v>4.2527000000000002E-2</v>
      </c>
      <c r="U144" s="856">
        <f>IFERROR(VLOOKUP(U8,'Forward Curve'!$D$4:$E$124,2,0),0)</f>
        <v>3.8303900000000002E-2</v>
      </c>
      <c r="V144" s="856">
        <f>IFERROR(VLOOKUP(V8,'Forward Curve'!$D$4:$E$124,2,0),0)</f>
        <v>3.8305899999999997E-2</v>
      </c>
      <c r="W144" s="856">
        <f>IFERROR(VLOOKUP(W8,'Forward Curve'!$D$4:$E$124,2,0),0)</f>
        <v>3.7545299999999997E-2</v>
      </c>
      <c r="X144" s="856">
        <f>IFERROR(VLOOKUP(X8,'Forward Curve'!$D$4:$E$124,2,0),0)</f>
        <v>3.4454499999999999E-2</v>
      </c>
      <c r="Y144" s="856">
        <f>IFERROR(VLOOKUP(Y8,'Forward Curve'!$D$4:$E$124,2,0),0)</f>
        <v>3.2968200000000003E-2</v>
      </c>
      <c r="Z144" s="856">
        <f>IFERROR(VLOOKUP(Z8,'Forward Curve'!$D$4:$E$124,2,0),0)</f>
        <v>3.1659199999999998E-2</v>
      </c>
      <c r="AA144" s="856">
        <f>IFERROR(VLOOKUP(AA8,'Forward Curve'!$D$4:$E$124,2,0),0)</f>
        <v>3.0541499999999999E-2</v>
      </c>
      <c r="AB144" s="856">
        <f>IFERROR(VLOOKUP(AB8,'Forward Curve'!$D$4:$E$124,2,0),0)</f>
        <v>2.96212E-2</v>
      </c>
      <c r="AC144" s="856">
        <f>IFERROR(VLOOKUP(AC8,'Forward Curve'!$D$4:$E$124,2,0),0)</f>
        <v>2.8992E-2</v>
      </c>
      <c r="AD144" s="856">
        <f>IFERROR(VLOOKUP(AD8,'Forward Curve'!$D$4:$E$124,2,0),0)</f>
        <v>2.8497999999999999E-2</v>
      </c>
      <c r="AE144" s="856">
        <f>IFERROR(VLOOKUP(AE8,'Forward Curve'!$D$4:$E$124,2,0),0)</f>
        <v>2.8171100000000001E-2</v>
      </c>
      <c r="AF144" s="856">
        <f>IFERROR(VLOOKUP(AF8,'Forward Curve'!$D$4:$E$124,2,0),0)</f>
        <v>2.79235E-2</v>
      </c>
      <c r="AG144" s="856">
        <f>IFERROR(VLOOKUP(AG8,'Forward Curve'!$D$4:$E$124,2,0),0)</f>
        <v>2.76904E-2</v>
      </c>
      <c r="AH144" s="856">
        <f>IFERROR(VLOOKUP(AH8,'Forward Curve'!$D$4:$E$124,2,0),0)</f>
        <v>2.74649E-2</v>
      </c>
      <c r="AI144" s="856">
        <f>IFERROR(VLOOKUP(AI8,'Forward Curve'!$D$4:$E$124,2,0),0)</f>
        <v>2.7280599999999999E-2</v>
      </c>
      <c r="AJ144" s="856">
        <f>IFERROR(VLOOKUP(AJ8,'Forward Curve'!$D$4:$E$124,2,0),0)</f>
        <v>2.7112899999999999E-2</v>
      </c>
      <c r="AK144" s="856">
        <f>IFERROR(VLOOKUP(AK8,'Forward Curve'!$D$4:$E$124,2,0),0)</f>
        <v>2.6962E-2</v>
      </c>
      <c r="AL144" s="856">
        <f>IFERROR(VLOOKUP(AL8,'Forward Curve'!$D$4:$E$124,2,0),0)</f>
        <v>2.6845999999999998E-2</v>
      </c>
      <c r="AM144" s="856">
        <f>IFERROR(VLOOKUP(AM8,'Forward Curve'!$D$4:$E$124,2,0),0)</f>
        <v>2.6745399999999999E-2</v>
      </c>
      <c r="AN144" s="856">
        <f>IFERROR(VLOOKUP(AN8,'Forward Curve'!$D$4:$E$124,2,0),0)</f>
        <v>2.6668799999999999E-2</v>
      </c>
      <c r="AO144" s="856">
        <f>IFERROR(VLOOKUP(AO8,'Forward Curve'!$D$4:$E$124,2,0),0)</f>
        <v>2.66173E-2</v>
      </c>
      <c r="AP144" s="856">
        <f>IFERROR(VLOOKUP(AP8,'Forward Curve'!$D$4:$E$124,2,0),0)</f>
        <v>2.6589100000000001E-2</v>
      </c>
      <c r="AQ144" s="856">
        <f>IFERROR(VLOOKUP(AQ8,'Forward Curve'!$D$4:$E$124,2,0),0)</f>
        <v>2.65799E-2</v>
      </c>
      <c r="AR144" s="856">
        <f>IFERROR(VLOOKUP(AR8,'Forward Curve'!$D$4:$E$124,2,0),0)</f>
        <v>2.6575100000000001E-2</v>
      </c>
      <c r="AS144" s="856">
        <f>IFERROR(VLOOKUP(AS8,'Forward Curve'!$D$4:$E$124,2,0),0)</f>
        <v>2.6580800000000002E-2</v>
      </c>
      <c r="AT144" s="856">
        <f>IFERROR(VLOOKUP(AT8,'Forward Curve'!$D$4:$E$124,2,0),0)</f>
        <v>2.6584699999999999E-2</v>
      </c>
      <c r="AU144" s="856">
        <f>IFERROR(VLOOKUP(AU8,'Forward Curve'!$D$4:$E$124,2,0),0)</f>
        <v>2.6594900000000001E-2</v>
      </c>
      <c r="AV144" s="856">
        <f>IFERROR(VLOOKUP(AV8,'Forward Curve'!$D$4:$E$124,2,0),0)</f>
        <v>2.66086E-2</v>
      </c>
      <c r="AW144" s="856">
        <f>IFERROR(VLOOKUP(AW8,'Forward Curve'!$D$4:$E$124,2,0),0)</f>
        <v>2.6626199999999999E-2</v>
      </c>
      <c r="AX144" s="856">
        <f>IFERROR(VLOOKUP(AX8,'Forward Curve'!$D$4:$E$124,2,0),0)</f>
        <v>2.6649800000000001E-2</v>
      </c>
      <c r="AY144" s="856">
        <f>IFERROR(VLOOKUP(AY8,'Forward Curve'!$D$4:$E$124,2,0),0)</f>
        <v>2.6672899999999999E-2</v>
      </c>
      <c r="AZ144" s="856">
        <f>IFERROR(VLOOKUP(AZ8,'Forward Curve'!$D$4:$E$124,2,0),0)</f>
        <v>2.6702500000000001E-2</v>
      </c>
      <c r="BA144" s="856">
        <f>IFERROR(VLOOKUP(BA8,'Forward Curve'!$D$4:$E$124,2,0),0)</f>
        <v>2.6735600000000002E-2</v>
      </c>
      <c r="BB144" s="856">
        <f>IFERROR(VLOOKUP(BB8,'Forward Curve'!$D$4:$E$124,2,0),0)</f>
        <v>2.6773000000000002E-2</v>
      </c>
      <c r="BC144" s="856">
        <f>IFERROR(VLOOKUP(BC8,'Forward Curve'!$D$4:$E$124,2,0),0)</f>
        <v>2.6811000000000001E-2</v>
      </c>
      <c r="BD144" s="856">
        <f>IFERROR(VLOOKUP(BD8,'Forward Curve'!$D$4:$E$124,2,0),0)</f>
        <v>2.68521E-2</v>
      </c>
      <c r="BE144" s="856">
        <f>IFERROR(VLOOKUP(BE8,'Forward Curve'!$D$4:$E$124,2,0),0)</f>
        <v>2.6892800000000001E-2</v>
      </c>
      <c r="BF144" s="856">
        <f>IFERROR(VLOOKUP(BF8,'Forward Curve'!$D$4:$E$124,2,0),0)</f>
        <v>2.6927800000000002E-2</v>
      </c>
      <c r="BG144" s="856">
        <f>IFERROR(VLOOKUP(BG8,'Forward Curve'!$D$4:$E$124,2,0),0)</f>
        <v>2.6971800000000001E-2</v>
      </c>
      <c r="BH144" s="856">
        <f>IFERROR(VLOOKUP(BH8,'Forward Curve'!$D$4:$E$124,2,0),0)</f>
        <v>2.7009600000000002E-2</v>
      </c>
      <c r="BI144" s="856">
        <f>IFERROR(VLOOKUP(BI8,'Forward Curve'!$D$4:$E$124,2,0),0)</f>
        <v>2.70472E-2</v>
      </c>
      <c r="BJ144" s="856">
        <f>IFERROR(VLOOKUP(BJ8,'Forward Curve'!$D$4:$E$124,2,0),0)</f>
        <v>2.7088600000000001E-2</v>
      </c>
      <c r="BK144" s="856">
        <f>IFERROR(VLOOKUP(BK8,'Forward Curve'!$D$4:$E$124,2,0),0)</f>
        <v>2.7126000000000001E-2</v>
      </c>
      <c r="BL144" s="856">
        <f>IFERROR(VLOOKUP(BL8,'Forward Curve'!$D$4:$E$124,2,0),0)</f>
        <v>2.7164299999999999E-2</v>
      </c>
      <c r="BM144" s="856">
        <f>IFERROR(VLOOKUP(BM8,'Forward Curve'!$D$4:$E$124,2,0),0)</f>
        <v>2.72033E-2</v>
      </c>
      <c r="BN144" s="856">
        <f>IFERROR(VLOOKUP(BN8,'Forward Curve'!$D$4:$E$124,2,0),0)</f>
        <v>2.7242100000000002E-2</v>
      </c>
      <c r="BO144" s="856">
        <f>IFERROR(VLOOKUP(BO8,'Forward Curve'!$D$4:$E$124,2,0),0)</f>
        <v>2.7282799999999999E-2</v>
      </c>
      <c r="BP144" s="856">
        <f>IFERROR(VLOOKUP(BP8,'Forward Curve'!$D$4:$E$124,2,0),0)</f>
        <v>2.7317899999999999E-2</v>
      </c>
      <c r="BQ144" s="856">
        <f>IFERROR(VLOOKUP(BQ8,'Forward Curve'!$D$4:$E$124,2,0),0)</f>
        <v>2.7357300000000001E-2</v>
      </c>
      <c r="BR144" s="856">
        <f>IFERROR(VLOOKUP(BR8,'Forward Curve'!$D$4:$E$124,2,0),0)</f>
        <v>2.7394700000000001E-2</v>
      </c>
      <c r="BS144" s="856">
        <f>IFERROR(VLOOKUP(BS8,'Forward Curve'!$D$4:$E$124,2,0),0)</f>
        <v>2.7436200000000001E-2</v>
      </c>
      <c r="BT144" s="856">
        <f>IFERROR(VLOOKUP(BT8,'Forward Curve'!$D$4:$E$124,2,0),0)</f>
        <v>2.7476199999999999E-2</v>
      </c>
      <c r="BU144" s="856">
        <f>IFERROR(VLOOKUP(BU8,'Forward Curve'!$D$4:$E$124,2,0),0)</f>
        <v>2.7522499999999998E-2</v>
      </c>
      <c r="BV144" s="856">
        <f>IFERROR(VLOOKUP(BV8,'Forward Curve'!$D$4:$E$124,2,0),0)</f>
        <v>2.75648E-2</v>
      </c>
      <c r="BW144" s="856">
        <f>IFERROR(VLOOKUP(BW8,'Forward Curve'!$D$4:$E$124,2,0),0)</f>
        <v>2.7604E-2</v>
      </c>
      <c r="BX144" s="856">
        <f>IFERROR(VLOOKUP(BX8,'Forward Curve'!$D$4:$E$124,2,0),0)</f>
        <v>2.7650399999999999E-2</v>
      </c>
      <c r="BY144" s="856">
        <f>IFERROR(VLOOKUP(BY8,'Forward Curve'!$D$4:$E$124,2,0),0)</f>
        <v>2.7693300000000001E-2</v>
      </c>
      <c r="BZ144" s="856">
        <f>IFERROR(VLOOKUP(BZ8,'Forward Curve'!$D$4:$E$124,2,0),0)</f>
        <v>2.77378E-2</v>
      </c>
      <c r="CA144" s="856">
        <f>IFERROR(VLOOKUP(CA8,'Forward Curve'!$D$4:$E$124,2,0),0)</f>
        <v>2.7784E-2</v>
      </c>
      <c r="CB144" s="856">
        <f>IFERROR(VLOOKUP(CB8,'Forward Curve'!$D$4:$E$124,2,0),0)</f>
        <v>2.78254E-2</v>
      </c>
      <c r="CC144" s="856">
        <f>IFERROR(VLOOKUP(CC8,'Forward Curve'!$D$4:$E$124,2,0),0)</f>
        <v>2.78739E-2</v>
      </c>
      <c r="CD144" s="856">
        <f>IFERROR(VLOOKUP(CD8,'Forward Curve'!$D$4:$E$124,2,0),0)</f>
        <v>2.7925800000000001E-2</v>
      </c>
      <c r="CE144" s="856">
        <f>IFERROR(VLOOKUP(CE8,'Forward Curve'!$D$4:$E$124,2,0),0)</f>
        <v>2.7974099999999998E-2</v>
      </c>
      <c r="CF144" s="856">
        <f>IFERROR(VLOOKUP(CF8,'Forward Curve'!$D$4:$E$124,2,0),0)</f>
        <v>2.8016900000000001E-2</v>
      </c>
      <c r="CG144" s="856">
        <f>IFERROR(VLOOKUP(CG8,'Forward Curve'!$D$4:$E$124,2,0),0)</f>
        <v>2.8069199999999999E-2</v>
      </c>
      <c r="CH144" s="856">
        <f>IFERROR(VLOOKUP(CH8,'Forward Curve'!$D$4:$E$124,2,0),0)</f>
        <v>2.8119700000000001E-2</v>
      </c>
      <c r="CI144" s="856">
        <f>IFERROR(VLOOKUP(CI8,'Forward Curve'!$D$4:$E$124,2,0),0)</f>
        <v>2.8167500000000002E-2</v>
      </c>
      <c r="CJ144" s="856">
        <f>IFERROR(VLOOKUP(CJ8,'Forward Curve'!$D$4:$E$124,2,0),0)</f>
        <v>2.82198E-2</v>
      </c>
      <c r="CK144" s="856">
        <f>IFERROR(VLOOKUP(CK8,'Forward Curve'!$D$4:$E$124,2,0),0)</f>
        <v>2.82705E-2</v>
      </c>
      <c r="CL144" s="856">
        <f>IFERROR(VLOOKUP(CL8,'Forward Curve'!$D$4:$E$124,2,0),0)</f>
        <v>2.8327999999999999E-2</v>
      </c>
      <c r="CM144" s="856">
        <f>IFERROR(VLOOKUP(CM8,'Forward Curve'!$D$4:$E$124,2,0),0)</f>
        <v>2.83815E-2</v>
      </c>
      <c r="CN144" s="856">
        <f>IFERROR(VLOOKUP(CN8,'Forward Curve'!$D$4:$E$124,2,0),0)</f>
        <v>2.8426300000000002E-2</v>
      </c>
      <c r="CO144" s="856">
        <f>IFERROR(VLOOKUP(CO8,'Forward Curve'!$D$4:$E$124,2,0),0)</f>
        <v>2.8481599999999999E-2</v>
      </c>
      <c r="CP144" s="856">
        <f>IFERROR(VLOOKUP(CP8,'Forward Curve'!$D$4:$E$124,2,0),0)</f>
        <v>2.8538500000000001E-2</v>
      </c>
      <c r="CQ144" s="856">
        <f>IFERROR(VLOOKUP(CQ8,'Forward Curve'!$D$4:$E$124,2,0),0)</f>
        <v>2.8593500000000001E-2</v>
      </c>
      <c r="CR144" s="856">
        <f>IFERROR(VLOOKUP(CR8,'Forward Curve'!$D$4:$E$124,2,0),0)</f>
        <v>2.86433E-2</v>
      </c>
      <c r="CS144" s="856">
        <f>IFERROR(VLOOKUP(CS8,'Forward Curve'!$D$4:$E$124,2,0),0)</f>
        <v>2.86994E-2</v>
      </c>
      <c r="CT144" s="856">
        <f>IFERROR(VLOOKUP(CT8,'Forward Curve'!$D$4:$E$124,2,0),0)</f>
        <v>2.87554E-2</v>
      </c>
      <c r="CU144" s="856">
        <f>IFERROR(VLOOKUP(CU8,'Forward Curve'!$D$4:$E$124,2,0),0)</f>
        <v>2.88139E-2</v>
      </c>
      <c r="CV144" s="856">
        <f>IFERROR(VLOOKUP(CV8,'Forward Curve'!$D$4:$E$124,2,0),0)</f>
        <v>2.8872399999999999E-2</v>
      </c>
      <c r="CW144" s="856">
        <f>IFERROR(VLOOKUP(CW8,'Forward Curve'!$D$4:$E$124,2,0),0)</f>
        <v>2.8921599999999999E-2</v>
      </c>
      <c r="CX144" s="856">
        <f>IFERROR(VLOOKUP(CX8,'Forward Curve'!$D$4:$E$124,2,0),0)</f>
        <v>2.8981199999999999E-2</v>
      </c>
      <c r="CY144" s="856">
        <f>IFERROR(VLOOKUP(CY8,'Forward Curve'!$D$4:$E$124,2,0),0)</f>
        <v>2.9038499999999998E-2</v>
      </c>
      <c r="CZ144" s="856">
        <f>IFERROR(VLOOKUP(CZ8,'Forward Curve'!$D$4:$E$124,2,0),0)</f>
        <v>2.9088200000000002E-2</v>
      </c>
      <c r="DA144" s="856">
        <f>IFERROR(VLOOKUP(DA8,'Forward Curve'!$D$4:$E$124,2,0),0)</f>
        <v>2.9151300000000002E-2</v>
      </c>
      <c r="DB144" s="856">
        <f>IFERROR(VLOOKUP(DB8,'Forward Curve'!$D$4:$E$124,2,0),0)</f>
        <v>2.9207199999999999E-2</v>
      </c>
      <c r="DC144" s="856">
        <f>IFERROR(VLOOKUP(DC8,'Forward Curve'!$D$4:$E$124,2,0),0)</f>
        <v>2.92643E-2</v>
      </c>
      <c r="DD144" s="856">
        <f>IFERROR(VLOOKUP(DD8,'Forward Curve'!$D$4:$E$124,2,0),0)</f>
        <v>2.9323599999999998E-2</v>
      </c>
      <c r="DE144" s="856">
        <f>IFERROR(VLOOKUP(DE8,'Forward Curve'!$D$4:$E$124,2,0),0)</f>
        <v>2.9382700000000001E-2</v>
      </c>
      <c r="DF144" s="856">
        <f>IFERROR(VLOOKUP(DF8,'Forward Curve'!$D$4:$E$124,2,0),0)</f>
        <v>2.9438499999999999E-2</v>
      </c>
      <c r="DG144" s="856">
        <f>IFERROR(VLOOKUP(DG8,'Forward Curve'!$D$4:$E$124,2,0),0)</f>
        <v>2.94985E-2</v>
      </c>
      <c r="DH144" s="856">
        <f>IFERROR(VLOOKUP(DH8,'Forward Curve'!$D$4:$E$124,2,0),0)</f>
        <v>2.9561E-2</v>
      </c>
      <c r="DI144" s="856">
        <f>IFERROR(VLOOKUP(DI8,'Forward Curve'!$D$4:$E$124,2,0),0)</f>
        <v>2.9615200000000001E-2</v>
      </c>
      <c r="DJ144" s="856">
        <f>IFERROR(VLOOKUP(DJ8,'Forward Curve'!$D$4:$E$124,2,0),0)</f>
        <v>2.9676299999999999E-2</v>
      </c>
      <c r="DK144" s="856">
        <f>IFERROR(VLOOKUP(DK8,'Forward Curve'!$D$4:$E$124,2,0),0)</f>
        <v>2.9737400000000001E-2</v>
      </c>
      <c r="DL144" s="856">
        <f>IFERROR(VLOOKUP(DL8,'Forward Curve'!$D$4:$E$124,2,0),0)</f>
        <v>2.9801100000000001E-2</v>
      </c>
      <c r="DM144" s="856">
        <f>IFERROR(VLOOKUP(DM8,'Forward Curve'!$D$4:$E$124,2,0),0)</f>
        <v>2.98626E-2</v>
      </c>
      <c r="DN144" s="856">
        <f>IFERROR(VLOOKUP(DN8,'Forward Curve'!$D$4:$E$124,2,0),0)</f>
        <v>2.9916399999999999E-2</v>
      </c>
      <c r="DO144" s="856">
        <f>IFERROR(VLOOKUP(DO8,'Forward Curve'!$D$4:$E$124,2,0),0)</f>
        <v>2.99835E-2</v>
      </c>
      <c r="DP144" s="856">
        <f>IFERROR(VLOOKUP(DP8,'Forward Curve'!$D$4:$E$124,2,0),0)</f>
        <v>3.0043500000000001E-2</v>
      </c>
      <c r="DQ144" s="856">
        <f>IFERROR(VLOOKUP(DQ8,'Forward Curve'!$D$4:$E$124,2,0),0)</f>
        <v>3.01026E-2</v>
      </c>
      <c r="DR144" s="856">
        <f>IFERROR(VLOOKUP(DR8,'Forward Curve'!$D$4:$E$124,2,0),0)</f>
        <v>3.01681E-2</v>
      </c>
      <c r="DS144" s="856">
        <f>IFERROR(VLOOKUP(DS8,'Forward Curve'!$D$4:$E$124,2,0),0)</f>
        <v>3.0229099999999998E-2</v>
      </c>
      <c r="DT144" s="856">
        <f>IFERROR(VLOOKUP(DT8,'Forward Curve'!$D$4:$E$124,2,0),0)</f>
        <v>3.0291100000000001E-2</v>
      </c>
      <c r="DU144" s="856">
        <f>IFERROR(VLOOKUP(DU8,'Forward Curve'!$D$4:$E$124,2,0),0)</f>
        <v>3.0355300000000002E-2</v>
      </c>
      <c r="DV144" s="856">
        <f>IFERROR(VLOOKUP(DV8,'Forward Curve'!$D$4:$E$124,2,0),0)</f>
        <v>3.0419700000000001E-2</v>
      </c>
      <c r="DW144" s="856">
        <f>IFERROR(VLOOKUP(DW8,'Forward Curve'!$D$4:$E$124,2,0),0)</f>
        <v>3.0486699999999999E-2</v>
      </c>
      <c r="DX144" s="856">
        <f>IFERROR(VLOOKUP(DX8,'Forward Curve'!$D$4:$E$124,2,0),0)</f>
        <v>0</v>
      </c>
      <c r="DY144" s="856">
        <f>IFERROR(VLOOKUP(DY8,'Forward Curve'!$D$4:$E$124,2,0),0)</f>
        <v>0</v>
      </c>
      <c r="DZ144" s="856">
        <f>IFERROR(VLOOKUP(DZ8,'Forward Curve'!$D$4:$E$124,2,0),0)</f>
        <v>0</v>
      </c>
      <c r="EA144" s="856">
        <f>IFERROR(VLOOKUP(EA8,'Forward Curve'!$D$4:$E$124,2,0),0)</f>
        <v>0</v>
      </c>
      <c r="EB144" s="389"/>
      <c r="EC144" s="392" t="s">
        <v>65</v>
      </c>
    </row>
    <row r="145" spans="1:133" s="390" customFormat="1">
      <c r="A145" s="389"/>
      <c r="B145" s="389"/>
      <c r="C145" s="389"/>
      <c r="D145" s="389" t="s">
        <v>644</v>
      </c>
      <c r="E145" s="1470">
        <v>2.75E-2</v>
      </c>
      <c r="F145" s="1201"/>
      <c r="G145" s="389"/>
      <c r="H145" s="389"/>
      <c r="I145" s="389"/>
      <c r="J145" s="389"/>
      <c r="K145" s="389"/>
      <c r="L145" s="856">
        <f t="shared" ref="L145:N145" si="355">$E$145</f>
        <v>2.75E-2</v>
      </c>
      <c r="M145" s="856">
        <f t="shared" si="355"/>
        <v>2.75E-2</v>
      </c>
      <c r="N145" s="856">
        <f t="shared" si="355"/>
        <v>2.75E-2</v>
      </c>
      <c r="O145" s="856">
        <f>$E$145</f>
        <v>2.75E-2</v>
      </c>
      <c r="P145" s="856">
        <f t="shared" ref="P145:CA145" si="356">$E$145</f>
        <v>2.75E-2</v>
      </c>
      <c r="Q145" s="856">
        <f t="shared" si="356"/>
        <v>2.75E-2</v>
      </c>
      <c r="R145" s="856">
        <f t="shared" si="356"/>
        <v>2.75E-2</v>
      </c>
      <c r="S145" s="856">
        <f t="shared" si="356"/>
        <v>2.75E-2</v>
      </c>
      <c r="T145" s="856">
        <f t="shared" si="356"/>
        <v>2.75E-2</v>
      </c>
      <c r="U145" s="856">
        <f t="shared" si="356"/>
        <v>2.75E-2</v>
      </c>
      <c r="V145" s="856">
        <f t="shared" si="356"/>
        <v>2.75E-2</v>
      </c>
      <c r="W145" s="856">
        <f t="shared" si="356"/>
        <v>2.75E-2</v>
      </c>
      <c r="X145" s="856">
        <f t="shared" si="356"/>
        <v>2.75E-2</v>
      </c>
      <c r="Y145" s="856">
        <f t="shared" si="356"/>
        <v>2.75E-2</v>
      </c>
      <c r="Z145" s="856">
        <f t="shared" si="356"/>
        <v>2.75E-2</v>
      </c>
      <c r="AA145" s="856">
        <f t="shared" si="356"/>
        <v>2.75E-2</v>
      </c>
      <c r="AB145" s="856">
        <f t="shared" si="356"/>
        <v>2.75E-2</v>
      </c>
      <c r="AC145" s="856">
        <f t="shared" si="356"/>
        <v>2.75E-2</v>
      </c>
      <c r="AD145" s="856">
        <f t="shared" si="356"/>
        <v>2.75E-2</v>
      </c>
      <c r="AE145" s="856">
        <f t="shared" si="356"/>
        <v>2.75E-2</v>
      </c>
      <c r="AF145" s="856">
        <f t="shared" si="356"/>
        <v>2.75E-2</v>
      </c>
      <c r="AG145" s="856">
        <f t="shared" si="356"/>
        <v>2.75E-2</v>
      </c>
      <c r="AH145" s="856">
        <f t="shared" si="356"/>
        <v>2.75E-2</v>
      </c>
      <c r="AI145" s="856">
        <f t="shared" si="356"/>
        <v>2.75E-2</v>
      </c>
      <c r="AJ145" s="856">
        <f t="shared" si="356"/>
        <v>2.75E-2</v>
      </c>
      <c r="AK145" s="856">
        <f t="shared" si="356"/>
        <v>2.75E-2</v>
      </c>
      <c r="AL145" s="856">
        <f t="shared" si="356"/>
        <v>2.75E-2</v>
      </c>
      <c r="AM145" s="856">
        <f t="shared" si="356"/>
        <v>2.75E-2</v>
      </c>
      <c r="AN145" s="856">
        <f t="shared" si="356"/>
        <v>2.75E-2</v>
      </c>
      <c r="AO145" s="856">
        <f t="shared" si="356"/>
        <v>2.75E-2</v>
      </c>
      <c r="AP145" s="856">
        <f t="shared" si="356"/>
        <v>2.75E-2</v>
      </c>
      <c r="AQ145" s="856">
        <f t="shared" si="356"/>
        <v>2.75E-2</v>
      </c>
      <c r="AR145" s="856">
        <f t="shared" si="356"/>
        <v>2.75E-2</v>
      </c>
      <c r="AS145" s="856">
        <f t="shared" si="356"/>
        <v>2.75E-2</v>
      </c>
      <c r="AT145" s="856">
        <f t="shared" si="356"/>
        <v>2.75E-2</v>
      </c>
      <c r="AU145" s="856">
        <f t="shared" si="356"/>
        <v>2.75E-2</v>
      </c>
      <c r="AV145" s="856">
        <f t="shared" si="356"/>
        <v>2.75E-2</v>
      </c>
      <c r="AW145" s="856">
        <f t="shared" si="356"/>
        <v>2.75E-2</v>
      </c>
      <c r="AX145" s="856">
        <f t="shared" si="356"/>
        <v>2.75E-2</v>
      </c>
      <c r="AY145" s="856">
        <f t="shared" si="356"/>
        <v>2.75E-2</v>
      </c>
      <c r="AZ145" s="856">
        <f t="shared" si="356"/>
        <v>2.75E-2</v>
      </c>
      <c r="BA145" s="856">
        <f t="shared" si="356"/>
        <v>2.75E-2</v>
      </c>
      <c r="BB145" s="856">
        <f t="shared" si="356"/>
        <v>2.75E-2</v>
      </c>
      <c r="BC145" s="856">
        <f t="shared" si="356"/>
        <v>2.75E-2</v>
      </c>
      <c r="BD145" s="856">
        <f t="shared" si="356"/>
        <v>2.75E-2</v>
      </c>
      <c r="BE145" s="856">
        <f t="shared" si="356"/>
        <v>2.75E-2</v>
      </c>
      <c r="BF145" s="856">
        <f t="shared" si="356"/>
        <v>2.75E-2</v>
      </c>
      <c r="BG145" s="856">
        <f t="shared" si="356"/>
        <v>2.75E-2</v>
      </c>
      <c r="BH145" s="856">
        <f t="shared" si="356"/>
        <v>2.75E-2</v>
      </c>
      <c r="BI145" s="856">
        <f t="shared" si="356"/>
        <v>2.75E-2</v>
      </c>
      <c r="BJ145" s="856">
        <f t="shared" si="356"/>
        <v>2.75E-2</v>
      </c>
      <c r="BK145" s="856">
        <f t="shared" si="356"/>
        <v>2.75E-2</v>
      </c>
      <c r="BL145" s="856">
        <f t="shared" si="356"/>
        <v>2.75E-2</v>
      </c>
      <c r="BM145" s="856">
        <f t="shared" si="356"/>
        <v>2.75E-2</v>
      </c>
      <c r="BN145" s="856">
        <f t="shared" si="356"/>
        <v>2.75E-2</v>
      </c>
      <c r="BO145" s="856">
        <f t="shared" si="356"/>
        <v>2.75E-2</v>
      </c>
      <c r="BP145" s="856">
        <f t="shared" si="356"/>
        <v>2.75E-2</v>
      </c>
      <c r="BQ145" s="856">
        <f t="shared" si="356"/>
        <v>2.75E-2</v>
      </c>
      <c r="BR145" s="856">
        <f t="shared" si="356"/>
        <v>2.75E-2</v>
      </c>
      <c r="BS145" s="856">
        <f t="shared" si="356"/>
        <v>2.75E-2</v>
      </c>
      <c r="BT145" s="856">
        <f t="shared" si="356"/>
        <v>2.75E-2</v>
      </c>
      <c r="BU145" s="856">
        <f t="shared" si="356"/>
        <v>2.75E-2</v>
      </c>
      <c r="BV145" s="856">
        <f t="shared" si="356"/>
        <v>2.75E-2</v>
      </c>
      <c r="BW145" s="856">
        <f t="shared" si="356"/>
        <v>2.75E-2</v>
      </c>
      <c r="BX145" s="856">
        <f t="shared" si="356"/>
        <v>2.75E-2</v>
      </c>
      <c r="BY145" s="856">
        <f t="shared" si="356"/>
        <v>2.75E-2</v>
      </c>
      <c r="BZ145" s="856">
        <f t="shared" si="356"/>
        <v>2.75E-2</v>
      </c>
      <c r="CA145" s="856">
        <f t="shared" si="356"/>
        <v>2.75E-2</v>
      </c>
      <c r="CB145" s="856">
        <f t="shared" ref="CB145:EA145" si="357">$E$145</f>
        <v>2.75E-2</v>
      </c>
      <c r="CC145" s="856">
        <f t="shared" si="357"/>
        <v>2.75E-2</v>
      </c>
      <c r="CD145" s="856">
        <f t="shared" si="357"/>
        <v>2.75E-2</v>
      </c>
      <c r="CE145" s="856">
        <f t="shared" si="357"/>
        <v>2.75E-2</v>
      </c>
      <c r="CF145" s="856">
        <f t="shared" si="357"/>
        <v>2.75E-2</v>
      </c>
      <c r="CG145" s="856">
        <f t="shared" si="357"/>
        <v>2.75E-2</v>
      </c>
      <c r="CH145" s="856">
        <f t="shared" si="357"/>
        <v>2.75E-2</v>
      </c>
      <c r="CI145" s="856">
        <f t="shared" si="357"/>
        <v>2.75E-2</v>
      </c>
      <c r="CJ145" s="856">
        <f t="shared" si="357"/>
        <v>2.75E-2</v>
      </c>
      <c r="CK145" s="856">
        <f t="shared" si="357"/>
        <v>2.75E-2</v>
      </c>
      <c r="CL145" s="856">
        <f t="shared" si="357"/>
        <v>2.75E-2</v>
      </c>
      <c r="CM145" s="856">
        <f t="shared" si="357"/>
        <v>2.75E-2</v>
      </c>
      <c r="CN145" s="856">
        <f t="shared" si="357"/>
        <v>2.75E-2</v>
      </c>
      <c r="CO145" s="856">
        <f t="shared" si="357"/>
        <v>2.75E-2</v>
      </c>
      <c r="CP145" s="856">
        <f t="shared" si="357"/>
        <v>2.75E-2</v>
      </c>
      <c r="CQ145" s="856">
        <f t="shared" si="357"/>
        <v>2.75E-2</v>
      </c>
      <c r="CR145" s="856">
        <f t="shared" si="357"/>
        <v>2.75E-2</v>
      </c>
      <c r="CS145" s="856">
        <f t="shared" si="357"/>
        <v>2.75E-2</v>
      </c>
      <c r="CT145" s="856">
        <f t="shared" si="357"/>
        <v>2.75E-2</v>
      </c>
      <c r="CU145" s="856">
        <f t="shared" si="357"/>
        <v>2.75E-2</v>
      </c>
      <c r="CV145" s="856">
        <f t="shared" si="357"/>
        <v>2.75E-2</v>
      </c>
      <c r="CW145" s="856">
        <f t="shared" si="357"/>
        <v>2.75E-2</v>
      </c>
      <c r="CX145" s="856">
        <f t="shared" si="357"/>
        <v>2.75E-2</v>
      </c>
      <c r="CY145" s="856">
        <f t="shared" si="357"/>
        <v>2.75E-2</v>
      </c>
      <c r="CZ145" s="856">
        <f t="shared" si="357"/>
        <v>2.75E-2</v>
      </c>
      <c r="DA145" s="856">
        <f t="shared" si="357"/>
        <v>2.75E-2</v>
      </c>
      <c r="DB145" s="856">
        <f t="shared" si="357"/>
        <v>2.75E-2</v>
      </c>
      <c r="DC145" s="856">
        <f t="shared" si="357"/>
        <v>2.75E-2</v>
      </c>
      <c r="DD145" s="856">
        <f t="shared" si="357"/>
        <v>2.75E-2</v>
      </c>
      <c r="DE145" s="856">
        <f t="shared" si="357"/>
        <v>2.75E-2</v>
      </c>
      <c r="DF145" s="856">
        <f t="shared" si="357"/>
        <v>2.75E-2</v>
      </c>
      <c r="DG145" s="856">
        <f t="shared" si="357"/>
        <v>2.75E-2</v>
      </c>
      <c r="DH145" s="856">
        <f t="shared" si="357"/>
        <v>2.75E-2</v>
      </c>
      <c r="DI145" s="856">
        <f t="shared" si="357"/>
        <v>2.75E-2</v>
      </c>
      <c r="DJ145" s="856">
        <f t="shared" si="357"/>
        <v>2.75E-2</v>
      </c>
      <c r="DK145" s="856">
        <f t="shared" si="357"/>
        <v>2.75E-2</v>
      </c>
      <c r="DL145" s="856">
        <f t="shared" si="357"/>
        <v>2.75E-2</v>
      </c>
      <c r="DM145" s="856">
        <f t="shared" si="357"/>
        <v>2.75E-2</v>
      </c>
      <c r="DN145" s="856">
        <f t="shared" si="357"/>
        <v>2.75E-2</v>
      </c>
      <c r="DO145" s="856">
        <f t="shared" si="357"/>
        <v>2.75E-2</v>
      </c>
      <c r="DP145" s="856">
        <f t="shared" si="357"/>
        <v>2.75E-2</v>
      </c>
      <c r="DQ145" s="856">
        <f t="shared" si="357"/>
        <v>2.75E-2</v>
      </c>
      <c r="DR145" s="856">
        <f t="shared" si="357"/>
        <v>2.75E-2</v>
      </c>
      <c r="DS145" s="856">
        <f t="shared" si="357"/>
        <v>2.75E-2</v>
      </c>
      <c r="DT145" s="856">
        <f t="shared" si="357"/>
        <v>2.75E-2</v>
      </c>
      <c r="DU145" s="856">
        <f t="shared" si="357"/>
        <v>2.75E-2</v>
      </c>
      <c r="DV145" s="856">
        <f t="shared" si="357"/>
        <v>2.75E-2</v>
      </c>
      <c r="DW145" s="856">
        <f t="shared" si="357"/>
        <v>2.75E-2</v>
      </c>
      <c r="DX145" s="856">
        <f t="shared" si="357"/>
        <v>2.75E-2</v>
      </c>
      <c r="DY145" s="856">
        <f t="shared" si="357"/>
        <v>2.75E-2</v>
      </c>
      <c r="DZ145" s="856">
        <f t="shared" si="357"/>
        <v>2.75E-2</v>
      </c>
      <c r="EA145" s="856">
        <f t="shared" si="357"/>
        <v>2.75E-2</v>
      </c>
      <c r="EB145" s="389"/>
      <c r="EC145" s="392" t="s">
        <v>65</v>
      </c>
    </row>
    <row r="146" spans="1:133" s="390" customFormat="1">
      <c r="A146" s="389"/>
      <c r="B146" s="389"/>
      <c r="C146" s="389"/>
      <c r="D146" s="457" t="s">
        <v>645</v>
      </c>
      <c r="E146" s="457"/>
      <c r="F146" s="457"/>
      <c r="G146" s="457"/>
      <c r="H146" s="457"/>
      <c r="I146" s="457"/>
      <c r="J146" s="389"/>
      <c r="K146" s="457"/>
      <c r="L146" s="1469"/>
      <c r="M146" s="1469"/>
      <c r="N146" s="1469"/>
      <c r="O146" s="1469"/>
      <c r="P146" s="1469"/>
      <c r="Q146" s="1469"/>
      <c r="R146" s="1469"/>
      <c r="S146" s="1469"/>
      <c r="T146" s="1469"/>
      <c r="U146" s="1469"/>
      <c r="V146" s="1469"/>
      <c r="W146" s="1469"/>
      <c r="X146" s="1469"/>
      <c r="Y146" s="1469"/>
      <c r="Z146" s="1469"/>
      <c r="AA146" s="1469"/>
      <c r="AB146" s="1469"/>
      <c r="AC146" s="1469"/>
      <c r="AD146" s="1469"/>
      <c r="AE146" s="1469"/>
      <c r="AF146" s="1469"/>
      <c r="AG146" s="1469"/>
      <c r="AH146" s="1469"/>
      <c r="AI146" s="1469"/>
      <c r="AJ146" s="1469"/>
      <c r="AK146" s="1469"/>
      <c r="AL146" s="1469"/>
      <c r="AM146" s="1469"/>
      <c r="AN146" s="1469"/>
      <c r="AO146" s="1469"/>
      <c r="AP146" s="1469"/>
      <c r="AQ146" s="1469"/>
      <c r="AR146" s="1469"/>
      <c r="AS146" s="1469"/>
      <c r="AT146" s="1469"/>
      <c r="AU146" s="1469"/>
      <c r="AV146" s="1469"/>
      <c r="AW146" s="1469"/>
      <c r="AX146" s="1469"/>
      <c r="AY146" s="1469"/>
      <c r="AZ146" s="1469"/>
      <c r="BA146" s="1469"/>
      <c r="BB146" s="1469"/>
      <c r="BC146" s="1469"/>
      <c r="BD146" s="1469"/>
      <c r="BE146" s="1469"/>
      <c r="BF146" s="1469"/>
      <c r="BG146" s="1469"/>
      <c r="BH146" s="1469"/>
      <c r="BI146" s="1469"/>
      <c r="BJ146" s="1469"/>
      <c r="BK146" s="1469"/>
      <c r="BL146" s="1469"/>
      <c r="BM146" s="1469"/>
      <c r="BN146" s="1469"/>
      <c r="BO146" s="1469"/>
      <c r="BP146" s="1469"/>
      <c r="BQ146" s="1469"/>
      <c r="BR146" s="1469"/>
      <c r="BS146" s="1469"/>
      <c r="BT146" s="1469"/>
      <c r="BU146" s="1469"/>
      <c r="BV146" s="1469"/>
      <c r="BW146" s="1469"/>
      <c r="BX146" s="1469"/>
      <c r="BY146" s="1469"/>
      <c r="BZ146" s="1469"/>
      <c r="CA146" s="1469"/>
      <c r="CB146" s="1469"/>
      <c r="CC146" s="1469"/>
      <c r="CD146" s="1469"/>
      <c r="CE146" s="1469"/>
      <c r="CF146" s="1469"/>
      <c r="CG146" s="1469"/>
      <c r="CH146" s="1469"/>
      <c r="CI146" s="1469"/>
      <c r="CJ146" s="1469"/>
      <c r="CK146" s="1469"/>
      <c r="CL146" s="1469"/>
      <c r="CM146" s="1469"/>
      <c r="CN146" s="1469"/>
      <c r="CO146" s="1469"/>
      <c r="CP146" s="1469"/>
      <c r="CQ146" s="1469"/>
      <c r="CR146" s="1469"/>
      <c r="CS146" s="1469"/>
      <c r="CT146" s="1469"/>
      <c r="CU146" s="1469"/>
      <c r="CV146" s="1469"/>
      <c r="CW146" s="1469"/>
      <c r="CX146" s="1469"/>
      <c r="CY146" s="1469"/>
      <c r="CZ146" s="1469"/>
      <c r="DA146" s="1469"/>
      <c r="DB146" s="1469"/>
      <c r="DC146" s="1469"/>
      <c r="DD146" s="1469"/>
      <c r="DE146" s="1469"/>
      <c r="DF146" s="1469"/>
      <c r="DG146" s="1469"/>
      <c r="DH146" s="1469"/>
      <c r="DI146" s="1469"/>
      <c r="DJ146" s="1469"/>
      <c r="DK146" s="1469"/>
      <c r="DL146" s="1469"/>
      <c r="DM146" s="1469"/>
      <c r="DN146" s="1469"/>
      <c r="DO146" s="1469"/>
      <c r="DP146" s="1469"/>
      <c r="DQ146" s="1469"/>
      <c r="DR146" s="1469"/>
      <c r="DS146" s="1469"/>
      <c r="DT146" s="1469"/>
      <c r="DU146" s="1469"/>
      <c r="DV146" s="1469"/>
      <c r="DW146" s="1469"/>
      <c r="DX146" s="1469"/>
      <c r="DY146" s="1469"/>
      <c r="DZ146" s="1469"/>
      <c r="EA146" s="1469"/>
      <c r="EB146" s="389"/>
      <c r="EC146" s="392" t="s">
        <v>65</v>
      </c>
    </row>
    <row r="147" spans="1:133" s="390" customFormat="1">
      <c r="A147" s="389"/>
      <c r="B147" s="389"/>
      <c r="C147" s="389"/>
      <c r="D147" s="389" t="s">
        <v>646</v>
      </c>
      <c r="E147" s="389"/>
      <c r="F147" s="389"/>
      <c r="G147" s="389"/>
      <c r="H147" s="389"/>
      <c r="I147" s="389"/>
      <c r="J147" s="389"/>
      <c r="K147" s="389"/>
      <c r="L147" s="852">
        <f>SUM(L144:L145)</f>
        <v>7.6333399999999996E-2</v>
      </c>
      <c r="M147" s="852">
        <f t="shared" ref="M147:BX147" si="358">SUM(M144:M145)</f>
        <v>7.62819E-2</v>
      </c>
      <c r="N147" s="852">
        <f t="shared" si="358"/>
        <v>7.5853100000000007E-2</v>
      </c>
      <c r="O147" s="852">
        <f t="shared" si="358"/>
        <v>7.4636400000000006E-2</v>
      </c>
      <c r="P147" s="852">
        <f t="shared" si="358"/>
        <v>7.4642500000000001E-2</v>
      </c>
      <c r="Q147" s="852">
        <f t="shared" si="358"/>
        <v>7.3818700000000001E-2</v>
      </c>
      <c r="R147" s="852">
        <f t="shared" si="358"/>
        <v>7.1135299999999999E-2</v>
      </c>
      <c r="S147" s="852">
        <f t="shared" si="358"/>
        <v>7.1135299999999999E-2</v>
      </c>
      <c r="T147" s="852">
        <f t="shared" si="358"/>
        <v>7.0027000000000006E-2</v>
      </c>
      <c r="U147" s="852">
        <f t="shared" si="358"/>
        <v>6.5803899999999999E-2</v>
      </c>
      <c r="V147" s="852">
        <f t="shared" si="358"/>
        <v>6.5805900000000001E-2</v>
      </c>
      <c r="W147" s="852">
        <f t="shared" si="358"/>
        <v>6.50453E-2</v>
      </c>
      <c r="X147" s="852">
        <f t="shared" si="358"/>
        <v>6.1954499999999996E-2</v>
      </c>
      <c r="Y147" s="852">
        <f t="shared" si="358"/>
        <v>6.04682E-2</v>
      </c>
      <c r="Z147" s="852">
        <f t="shared" si="358"/>
        <v>5.9159199999999995E-2</v>
      </c>
      <c r="AA147" s="852">
        <f t="shared" si="358"/>
        <v>5.8041499999999996E-2</v>
      </c>
      <c r="AB147" s="852">
        <f t="shared" si="358"/>
        <v>5.7121199999999997E-2</v>
      </c>
      <c r="AC147" s="852">
        <f t="shared" si="358"/>
        <v>5.6492000000000001E-2</v>
      </c>
      <c r="AD147" s="852">
        <f t="shared" si="358"/>
        <v>5.5997999999999999E-2</v>
      </c>
      <c r="AE147" s="852">
        <f t="shared" si="358"/>
        <v>5.5671100000000001E-2</v>
      </c>
      <c r="AF147" s="852">
        <f t="shared" si="358"/>
        <v>5.5423500000000001E-2</v>
      </c>
      <c r="AG147" s="852">
        <f t="shared" si="358"/>
        <v>5.5190400000000001E-2</v>
      </c>
      <c r="AH147" s="852">
        <f t="shared" si="358"/>
        <v>5.4964899999999997E-2</v>
      </c>
      <c r="AI147" s="852">
        <f t="shared" si="358"/>
        <v>5.4780599999999999E-2</v>
      </c>
      <c r="AJ147" s="852">
        <f t="shared" si="358"/>
        <v>5.4612899999999999E-2</v>
      </c>
      <c r="AK147" s="852">
        <f t="shared" si="358"/>
        <v>5.4461999999999997E-2</v>
      </c>
      <c r="AL147" s="852">
        <f t="shared" si="358"/>
        <v>5.4345999999999998E-2</v>
      </c>
      <c r="AM147" s="852">
        <f t="shared" si="358"/>
        <v>5.4245399999999999E-2</v>
      </c>
      <c r="AN147" s="852">
        <f t="shared" si="358"/>
        <v>5.4168800000000003E-2</v>
      </c>
      <c r="AO147" s="852">
        <f t="shared" si="358"/>
        <v>5.41173E-2</v>
      </c>
      <c r="AP147" s="852">
        <f t="shared" si="358"/>
        <v>5.4089100000000001E-2</v>
      </c>
      <c r="AQ147" s="852">
        <f t="shared" si="358"/>
        <v>5.40799E-2</v>
      </c>
      <c r="AR147" s="852">
        <f t="shared" si="358"/>
        <v>5.4075100000000001E-2</v>
      </c>
      <c r="AS147" s="852">
        <f t="shared" si="358"/>
        <v>5.4080799999999998E-2</v>
      </c>
      <c r="AT147" s="852">
        <f t="shared" si="358"/>
        <v>5.4084699999999999E-2</v>
      </c>
      <c r="AU147" s="852">
        <f t="shared" si="358"/>
        <v>5.4094900000000001E-2</v>
      </c>
      <c r="AV147" s="852">
        <f t="shared" si="358"/>
        <v>5.41086E-2</v>
      </c>
      <c r="AW147" s="852">
        <f t="shared" si="358"/>
        <v>5.4126199999999999E-2</v>
      </c>
      <c r="AX147" s="852">
        <f t="shared" si="358"/>
        <v>5.4149799999999998E-2</v>
      </c>
      <c r="AY147" s="852">
        <f t="shared" si="358"/>
        <v>5.4172899999999996E-2</v>
      </c>
      <c r="AZ147" s="852">
        <f t="shared" si="358"/>
        <v>5.4202500000000001E-2</v>
      </c>
      <c r="BA147" s="852">
        <f t="shared" si="358"/>
        <v>5.4235600000000002E-2</v>
      </c>
      <c r="BB147" s="852">
        <f t="shared" si="358"/>
        <v>5.4273000000000002E-2</v>
      </c>
      <c r="BC147" s="852">
        <f t="shared" si="358"/>
        <v>5.4310999999999998E-2</v>
      </c>
      <c r="BD147" s="852">
        <f t="shared" si="358"/>
        <v>5.43521E-2</v>
      </c>
      <c r="BE147" s="852">
        <f t="shared" si="358"/>
        <v>5.4392800000000005E-2</v>
      </c>
      <c r="BF147" s="852">
        <f t="shared" si="358"/>
        <v>5.4427799999999998E-2</v>
      </c>
      <c r="BG147" s="852">
        <f t="shared" si="358"/>
        <v>5.4471800000000001E-2</v>
      </c>
      <c r="BH147" s="852">
        <f t="shared" si="358"/>
        <v>5.4509600000000005E-2</v>
      </c>
      <c r="BI147" s="852">
        <f t="shared" si="358"/>
        <v>5.4547200000000004E-2</v>
      </c>
      <c r="BJ147" s="852">
        <f t="shared" si="358"/>
        <v>5.4588600000000001E-2</v>
      </c>
      <c r="BK147" s="852">
        <f t="shared" si="358"/>
        <v>5.4626000000000001E-2</v>
      </c>
      <c r="BL147" s="852">
        <f t="shared" si="358"/>
        <v>5.4664299999999999E-2</v>
      </c>
      <c r="BM147" s="852">
        <f t="shared" si="358"/>
        <v>5.4703299999999996E-2</v>
      </c>
      <c r="BN147" s="852">
        <f t="shared" si="358"/>
        <v>5.4742100000000002E-2</v>
      </c>
      <c r="BO147" s="852">
        <f t="shared" si="358"/>
        <v>5.47828E-2</v>
      </c>
      <c r="BP147" s="852">
        <f t="shared" si="358"/>
        <v>5.4817900000000003E-2</v>
      </c>
      <c r="BQ147" s="852">
        <f t="shared" si="358"/>
        <v>5.4857299999999998E-2</v>
      </c>
      <c r="BR147" s="852">
        <f t="shared" si="358"/>
        <v>5.4894700000000005E-2</v>
      </c>
      <c r="BS147" s="852">
        <f t="shared" si="358"/>
        <v>5.4936200000000004E-2</v>
      </c>
      <c r="BT147" s="852">
        <f t="shared" si="358"/>
        <v>5.4976200000000003E-2</v>
      </c>
      <c r="BU147" s="852">
        <f t="shared" si="358"/>
        <v>5.5022500000000002E-2</v>
      </c>
      <c r="BV147" s="852">
        <f t="shared" si="358"/>
        <v>5.5064799999999997E-2</v>
      </c>
      <c r="BW147" s="852">
        <f t="shared" si="358"/>
        <v>5.5104E-2</v>
      </c>
      <c r="BX147" s="852">
        <f t="shared" si="358"/>
        <v>5.5150400000000002E-2</v>
      </c>
      <c r="BY147" s="852">
        <f t="shared" ref="BY147:EA147" si="359">SUM(BY144:BY145)</f>
        <v>5.5193300000000001E-2</v>
      </c>
      <c r="BZ147" s="852">
        <f t="shared" si="359"/>
        <v>5.5237800000000004E-2</v>
      </c>
      <c r="CA147" s="852">
        <f t="shared" si="359"/>
        <v>5.5284E-2</v>
      </c>
      <c r="CB147" s="852">
        <f t="shared" si="359"/>
        <v>5.5325399999999997E-2</v>
      </c>
      <c r="CC147" s="852">
        <f t="shared" si="359"/>
        <v>5.5373900000000004E-2</v>
      </c>
      <c r="CD147" s="852">
        <f t="shared" si="359"/>
        <v>5.5425799999999997E-2</v>
      </c>
      <c r="CE147" s="852">
        <f t="shared" si="359"/>
        <v>5.5474099999999998E-2</v>
      </c>
      <c r="CF147" s="852">
        <f t="shared" si="359"/>
        <v>5.5516900000000001E-2</v>
      </c>
      <c r="CG147" s="852">
        <f t="shared" si="359"/>
        <v>5.5569199999999999E-2</v>
      </c>
      <c r="CH147" s="852">
        <f t="shared" si="359"/>
        <v>5.5619700000000001E-2</v>
      </c>
      <c r="CI147" s="852">
        <f t="shared" si="359"/>
        <v>5.5667500000000002E-2</v>
      </c>
      <c r="CJ147" s="852">
        <f t="shared" si="359"/>
        <v>5.57198E-2</v>
      </c>
      <c r="CK147" s="852">
        <f t="shared" si="359"/>
        <v>5.5770500000000001E-2</v>
      </c>
      <c r="CL147" s="852">
        <f t="shared" si="359"/>
        <v>5.5828000000000003E-2</v>
      </c>
      <c r="CM147" s="852">
        <f t="shared" si="359"/>
        <v>5.5881500000000001E-2</v>
      </c>
      <c r="CN147" s="852">
        <f t="shared" si="359"/>
        <v>5.5926299999999998E-2</v>
      </c>
      <c r="CO147" s="852">
        <f t="shared" si="359"/>
        <v>5.5981599999999999E-2</v>
      </c>
      <c r="CP147" s="852">
        <f t="shared" si="359"/>
        <v>5.6038500000000005E-2</v>
      </c>
      <c r="CQ147" s="852">
        <f t="shared" si="359"/>
        <v>5.6093500000000004E-2</v>
      </c>
      <c r="CR147" s="852">
        <f t="shared" si="359"/>
        <v>5.61433E-2</v>
      </c>
      <c r="CS147" s="852">
        <f t="shared" si="359"/>
        <v>5.6199399999999997E-2</v>
      </c>
      <c r="CT147" s="852">
        <f t="shared" si="359"/>
        <v>5.6255399999999997E-2</v>
      </c>
      <c r="CU147" s="852">
        <f t="shared" si="359"/>
        <v>5.63139E-2</v>
      </c>
      <c r="CV147" s="852">
        <f t="shared" si="359"/>
        <v>5.6372400000000003E-2</v>
      </c>
      <c r="CW147" s="852">
        <f t="shared" si="359"/>
        <v>5.6421600000000002E-2</v>
      </c>
      <c r="CX147" s="852">
        <f t="shared" si="359"/>
        <v>5.6481199999999995E-2</v>
      </c>
      <c r="CY147" s="852">
        <f t="shared" si="359"/>
        <v>5.6538499999999998E-2</v>
      </c>
      <c r="CZ147" s="852">
        <f t="shared" si="359"/>
        <v>5.6588200000000005E-2</v>
      </c>
      <c r="DA147" s="852">
        <f t="shared" si="359"/>
        <v>5.6651300000000002E-2</v>
      </c>
      <c r="DB147" s="852">
        <f t="shared" si="359"/>
        <v>5.6707199999999999E-2</v>
      </c>
      <c r="DC147" s="852">
        <f t="shared" si="359"/>
        <v>5.6764300000000004E-2</v>
      </c>
      <c r="DD147" s="852">
        <f t="shared" si="359"/>
        <v>5.6823600000000002E-2</v>
      </c>
      <c r="DE147" s="852">
        <f t="shared" si="359"/>
        <v>5.6882700000000001E-2</v>
      </c>
      <c r="DF147" s="852">
        <f t="shared" si="359"/>
        <v>5.6938500000000003E-2</v>
      </c>
      <c r="DG147" s="852">
        <f t="shared" si="359"/>
        <v>5.6998500000000001E-2</v>
      </c>
      <c r="DH147" s="852">
        <f t="shared" si="359"/>
        <v>5.7061000000000001E-2</v>
      </c>
      <c r="DI147" s="852">
        <f t="shared" si="359"/>
        <v>5.7115200000000005E-2</v>
      </c>
      <c r="DJ147" s="852">
        <f t="shared" si="359"/>
        <v>5.7176299999999999E-2</v>
      </c>
      <c r="DK147" s="852">
        <f t="shared" si="359"/>
        <v>5.7237400000000001E-2</v>
      </c>
      <c r="DL147" s="852">
        <f t="shared" si="359"/>
        <v>5.7301100000000001E-2</v>
      </c>
      <c r="DM147" s="852">
        <f t="shared" si="359"/>
        <v>5.73626E-2</v>
      </c>
      <c r="DN147" s="852">
        <f t="shared" si="359"/>
        <v>5.7416399999999999E-2</v>
      </c>
      <c r="DO147" s="852">
        <f t="shared" si="359"/>
        <v>5.74835E-2</v>
      </c>
      <c r="DP147" s="852">
        <f t="shared" si="359"/>
        <v>5.7543499999999997E-2</v>
      </c>
      <c r="DQ147" s="852">
        <f t="shared" si="359"/>
        <v>5.7602600000000004E-2</v>
      </c>
      <c r="DR147" s="852">
        <f t="shared" si="359"/>
        <v>5.76681E-2</v>
      </c>
      <c r="DS147" s="852">
        <f t="shared" si="359"/>
        <v>5.7729099999999998E-2</v>
      </c>
      <c r="DT147" s="852">
        <f t="shared" si="359"/>
        <v>5.7791099999999998E-2</v>
      </c>
      <c r="DU147" s="852">
        <f t="shared" si="359"/>
        <v>5.7855299999999998E-2</v>
      </c>
      <c r="DV147" s="852">
        <f t="shared" si="359"/>
        <v>5.7919700000000005E-2</v>
      </c>
      <c r="DW147" s="852">
        <f t="shared" si="359"/>
        <v>5.7986700000000002E-2</v>
      </c>
      <c r="DX147" s="852">
        <f t="shared" si="359"/>
        <v>2.75E-2</v>
      </c>
      <c r="DY147" s="852">
        <f t="shared" si="359"/>
        <v>2.75E-2</v>
      </c>
      <c r="DZ147" s="852">
        <f t="shared" si="359"/>
        <v>2.75E-2</v>
      </c>
      <c r="EA147" s="852">
        <f t="shared" si="359"/>
        <v>2.75E-2</v>
      </c>
      <c r="EB147" s="389"/>
      <c r="EC147" s="392" t="s">
        <v>65</v>
      </c>
    </row>
    <row r="148" spans="1:133" s="390" customFormat="1">
      <c r="A148" s="389"/>
      <c r="B148" s="389"/>
      <c r="C148" s="389"/>
      <c r="D148" s="389"/>
      <c r="E148" s="389"/>
      <c r="F148" s="389"/>
      <c r="G148" s="389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  <c r="AG148" s="389"/>
      <c r="AH148" s="389"/>
      <c r="AI148" s="389"/>
      <c r="AJ148" s="389"/>
      <c r="AK148" s="389"/>
      <c r="AL148" s="389"/>
      <c r="AM148" s="389"/>
      <c r="AN148" s="389"/>
      <c r="AO148" s="389"/>
      <c r="AP148" s="389"/>
      <c r="AQ148" s="389"/>
      <c r="AR148" s="389"/>
      <c r="AS148" s="389"/>
      <c r="AT148" s="389"/>
      <c r="AU148" s="389"/>
      <c r="AV148" s="389"/>
      <c r="AW148" s="389"/>
      <c r="AX148" s="389"/>
      <c r="AY148" s="389"/>
      <c r="AZ148" s="389"/>
      <c r="BA148" s="389"/>
      <c r="BB148" s="389"/>
      <c r="BC148" s="389"/>
      <c r="BD148" s="389"/>
      <c r="BE148" s="389"/>
      <c r="BF148" s="389"/>
      <c r="BG148" s="389"/>
      <c r="BH148" s="389"/>
      <c r="BI148" s="389"/>
      <c r="BJ148" s="389"/>
      <c r="BK148" s="389"/>
      <c r="BL148" s="389"/>
      <c r="BM148" s="389"/>
      <c r="BN148" s="389"/>
      <c r="BO148" s="389"/>
      <c r="BP148" s="389"/>
      <c r="BQ148" s="389"/>
      <c r="BR148" s="389"/>
      <c r="BS148" s="389"/>
      <c r="BT148" s="389"/>
      <c r="BU148" s="389"/>
      <c r="BV148" s="389"/>
      <c r="BW148" s="389"/>
      <c r="BX148" s="389"/>
      <c r="BY148" s="389"/>
      <c r="BZ148" s="389"/>
      <c r="CA148" s="389"/>
      <c r="CB148" s="389"/>
      <c r="CC148" s="389"/>
      <c r="CD148" s="389"/>
      <c r="CE148" s="389"/>
      <c r="CF148" s="389"/>
      <c r="CG148" s="389"/>
      <c r="CH148" s="389"/>
      <c r="CI148" s="389"/>
      <c r="CJ148" s="389"/>
      <c r="CK148" s="389"/>
      <c r="CL148" s="389"/>
      <c r="CM148" s="389"/>
      <c r="CN148" s="389"/>
      <c r="CO148" s="389"/>
      <c r="CP148" s="389"/>
      <c r="CQ148" s="389"/>
      <c r="CR148" s="389"/>
      <c r="CS148" s="389"/>
      <c r="CT148" s="389"/>
      <c r="CU148" s="389"/>
      <c r="CV148" s="389"/>
      <c r="CW148" s="389"/>
      <c r="CX148" s="389"/>
      <c r="CY148" s="389"/>
      <c r="CZ148" s="389"/>
      <c r="DA148" s="389"/>
      <c r="DB148" s="389"/>
      <c r="DC148" s="389"/>
      <c r="DD148" s="389"/>
      <c r="DE148" s="389"/>
      <c r="DF148" s="389"/>
      <c r="DG148" s="389"/>
      <c r="DH148" s="389"/>
      <c r="DI148" s="389"/>
      <c r="DJ148" s="389"/>
      <c r="DK148" s="389"/>
      <c r="DL148" s="389"/>
      <c r="DM148" s="389"/>
      <c r="DN148" s="389"/>
      <c r="DO148" s="389"/>
      <c r="DP148" s="389"/>
      <c r="DQ148" s="389"/>
      <c r="DR148" s="389"/>
      <c r="DS148" s="389"/>
      <c r="DT148" s="389"/>
      <c r="DU148" s="389"/>
      <c r="DV148" s="389"/>
      <c r="DW148" s="389"/>
      <c r="DX148" s="389"/>
      <c r="DY148" s="389"/>
      <c r="DZ148" s="389"/>
      <c r="EA148" s="389"/>
      <c r="EB148" s="389"/>
      <c r="EC148" s="392" t="s">
        <v>65</v>
      </c>
    </row>
    <row r="149" spans="1:133" s="390" customFormat="1">
      <c r="A149" s="389"/>
      <c r="B149" s="389"/>
      <c r="C149" s="389"/>
      <c r="D149" s="389"/>
      <c r="E149" s="389"/>
      <c r="F149" s="389"/>
      <c r="G149" s="389"/>
      <c r="H149" s="389"/>
      <c r="I149" s="389"/>
      <c r="J149" s="389"/>
      <c r="K149" s="389"/>
      <c r="L149" s="389"/>
      <c r="M149" s="389"/>
      <c r="N149" s="389"/>
      <c r="O149" s="408"/>
      <c r="P149" s="408"/>
      <c r="Q149" s="408"/>
      <c r="R149" s="408"/>
      <c r="S149" s="408"/>
      <c r="T149" s="408"/>
      <c r="U149" s="408"/>
      <c r="V149" s="408"/>
      <c r="W149" s="408"/>
      <c r="X149" s="408"/>
      <c r="Y149" s="408"/>
      <c r="Z149" s="408"/>
      <c r="AA149" s="408"/>
      <c r="AB149" s="408"/>
      <c r="AC149" s="408"/>
      <c r="AD149" s="408"/>
      <c r="AE149" s="408"/>
      <c r="AF149" s="408"/>
      <c r="AG149" s="408"/>
      <c r="AH149" s="408"/>
      <c r="AI149" s="408"/>
      <c r="AJ149" s="408"/>
      <c r="AK149" s="408"/>
      <c r="AL149" s="408"/>
      <c r="AM149" s="408"/>
      <c r="AN149" s="408"/>
      <c r="AO149" s="408"/>
      <c r="AP149" s="408"/>
      <c r="AQ149" s="408"/>
      <c r="AR149" s="408"/>
      <c r="AS149" s="408"/>
      <c r="AT149" s="408"/>
      <c r="AU149" s="408"/>
      <c r="AV149" s="408"/>
      <c r="AW149" s="408"/>
      <c r="AX149" s="408"/>
      <c r="AY149" s="408"/>
      <c r="AZ149" s="408"/>
      <c r="BA149" s="408"/>
      <c r="BB149" s="408"/>
      <c r="BC149" s="408"/>
      <c r="BD149" s="408"/>
      <c r="BE149" s="408"/>
      <c r="BF149" s="408"/>
      <c r="BG149" s="408"/>
      <c r="BH149" s="408"/>
      <c r="BI149" s="408"/>
      <c r="BJ149" s="408"/>
      <c r="BK149" s="408"/>
      <c r="BL149" s="408"/>
      <c r="BM149" s="408"/>
      <c r="BN149" s="408"/>
      <c r="BO149" s="408"/>
      <c r="BP149" s="408"/>
      <c r="BQ149" s="408"/>
      <c r="BR149" s="408"/>
      <c r="BS149" s="408"/>
      <c r="BT149" s="408"/>
      <c r="BU149" s="408"/>
      <c r="BV149" s="408"/>
      <c r="BW149" s="408"/>
      <c r="BX149" s="408"/>
      <c r="BY149" s="408"/>
      <c r="BZ149" s="408"/>
      <c r="CA149" s="408"/>
      <c r="CB149" s="408"/>
      <c r="CC149" s="408"/>
      <c r="CD149" s="408"/>
      <c r="CE149" s="408"/>
      <c r="CF149" s="408"/>
      <c r="CG149" s="408"/>
      <c r="CH149" s="408"/>
      <c r="CI149" s="408"/>
      <c r="CJ149" s="408"/>
      <c r="CK149" s="408"/>
      <c r="CL149" s="408"/>
      <c r="CM149" s="408"/>
      <c r="CN149" s="408"/>
      <c r="CO149" s="408"/>
      <c r="CP149" s="408"/>
      <c r="CQ149" s="408"/>
      <c r="CR149" s="408"/>
      <c r="CS149" s="408"/>
      <c r="CT149" s="408"/>
      <c r="CU149" s="408"/>
      <c r="CV149" s="408"/>
      <c r="CW149" s="408"/>
      <c r="CX149" s="408"/>
      <c r="CY149" s="408"/>
      <c r="CZ149" s="408"/>
      <c r="DA149" s="408"/>
      <c r="DB149" s="408"/>
      <c r="DC149" s="408"/>
      <c r="DD149" s="408"/>
      <c r="DE149" s="408"/>
      <c r="DF149" s="408"/>
      <c r="DG149" s="408"/>
      <c r="DH149" s="408"/>
      <c r="DI149" s="408"/>
      <c r="DJ149" s="408"/>
      <c r="DK149" s="408"/>
      <c r="DL149" s="408"/>
      <c r="DM149" s="408"/>
      <c r="DN149" s="408"/>
      <c r="DO149" s="408"/>
      <c r="DP149" s="408"/>
      <c r="DQ149" s="408"/>
      <c r="DR149" s="408"/>
      <c r="DS149" s="408"/>
      <c r="DT149" s="408"/>
      <c r="DU149" s="408"/>
      <c r="DV149" s="408"/>
      <c r="DW149" s="408"/>
      <c r="DX149" s="408"/>
      <c r="DY149" s="408"/>
      <c r="DZ149" s="408"/>
      <c r="EA149" s="408"/>
      <c r="EB149" s="389"/>
      <c r="EC149" s="392" t="s">
        <v>65</v>
      </c>
    </row>
    <row r="150" spans="1:133" s="390" customFormat="1">
      <c r="A150" s="389"/>
      <c r="B150" s="389"/>
      <c r="C150" s="389"/>
      <c r="D150" s="389"/>
      <c r="E150" s="389"/>
      <c r="F150" s="389"/>
      <c r="G150" s="389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  <c r="AG150" s="389"/>
      <c r="AH150" s="389"/>
      <c r="AI150" s="389"/>
      <c r="AJ150" s="389"/>
      <c r="AK150" s="389"/>
      <c r="AL150" s="389"/>
      <c r="AM150" s="389"/>
      <c r="AN150" s="389"/>
      <c r="AO150" s="389"/>
      <c r="AP150" s="389"/>
      <c r="AQ150" s="389"/>
      <c r="AR150" s="389"/>
      <c r="AS150" s="389"/>
      <c r="AT150" s="389"/>
      <c r="AU150" s="389"/>
      <c r="AV150" s="389"/>
      <c r="AW150" s="389"/>
      <c r="AX150" s="389"/>
      <c r="AY150" s="389"/>
      <c r="AZ150" s="389"/>
      <c r="BA150" s="389"/>
      <c r="BB150" s="389"/>
      <c r="BC150" s="389"/>
      <c r="BD150" s="389"/>
      <c r="BE150" s="389"/>
      <c r="BF150" s="389"/>
      <c r="BG150" s="389"/>
      <c r="BH150" s="389"/>
      <c r="BI150" s="389"/>
      <c r="BJ150" s="389"/>
      <c r="BK150" s="389"/>
      <c r="BL150" s="389"/>
      <c r="BM150" s="389"/>
      <c r="BN150" s="389"/>
      <c r="BO150" s="389"/>
      <c r="BP150" s="389"/>
      <c r="BQ150" s="389"/>
      <c r="BR150" s="389"/>
      <c r="BS150" s="389"/>
      <c r="BT150" s="389"/>
      <c r="BU150" s="389"/>
      <c r="BV150" s="389"/>
      <c r="BW150" s="389"/>
      <c r="BX150" s="389"/>
      <c r="BY150" s="389"/>
      <c r="BZ150" s="389"/>
      <c r="CA150" s="389"/>
      <c r="CB150" s="389"/>
      <c r="CC150" s="389"/>
      <c r="CD150" s="389"/>
      <c r="CE150" s="389"/>
      <c r="CF150" s="389"/>
      <c r="CG150" s="389"/>
      <c r="CH150" s="389"/>
      <c r="CI150" s="389"/>
      <c r="CJ150" s="389"/>
      <c r="CK150" s="389"/>
      <c r="CL150" s="389"/>
      <c r="CM150" s="389"/>
      <c r="CN150" s="389"/>
      <c r="CO150" s="389"/>
      <c r="CP150" s="389"/>
      <c r="CQ150" s="389"/>
      <c r="CR150" s="389"/>
      <c r="CS150" s="389"/>
      <c r="CT150" s="389"/>
      <c r="CU150" s="389"/>
      <c r="CV150" s="389"/>
      <c r="CW150" s="389"/>
      <c r="CX150" s="389"/>
      <c r="CY150" s="389"/>
      <c r="CZ150" s="389"/>
      <c r="DA150" s="389"/>
      <c r="DB150" s="389"/>
      <c r="DC150" s="389"/>
      <c r="DD150" s="389"/>
      <c r="DE150" s="389"/>
      <c r="DF150" s="389"/>
      <c r="DG150" s="389"/>
      <c r="DH150" s="389"/>
      <c r="DI150" s="389"/>
      <c r="DJ150" s="389"/>
      <c r="DK150" s="389"/>
      <c r="DL150" s="389"/>
      <c r="DM150" s="389"/>
      <c r="DN150" s="389"/>
      <c r="DO150" s="389"/>
      <c r="DP150" s="389"/>
      <c r="DQ150" s="389"/>
      <c r="DR150" s="389"/>
      <c r="DS150" s="389"/>
      <c r="DT150" s="389"/>
      <c r="DU150" s="389"/>
      <c r="DV150" s="389"/>
      <c r="DW150" s="389"/>
      <c r="DX150" s="389"/>
      <c r="DY150" s="389"/>
      <c r="DZ150" s="389"/>
      <c r="EA150" s="389"/>
      <c r="EB150" s="389"/>
      <c r="EC150" s="392" t="s">
        <v>65</v>
      </c>
    </row>
    <row r="151" spans="1:133" s="390" customFormat="1">
      <c r="A151" s="389"/>
      <c r="B151" s="389"/>
      <c r="C151" s="389"/>
      <c r="D151" s="389"/>
      <c r="E151" s="389"/>
      <c r="F151" s="389"/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  <c r="AG151" s="389"/>
      <c r="AH151" s="389"/>
      <c r="AI151" s="389"/>
      <c r="AJ151" s="389"/>
      <c r="AK151" s="389"/>
      <c r="AL151" s="389"/>
      <c r="AM151" s="389"/>
      <c r="AN151" s="389"/>
      <c r="AO151" s="389"/>
      <c r="AP151" s="389"/>
      <c r="AQ151" s="389"/>
      <c r="AR151" s="389"/>
      <c r="AS151" s="389"/>
      <c r="AT151" s="389"/>
      <c r="AU151" s="389"/>
      <c r="AV151" s="389"/>
      <c r="AW151" s="389"/>
      <c r="AX151" s="389"/>
      <c r="AY151" s="389"/>
      <c r="AZ151" s="389"/>
      <c r="BA151" s="389"/>
      <c r="BB151" s="389"/>
      <c r="BC151" s="389"/>
      <c r="BD151" s="389"/>
      <c r="BE151" s="389"/>
      <c r="BF151" s="389"/>
      <c r="BG151" s="389"/>
      <c r="BH151" s="389"/>
      <c r="BI151" s="389"/>
      <c r="BJ151" s="389"/>
      <c r="BK151" s="389"/>
      <c r="BL151" s="389"/>
      <c r="BM151" s="389"/>
      <c r="BN151" s="389"/>
      <c r="BO151" s="389"/>
      <c r="BP151" s="389"/>
      <c r="BQ151" s="389"/>
      <c r="BR151" s="389"/>
      <c r="BS151" s="389"/>
      <c r="BT151" s="389"/>
      <c r="BU151" s="389"/>
      <c r="BV151" s="389"/>
      <c r="BW151" s="389"/>
      <c r="BX151" s="389"/>
      <c r="BY151" s="389"/>
      <c r="BZ151" s="389"/>
      <c r="CA151" s="389"/>
      <c r="CB151" s="389"/>
      <c r="CC151" s="389"/>
      <c r="CD151" s="389"/>
      <c r="CE151" s="389"/>
      <c r="CF151" s="389"/>
      <c r="CG151" s="389"/>
      <c r="CH151" s="389"/>
      <c r="CI151" s="389"/>
      <c r="CJ151" s="389"/>
      <c r="CK151" s="389"/>
      <c r="CL151" s="389"/>
      <c r="CM151" s="389"/>
      <c r="CN151" s="389"/>
      <c r="CO151" s="389"/>
      <c r="CP151" s="389"/>
      <c r="CQ151" s="389"/>
      <c r="CR151" s="389"/>
      <c r="CS151" s="389"/>
      <c r="CT151" s="389"/>
      <c r="CU151" s="389"/>
      <c r="CV151" s="389"/>
      <c r="CW151" s="389"/>
      <c r="CX151" s="389"/>
      <c r="CY151" s="389"/>
      <c r="CZ151" s="389"/>
      <c r="DA151" s="389"/>
      <c r="DB151" s="389"/>
      <c r="DC151" s="389"/>
      <c r="DD151" s="389"/>
      <c r="DE151" s="389"/>
      <c r="DF151" s="389"/>
      <c r="DG151" s="389"/>
      <c r="DH151" s="389"/>
      <c r="DI151" s="389"/>
      <c r="DJ151" s="389"/>
      <c r="DK151" s="389"/>
      <c r="DL151" s="389"/>
      <c r="DM151" s="389"/>
      <c r="DN151" s="389"/>
      <c r="DO151" s="389"/>
      <c r="DP151" s="389"/>
      <c r="DQ151" s="389"/>
      <c r="DR151" s="389"/>
      <c r="DS151" s="389"/>
      <c r="DT151" s="389"/>
      <c r="DU151" s="389"/>
      <c r="DV151" s="389"/>
      <c r="DW151" s="389"/>
      <c r="DX151" s="389"/>
      <c r="DY151" s="389"/>
      <c r="DZ151" s="389"/>
      <c r="EA151" s="389"/>
      <c r="EB151" s="389"/>
      <c r="EC151" s="392" t="s">
        <v>65</v>
      </c>
    </row>
    <row r="152" spans="1:133" s="390" customFormat="1">
      <c r="A152" s="389"/>
      <c r="B152" s="389"/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89"/>
      <c r="BK152" s="389"/>
      <c r="BL152" s="389"/>
      <c r="BM152" s="389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  <c r="CX152" s="389"/>
      <c r="CY152" s="389"/>
      <c r="CZ152" s="389"/>
      <c r="DA152" s="389"/>
      <c r="DB152" s="389"/>
      <c r="DC152" s="389"/>
      <c r="DD152" s="389"/>
      <c r="DE152" s="389"/>
      <c r="DF152" s="389"/>
      <c r="DG152" s="389"/>
      <c r="DH152" s="389"/>
      <c r="DI152" s="389"/>
      <c r="DJ152" s="389"/>
      <c r="DK152" s="389"/>
      <c r="DL152" s="389"/>
      <c r="DM152" s="389"/>
      <c r="DN152" s="389"/>
      <c r="DO152" s="389"/>
      <c r="DP152" s="389"/>
      <c r="DQ152" s="389"/>
      <c r="DR152" s="389"/>
      <c r="DS152" s="389"/>
      <c r="DT152" s="389"/>
      <c r="DU152" s="389"/>
      <c r="DV152" s="389"/>
      <c r="DW152" s="389"/>
      <c r="DX152" s="389"/>
      <c r="DY152" s="389"/>
      <c r="DZ152" s="389"/>
      <c r="EA152" s="389"/>
      <c r="EB152" s="389"/>
      <c r="EC152" s="392" t="s">
        <v>65</v>
      </c>
    </row>
    <row r="153" spans="1:133" s="390" customFormat="1">
      <c r="A153" s="389"/>
      <c r="B153" s="389"/>
      <c r="C153" s="389"/>
      <c r="D153" s="389"/>
      <c r="E153" s="389"/>
      <c r="F153" s="389"/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  <c r="AG153" s="389"/>
      <c r="AH153" s="389"/>
      <c r="AI153" s="389"/>
      <c r="AJ153" s="389"/>
      <c r="AK153" s="389"/>
      <c r="AL153" s="389"/>
      <c r="AM153" s="389"/>
      <c r="AN153" s="389"/>
      <c r="AO153" s="389"/>
      <c r="AP153" s="389"/>
      <c r="AQ153" s="389"/>
      <c r="AR153" s="389"/>
      <c r="AS153" s="389"/>
      <c r="AT153" s="389"/>
      <c r="AU153" s="389"/>
      <c r="AV153" s="389"/>
      <c r="AW153" s="389"/>
      <c r="AX153" s="389"/>
      <c r="AY153" s="389"/>
      <c r="AZ153" s="389"/>
      <c r="BA153" s="389"/>
      <c r="BB153" s="389"/>
      <c r="BC153" s="389"/>
      <c r="BD153" s="389"/>
      <c r="BE153" s="389"/>
      <c r="BF153" s="389"/>
      <c r="BG153" s="389"/>
      <c r="BH153" s="389"/>
      <c r="BI153" s="389"/>
      <c r="BJ153" s="389"/>
      <c r="BK153" s="389"/>
      <c r="BL153" s="389"/>
      <c r="BM153" s="389"/>
      <c r="BN153" s="389"/>
      <c r="BO153" s="389"/>
      <c r="BP153" s="389"/>
      <c r="BQ153" s="389"/>
      <c r="BR153" s="389"/>
      <c r="BS153" s="389"/>
      <c r="BT153" s="389"/>
      <c r="BU153" s="389"/>
      <c r="BV153" s="389"/>
      <c r="BW153" s="389"/>
      <c r="BX153" s="389"/>
      <c r="BY153" s="389"/>
      <c r="BZ153" s="389"/>
      <c r="CA153" s="389"/>
      <c r="CB153" s="389"/>
      <c r="CC153" s="389"/>
      <c r="CD153" s="389"/>
      <c r="CE153" s="389"/>
      <c r="CF153" s="389"/>
      <c r="CG153" s="389"/>
      <c r="CH153" s="389"/>
      <c r="CI153" s="389"/>
      <c r="CJ153" s="389"/>
      <c r="CK153" s="389"/>
      <c r="CL153" s="389"/>
      <c r="CM153" s="389"/>
      <c r="CN153" s="389"/>
      <c r="CO153" s="389"/>
      <c r="CP153" s="389"/>
      <c r="CQ153" s="389"/>
      <c r="CR153" s="389"/>
      <c r="CS153" s="389"/>
      <c r="CT153" s="389"/>
      <c r="CU153" s="389"/>
      <c r="CV153" s="389"/>
      <c r="CW153" s="389"/>
      <c r="CX153" s="389"/>
      <c r="CY153" s="389"/>
      <c r="CZ153" s="389"/>
      <c r="DA153" s="389"/>
      <c r="DB153" s="389"/>
      <c r="DC153" s="389"/>
      <c r="DD153" s="389"/>
      <c r="DE153" s="389"/>
      <c r="DF153" s="389"/>
      <c r="DG153" s="389"/>
      <c r="DH153" s="389"/>
      <c r="DI153" s="389"/>
      <c r="DJ153" s="389"/>
      <c r="DK153" s="389"/>
      <c r="DL153" s="389"/>
      <c r="DM153" s="389"/>
      <c r="DN153" s="389"/>
      <c r="DO153" s="389"/>
      <c r="DP153" s="389"/>
      <c r="DQ153" s="389"/>
      <c r="DR153" s="389"/>
      <c r="DS153" s="389"/>
      <c r="DT153" s="389"/>
      <c r="DU153" s="389"/>
      <c r="DV153" s="389"/>
      <c r="DW153" s="389"/>
      <c r="DX153" s="389"/>
      <c r="DY153" s="389"/>
      <c r="DZ153" s="389"/>
      <c r="EA153" s="389"/>
      <c r="EB153" s="389"/>
      <c r="EC153" s="392" t="s">
        <v>65</v>
      </c>
    </row>
    <row r="154" spans="1:133" s="390" customFormat="1">
      <c r="A154" s="389"/>
      <c r="B154" s="389"/>
      <c r="C154" s="389"/>
      <c r="D154" s="389"/>
      <c r="E154" s="389"/>
      <c r="F154" s="389"/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  <c r="AM154" s="389"/>
      <c r="AN154" s="389"/>
      <c r="AO154" s="389"/>
      <c r="AP154" s="389"/>
      <c r="AQ154" s="389"/>
      <c r="AR154" s="389"/>
      <c r="AS154" s="389"/>
      <c r="AT154" s="389"/>
      <c r="AU154" s="389"/>
      <c r="AV154" s="389"/>
      <c r="AW154" s="389"/>
      <c r="AX154" s="389"/>
      <c r="AY154" s="389"/>
      <c r="AZ154" s="389"/>
      <c r="BA154" s="389"/>
      <c r="BB154" s="389"/>
      <c r="BC154" s="389"/>
      <c r="BD154" s="389"/>
      <c r="BE154" s="389"/>
      <c r="BF154" s="389"/>
      <c r="BG154" s="389"/>
      <c r="BH154" s="389"/>
      <c r="BI154" s="389"/>
      <c r="BJ154" s="389"/>
      <c r="BK154" s="389"/>
      <c r="BL154" s="389"/>
      <c r="BM154" s="389"/>
      <c r="BN154" s="389"/>
      <c r="BO154" s="389"/>
      <c r="BP154" s="389"/>
      <c r="BQ154" s="389"/>
      <c r="BR154" s="389"/>
      <c r="BS154" s="389"/>
      <c r="BT154" s="389"/>
      <c r="BU154" s="389"/>
      <c r="BV154" s="389"/>
      <c r="BW154" s="389"/>
      <c r="BX154" s="389"/>
      <c r="BY154" s="389"/>
      <c r="BZ154" s="389"/>
      <c r="CA154" s="389"/>
      <c r="CB154" s="389"/>
      <c r="CC154" s="389"/>
      <c r="CD154" s="389"/>
      <c r="CE154" s="389"/>
      <c r="CF154" s="389"/>
      <c r="CG154" s="389"/>
      <c r="CH154" s="389"/>
      <c r="CI154" s="389"/>
      <c r="CJ154" s="389"/>
      <c r="CK154" s="389"/>
      <c r="CL154" s="389"/>
      <c r="CM154" s="389"/>
      <c r="CN154" s="389"/>
      <c r="CO154" s="389"/>
      <c r="CP154" s="389"/>
      <c r="CQ154" s="389"/>
      <c r="CR154" s="389"/>
      <c r="CS154" s="389"/>
      <c r="CT154" s="389"/>
      <c r="CU154" s="389"/>
      <c r="CV154" s="389"/>
      <c r="CW154" s="389"/>
      <c r="CX154" s="389"/>
      <c r="CY154" s="389"/>
      <c r="CZ154" s="389"/>
      <c r="DA154" s="389"/>
      <c r="DB154" s="389"/>
      <c r="DC154" s="389"/>
      <c r="DD154" s="389"/>
      <c r="DE154" s="389"/>
      <c r="DF154" s="389"/>
      <c r="DG154" s="389"/>
      <c r="DH154" s="389"/>
      <c r="DI154" s="389"/>
      <c r="DJ154" s="389"/>
      <c r="DK154" s="389"/>
      <c r="DL154" s="389"/>
      <c r="DM154" s="389"/>
      <c r="DN154" s="389"/>
      <c r="DO154" s="389"/>
      <c r="DP154" s="389"/>
      <c r="DQ154" s="389"/>
      <c r="DR154" s="389"/>
      <c r="DS154" s="389"/>
      <c r="DT154" s="389"/>
      <c r="DU154" s="389"/>
      <c r="DV154" s="389"/>
      <c r="DW154" s="389"/>
      <c r="DX154" s="389"/>
      <c r="DY154" s="389"/>
      <c r="DZ154" s="389"/>
      <c r="EA154" s="389"/>
      <c r="EB154" s="389"/>
      <c r="EC154" s="392" t="s">
        <v>65</v>
      </c>
    </row>
    <row r="155" spans="1:133" s="390" customFormat="1">
      <c r="A155" s="389"/>
      <c r="B155" s="389"/>
      <c r="C155" s="389"/>
      <c r="D155" s="389"/>
      <c r="E155" s="389"/>
      <c r="F155" s="389"/>
      <c r="G155" s="389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  <c r="AG155" s="389"/>
      <c r="AH155" s="389"/>
      <c r="AI155" s="389"/>
      <c r="AJ155" s="389"/>
      <c r="AK155" s="389"/>
      <c r="AL155" s="389"/>
      <c r="AM155" s="389"/>
      <c r="AN155" s="389"/>
      <c r="AO155" s="389"/>
      <c r="AP155" s="389"/>
      <c r="AQ155" s="389"/>
      <c r="AR155" s="389"/>
      <c r="AS155" s="389"/>
      <c r="AT155" s="389"/>
      <c r="AU155" s="389"/>
      <c r="AV155" s="389"/>
      <c r="AW155" s="389"/>
      <c r="AX155" s="389"/>
      <c r="AY155" s="389"/>
      <c r="AZ155" s="389"/>
      <c r="BA155" s="389"/>
      <c r="BB155" s="389"/>
      <c r="BC155" s="389"/>
      <c r="BD155" s="389"/>
      <c r="BE155" s="389"/>
      <c r="BF155" s="389"/>
      <c r="BG155" s="389"/>
      <c r="BH155" s="389"/>
      <c r="BI155" s="389"/>
      <c r="BJ155" s="389"/>
      <c r="BK155" s="389"/>
      <c r="BL155" s="389"/>
      <c r="BM155" s="389"/>
      <c r="BN155" s="389"/>
      <c r="BO155" s="389"/>
      <c r="BP155" s="389"/>
      <c r="BQ155" s="389"/>
      <c r="BR155" s="389"/>
      <c r="BS155" s="389"/>
      <c r="BT155" s="389"/>
      <c r="BU155" s="389"/>
      <c r="BV155" s="389"/>
      <c r="BW155" s="389"/>
      <c r="BX155" s="389"/>
      <c r="BY155" s="389"/>
      <c r="BZ155" s="389"/>
      <c r="CA155" s="389"/>
      <c r="CB155" s="389"/>
      <c r="CC155" s="389"/>
      <c r="CD155" s="389"/>
      <c r="CE155" s="389"/>
      <c r="CF155" s="389"/>
      <c r="CG155" s="389"/>
      <c r="CH155" s="389"/>
      <c r="CI155" s="389"/>
      <c r="CJ155" s="389"/>
      <c r="CK155" s="389"/>
      <c r="CL155" s="389"/>
      <c r="CM155" s="389"/>
      <c r="CN155" s="389"/>
      <c r="CO155" s="389"/>
      <c r="CP155" s="389"/>
      <c r="CQ155" s="389"/>
      <c r="CR155" s="389"/>
      <c r="CS155" s="389"/>
      <c r="CT155" s="389"/>
      <c r="CU155" s="389"/>
      <c r="CV155" s="389"/>
      <c r="CW155" s="389"/>
      <c r="CX155" s="389"/>
      <c r="CY155" s="389"/>
      <c r="CZ155" s="389"/>
      <c r="DA155" s="389"/>
      <c r="DB155" s="389"/>
      <c r="DC155" s="389"/>
      <c r="DD155" s="389"/>
      <c r="DE155" s="389"/>
      <c r="DF155" s="389"/>
      <c r="DG155" s="389"/>
      <c r="DH155" s="389"/>
      <c r="DI155" s="389"/>
      <c r="DJ155" s="389"/>
      <c r="DK155" s="389"/>
      <c r="DL155" s="389"/>
      <c r="DM155" s="389"/>
      <c r="DN155" s="389"/>
      <c r="DO155" s="389"/>
      <c r="DP155" s="389"/>
      <c r="DQ155" s="389"/>
      <c r="DR155" s="389"/>
      <c r="DS155" s="389"/>
      <c r="DT155" s="389"/>
      <c r="DU155" s="389"/>
      <c r="DV155" s="389"/>
      <c r="DW155" s="389"/>
      <c r="DX155" s="389"/>
      <c r="DY155" s="389"/>
      <c r="DZ155" s="389"/>
      <c r="EA155" s="389"/>
      <c r="EB155" s="389"/>
      <c r="EC155" s="392" t="s">
        <v>65</v>
      </c>
    </row>
    <row r="156" spans="1:133" s="390" customFormat="1">
      <c r="A156" s="389"/>
      <c r="B156" s="389"/>
      <c r="C156" s="389"/>
      <c r="D156" s="389"/>
      <c r="E156" s="389"/>
      <c r="F156" s="389"/>
      <c r="G156" s="389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  <c r="AG156" s="389"/>
      <c r="AH156" s="389"/>
      <c r="AI156" s="389"/>
      <c r="AJ156" s="389"/>
      <c r="AK156" s="389"/>
      <c r="AL156" s="389"/>
      <c r="AM156" s="389"/>
      <c r="AN156" s="389"/>
      <c r="AO156" s="389"/>
      <c r="AP156" s="389"/>
      <c r="AQ156" s="389"/>
      <c r="AR156" s="389"/>
      <c r="AS156" s="389"/>
      <c r="AT156" s="389"/>
      <c r="AU156" s="389"/>
      <c r="AV156" s="389"/>
      <c r="AW156" s="389"/>
      <c r="AX156" s="389"/>
      <c r="AY156" s="389"/>
      <c r="AZ156" s="389"/>
      <c r="BA156" s="389"/>
      <c r="BB156" s="389"/>
      <c r="BC156" s="389"/>
      <c r="BD156" s="389"/>
      <c r="BE156" s="389"/>
      <c r="BF156" s="389"/>
      <c r="BG156" s="389"/>
      <c r="BH156" s="389"/>
      <c r="BI156" s="389"/>
      <c r="BJ156" s="389"/>
      <c r="BK156" s="389"/>
      <c r="BL156" s="389"/>
      <c r="BM156" s="389"/>
      <c r="BN156" s="389"/>
      <c r="BO156" s="389"/>
      <c r="BP156" s="389"/>
      <c r="BQ156" s="389"/>
      <c r="BR156" s="389"/>
      <c r="BS156" s="389"/>
      <c r="BT156" s="389"/>
      <c r="BU156" s="389"/>
      <c r="BV156" s="389"/>
      <c r="BW156" s="389"/>
      <c r="BX156" s="389"/>
      <c r="BY156" s="389"/>
      <c r="BZ156" s="389"/>
      <c r="CA156" s="389"/>
      <c r="CB156" s="389"/>
      <c r="CC156" s="389"/>
      <c r="CD156" s="389"/>
      <c r="CE156" s="389"/>
      <c r="CF156" s="389"/>
      <c r="CG156" s="389"/>
      <c r="CH156" s="389"/>
      <c r="CI156" s="389"/>
      <c r="CJ156" s="389"/>
      <c r="CK156" s="389"/>
      <c r="CL156" s="389"/>
      <c r="CM156" s="389"/>
      <c r="CN156" s="389"/>
      <c r="CO156" s="389"/>
      <c r="CP156" s="389"/>
      <c r="CQ156" s="389"/>
      <c r="CR156" s="389"/>
      <c r="CS156" s="389"/>
      <c r="CT156" s="389"/>
      <c r="CU156" s="389"/>
      <c r="CV156" s="389"/>
      <c r="CW156" s="389"/>
      <c r="CX156" s="389"/>
      <c r="CY156" s="389"/>
      <c r="CZ156" s="389"/>
      <c r="DA156" s="389"/>
      <c r="DB156" s="389"/>
      <c r="DC156" s="389"/>
      <c r="DD156" s="389"/>
      <c r="DE156" s="389"/>
      <c r="DF156" s="389"/>
      <c r="DG156" s="389"/>
      <c r="DH156" s="389"/>
      <c r="DI156" s="389"/>
      <c r="DJ156" s="389"/>
      <c r="DK156" s="389"/>
      <c r="DL156" s="389"/>
      <c r="DM156" s="389"/>
      <c r="DN156" s="389"/>
      <c r="DO156" s="389"/>
      <c r="DP156" s="389"/>
      <c r="DQ156" s="389"/>
      <c r="DR156" s="389"/>
      <c r="DS156" s="389"/>
      <c r="DT156" s="389"/>
      <c r="DU156" s="389"/>
      <c r="DV156" s="389"/>
      <c r="DW156" s="389"/>
      <c r="DX156" s="389"/>
      <c r="DY156" s="389"/>
      <c r="DZ156" s="389"/>
      <c r="EA156" s="389"/>
      <c r="EB156" s="389"/>
      <c r="EC156" s="392" t="s">
        <v>65</v>
      </c>
    </row>
    <row r="157" spans="1:133">
      <c r="EC157" s="392" t="s">
        <v>65</v>
      </c>
    </row>
    <row r="158" spans="1:133">
      <c r="EC158" s="392" t="s">
        <v>65</v>
      </c>
    </row>
    <row r="159" spans="1:133">
      <c r="EC159" s="392" t="s">
        <v>65</v>
      </c>
    </row>
    <row r="160" spans="1:133">
      <c r="EC160" s="392" t="s">
        <v>65</v>
      </c>
    </row>
    <row r="161" spans="133:133">
      <c r="EC161" s="392" t="s">
        <v>65</v>
      </c>
    </row>
    <row r="162" spans="133:133">
      <c r="EC162" s="392" t="s">
        <v>65</v>
      </c>
    </row>
    <row r="163" spans="133:133">
      <c r="EC163" s="392" t="s">
        <v>65</v>
      </c>
    </row>
    <row r="164" spans="133:133">
      <c r="EC164" s="392" t="s">
        <v>65</v>
      </c>
    </row>
    <row r="165" spans="133:133">
      <c r="EC165" s="392" t="s">
        <v>65</v>
      </c>
    </row>
    <row r="166" spans="133:133">
      <c r="EC166" s="392" t="s">
        <v>65</v>
      </c>
    </row>
    <row r="167" spans="133:133">
      <c r="EC167" s="392" t="s">
        <v>65</v>
      </c>
    </row>
    <row r="168" spans="133:133">
      <c r="EC168" s="392" t="s">
        <v>65</v>
      </c>
    </row>
    <row r="169" spans="133:133">
      <c r="EC169" s="392" t="s">
        <v>65</v>
      </c>
    </row>
    <row r="170" spans="133:133">
      <c r="EC170" s="392" t="s">
        <v>65</v>
      </c>
    </row>
    <row r="171" spans="133:133">
      <c r="EC171" s="392" t="s">
        <v>65</v>
      </c>
    </row>
    <row r="172" spans="133:133">
      <c r="EC172" s="392" t="s">
        <v>65</v>
      </c>
    </row>
    <row r="173" spans="133:133">
      <c r="EC173" s="392" t="s">
        <v>65</v>
      </c>
    </row>
    <row r="174" spans="133:133">
      <c r="EC174" s="392" t="s">
        <v>65</v>
      </c>
    </row>
    <row r="175" spans="133:133">
      <c r="EC175" s="392" t="s">
        <v>65</v>
      </c>
    </row>
    <row r="176" spans="133:133">
      <c r="EC176" s="392" t="s">
        <v>65</v>
      </c>
    </row>
    <row r="177" spans="133:133">
      <c r="EC177" s="392" t="s">
        <v>65</v>
      </c>
    </row>
    <row r="178" spans="133:133">
      <c r="EC178" s="392" t="s">
        <v>65</v>
      </c>
    </row>
    <row r="179" spans="133:133">
      <c r="EC179" s="392" t="s">
        <v>65</v>
      </c>
    </row>
    <row r="180" spans="133:133">
      <c r="EC180" s="392" t="s">
        <v>65</v>
      </c>
    </row>
    <row r="181" spans="133:133">
      <c r="EC181" s="392" t="s">
        <v>65</v>
      </c>
    </row>
    <row r="182" spans="133:133">
      <c r="EC182" s="392" t="s">
        <v>65</v>
      </c>
    </row>
    <row r="183" spans="133:133">
      <c r="EC183" s="392" t="s">
        <v>65</v>
      </c>
    </row>
    <row r="184" spans="133:133">
      <c r="EC184" s="392" t="s">
        <v>65</v>
      </c>
    </row>
    <row r="185" spans="133:133">
      <c r="EC185" s="392" t="s">
        <v>65</v>
      </c>
    </row>
    <row r="186" spans="133:133">
      <c r="EC186" s="392" t="s">
        <v>65</v>
      </c>
    </row>
    <row r="187" spans="133:133">
      <c r="EC187" s="392" t="s">
        <v>65</v>
      </c>
    </row>
    <row r="188" spans="133:133">
      <c r="EC188" s="392" t="s">
        <v>65</v>
      </c>
    </row>
    <row r="189" spans="133:133">
      <c r="EC189" s="392" t="s">
        <v>65</v>
      </c>
    </row>
    <row r="190" spans="133:133">
      <c r="EC190" s="392" t="s">
        <v>65</v>
      </c>
    </row>
    <row r="191" spans="133:133">
      <c r="EC191" s="392" t="s">
        <v>65</v>
      </c>
    </row>
    <row r="192" spans="133:133">
      <c r="EC192" s="392" t="s">
        <v>65</v>
      </c>
    </row>
    <row r="193" spans="133:133">
      <c r="EC193" s="392" t="s">
        <v>65</v>
      </c>
    </row>
    <row r="194" spans="133:133">
      <c r="EC194" s="392" t="s">
        <v>65</v>
      </c>
    </row>
    <row r="195" spans="133:133">
      <c r="EC195" s="392" t="s">
        <v>65</v>
      </c>
    </row>
    <row r="196" spans="133:133">
      <c r="EC196" s="392" t="s">
        <v>65</v>
      </c>
    </row>
    <row r="197" spans="133:133">
      <c r="EC197" s="392" t="s">
        <v>65</v>
      </c>
    </row>
    <row r="198" spans="133:133">
      <c r="EC198" s="392" t="s">
        <v>65</v>
      </c>
    </row>
    <row r="199" spans="133:133">
      <c r="EC199" s="392" t="s">
        <v>65</v>
      </c>
    </row>
    <row r="200" spans="133:133">
      <c r="EC200" s="392" t="s">
        <v>65</v>
      </c>
    </row>
    <row r="201" spans="133:133">
      <c r="EC201" s="392" t="s">
        <v>65</v>
      </c>
    </row>
    <row r="202" spans="133:133">
      <c r="EC202" s="392" t="s">
        <v>65</v>
      </c>
    </row>
    <row r="203" spans="133:133">
      <c r="EC203" s="392" t="s">
        <v>65</v>
      </c>
    </row>
    <row r="204" spans="133:133">
      <c r="EC204" s="392" t="s">
        <v>65</v>
      </c>
    </row>
    <row r="205" spans="133:133">
      <c r="EC205" s="392" t="s">
        <v>65</v>
      </c>
    </row>
    <row r="206" spans="133:133">
      <c r="EC206" s="392" t="s">
        <v>65</v>
      </c>
    </row>
    <row r="207" spans="133:133">
      <c r="EC207" s="392" t="s">
        <v>65</v>
      </c>
    </row>
    <row r="208" spans="133:133">
      <c r="EC208" s="392" t="s">
        <v>65</v>
      </c>
    </row>
    <row r="209" spans="133:133">
      <c r="EC209" s="392" t="s">
        <v>65</v>
      </c>
    </row>
    <row r="210" spans="133:133">
      <c r="EC210" s="392" t="s">
        <v>65</v>
      </c>
    </row>
    <row r="211" spans="133:133">
      <c r="EC211" s="392" t="s">
        <v>65</v>
      </c>
    </row>
    <row r="212" spans="133:133">
      <c r="EC212" s="392" t="s">
        <v>65</v>
      </c>
    </row>
  </sheetData>
  <pageMargins left="0.7" right="0.7" top="0.75" bottom="0.75" header="0.3" footer="0.3"/>
  <pageSetup scale="1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EF84-71AF-42DF-84B8-8132CBAE4BE4}">
  <sheetPr>
    <tabColor rgb="FF1C476E"/>
  </sheetPr>
  <dimension ref="A1:DT150"/>
  <sheetViews>
    <sheetView showGridLines="0" zoomScaleNormal="100" workbookViewId="0">
      <pane xSplit="3" ySplit="8" topLeftCell="D9" activePane="bottomRight" state="frozen"/>
      <selection activeCell="F74" sqref="F74"/>
      <selection pane="topRight" activeCell="F74" sqref="F74"/>
      <selection pane="bottomLeft" activeCell="F74" sqref="F74"/>
      <selection pane="bottomRight" activeCell="D65" sqref="D65"/>
    </sheetView>
  </sheetViews>
  <sheetFormatPr defaultColWidth="12.42578125" defaultRowHeight="12.75" outlineLevelRow="1"/>
  <cols>
    <col min="1" max="1" width="2.7109375" style="1487" customWidth="1"/>
    <col min="2" max="2" width="39.85546875" style="1485" bestFit="1" customWidth="1"/>
    <col min="3" max="3" width="2.42578125" style="1485" customWidth="1"/>
    <col min="4" max="123" width="10.42578125" style="1485" customWidth="1"/>
    <col min="124" max="16384" width="12.42578125" style="1485"/>
  </cols>
  <sheetData>
    <row r="1" spans="1:124">
      <c r="DT1" s="1485" t="s">
        <v>65</v>
      </c>
    </row>
    <row r="2" spans="1:124" ht="16.5" thickBot="1">
      <c r="B2" s="1482" t="str">
        <f>'Assumptions MH'!$B$2</f>
        <v>1425 4th Ave (Nashville, TN) | Mint House Management Agreement Model</v>
      </c>
      <c r="C2" s="1483"/>
      <c r="D2" s="1483"/>
      <c r="E2" s="1483"/>
      <c r="F2" s="1483"/>
      <c r="G2" s="1483"/>
      <c r="H2" s="1483"/>
      <c r="I2" s="1483"/>
      <c r="J2" s="1483"/>
      <c r="K2" s="1483"/>
      <c r="L2" s="1483"/>
      <c r="M2" s="1483"/>
      <c r="N2" s="1483"/>
      <c r="O2" s="1483"/>
      <c r="P2" s="1483"/>
      <c r="Q2" s="1483"/>
      <c r="R2" s="1483"/>
      <c r="S2" s="1483"/>
      <c r="T2" s="1483"/>
      <c r="U2" s="1483"/>
      <c r="V2" s="1483"/>
      <c r="W2" s="1483"/>
      <c r="X2" s="1483"/>
      <c r="Y2" s="1483"/>
      <c r="Z2" s="1483"/>
      <c r="AA2" s="1578"/>
      <c r="AB2" s="1578"/>
      <c r="AC2" s="1578"/>
      <c r="AD2" s="1578"/>
      <c r="AE2" s="1578"/>
      <c r="AF2" s="1578"/>
      <c r="AG2" s="1578"/>
      <c r="AH2" s="1578"/>
      <c r="AI2" s="1578"/>
      <c r="AJ2" s="1578"/>
      <c r="AK2" s="1578"/>
      <c r="AL2" s="1578"/>
      <c r="AM2" s="1578"/>
      <c r="AN2" s="1578"/>
      <c r="AO2" s="1578"/>
      <c r="AP2" s="1578"/>
      <c r="AQ2" s="1578"/>
      <c r="AR2" s="1578"/>
      <c r="AS2" s="1578"/>
      <c r="AT2" s="1578"/>
      <c r="AU2" s="1578"/>
      <c r="AV2" s="1578"/>
      <c r="AW2" s="1578"/>
      <c r="AX2" s="1578"/>
      <c r="AY2" s="1578"/>
      <c r="AZ2" s="1578"/>
      <c r="BA2" s="1578"/>
      <c r="BB2" s="1578"/>
      <c r="BC2" s="1578"/>
      <c r="BD2" s="1578"/>
      <c r="BE2" s="1578"/>
      <c r="BF2" s="1578"/>
      <c r="BG2" s="1578"/>
      <c r="BH2" s="1578"/>
      <c r="BI2" s="1578"/>
      <c r="BJ2" s="1578"/>
      <c r="BK2" s="1578"/>
      <c r="BL2" s="1578"/>
      <c r="BM2" s="1578"/>
      <c r="BN2" s="1578"/>
      <c r="BO2" s="1578"/>
      <c r="BP2" s="1578"/>
      <c r="BQ2" s="1578"/>
      <c r="BR2" s="1578"/>
      <c r="BS2" s="1578"/>
      <c r="BT2" s="1578"/>
      <c r="BU2" s="1578"/>
      <c r="BV2" s="1578"/>
      <c r="BW2" s="1578"/>
      <c r="BX2" s="1578"/>
      <c r="BY2" s="1578"/>
      <c r="BZ2" s="1578"/>
      <c r="CA2" s="1578"/>
      <c r="CB2" s="1578"/>
      <c r="CC2" s="1578"/>
      <c r="CD2" s="1578"/>
      <c r="CE2" s="1578"/>
      <c r="CF2" s="1578"/>
      <c r="CG2" s="1578"/>
      <c r="CH2" s="1578"/>
      <c r="CI2" s="1578"/>
      <c r="CJ2" s="1578"/>
      <c r="CK2" s="1578"/>
      <c r="CL2" s="1578"/>
      <c r="CM2" s="1578"/>
      <c r="CN2" s="1578"/>
      <c r="CO2" s="1578"/>
      <c r="CP2" s="1578"/>
      <c r="CQ2" s="1578"/>
      <c r="CR2" s="1578"/>
      <c r="CS2" s="1578"/>
      <c r="CT2" s="1578"/>
      <c r="CU2" s="1578"/>
      <c r="CV2" s="1578"/>
      <c r="CW2" s="1578"/>
      <c r="CX2" s="1578"/>
      <c r="CY2" s="1578"/>
      <c r="CZ2" s="1578"/>
      <c r="DA2" s="1578"/>
      <c r="DB2" s="1578"/>
      <c r="DC2" s="1578"/>
      <c r="DD2" s="1578"/>
      <c r="DE2" s="1578"/>
      <c r="DF2" s="1578"/>
      <c r="DG2" s="1578"/>
      <c r="DH2" s="1578"/>
      <c r="DI2" s="1578"/>
      <c r="DJ2" s="1578"/>
      <c r="DK2" s="1578"/>
      <c r="DL2" s="1578"/>
      <c r="DM2" s="1578"/>
      <c r="DN2" s="1578"/>
      <c r="DO2" s="1578"/>
      <c r="DP2" s="1578"/>
      <c r="DQ2" s="1578"/>
      <c r="DR2" s="1578"/>
      <c r="DS2" s="1578"/>
      <c r="DT2" s="1485" t="s">
        <v>65</v>
      </c>
    </row>
    <row r="3" spans="1:124" ht="15" thickTop="1">
      <c r="B3" s="1486" t="s">
        <v>1142</v>
      </c>
      <c r="DT3" s="1485" t="s">
        <v>65</v>
      </c>
    </row>
    <row r="4" spans="1:124">
      <c r="DT4" s="1485" t="s">
        <v>65</v>
      </c>
    </row>
    <row r="5" spans="1:124">
      <c r="B5" s="1768" t="s">
        <v>949</v>
      </c>
      <c r="C5" s="1769"/>
      <c r="D5" s="1770">
        <f>ROUNDUP(D7/12,)</f>
        <v>1</v>
      </c>
      <c r="E5" s="1770">
        <f t="shared" ref="E5:BP5" si="0">ROUNDUP(E7/12,)</f>
        <v>1</v>
      </c>
      <c r="F5" s="1770">
        <f t="shared" si="0"/>
        <v>1</v>
      </c>
      <c r="G5" s="1770">
        <f t="shared" si="0"/>
        <v>1</v>
      </c>
      <c r="H5" s="1770">
        <f t="shared" si="0"/>
        <v>1</v>
      </c>
      <c r="I5" s="1770">
        <f t="shared" si="0"/>
        <v>1</v>
      </c>
      <c r="J5" s="1770">
        <f t="shared" si="0"/>
        <v>1</v>
      </c>
      <c r="K5" s="1770">
        <f t="shared" si="0"/>
        <v>1</v>
      </c>
      <c r="L5" s="1770">
        <f t="shared" si="0"/>
        <v>1</v>
      </c>
      <c r="M5" s="1770">
        <f t="shared" si="0"/>
        <v>1</v>
      </c>
      <c r="N5" s="1770">
        <f t="shared" si="0"/>
        <v>1</v>
      </c>
      <c r="O5" s="1770">
        <f t="shared" si="0"/>
        <v>1</v>
      </c>
      <c r="P5" s="1770">
        <f t="shared" si="0"/>
        <v>2</v>
      </c>
      <c r="Q5" s="1770">
        <f t="shared" si="0"/>
        <v>2</v>
      </c>
      <c r="R5" s="1770">
        <f t="shared" si="0"/>
        <v>2</v>
      </c>
      <c r="S5" s="1770">
        <f t="shared" si="0"/>
        <v>2</v>
      </c>
      <c r="T5" s="1770">
        <f t="shared" si="0"/>
        <v>2</v>
      </c>
      <c r="U5" s="1770">
        <f t="shared" si="0"/>
        <v>2</v>
      </c>
      <c r="V5" s="1770">
        <f t="shared" si="0"/>
        <v>2</v>
      </c>
      <c r="W5" s="1770">
        <f t="shared" si="0"/>
        <v>2</v>
      </c>
      <c r="X5" s="1770">
        <f t="shared" si="0"/>
        <v>2</v>
      </c>
      <c r="Y5" s="1770">
        <f t="shared" si="0"/>
        <v>2</v>
      </c>
      <c r="Z5" s="1770">
        <f t="shared" si="0"/>
        <v>2</v>
      </c>
      <c r="AA5" s="1770">
        <f t="shared" si="0"/>
        <v>2</v>
      </c>
      <c r="AB5" s="1770">
        <f t="shared" si="0"/>
        <v>3</v>
      </c>
      <c r="AC5" s="1770">
        <f t="shared" si="0"/>
        <v>3</v>
      </c>
      <c r="AD5" s="1770">
        <f t="shared" si="0"/>
        <v>3</v>
      </c>
      <c r="AE5" s="1770">
        <f t="shared" si="0"/>
        <v>3</v>
      </c>
      <c r="AF5" s="1770">
        <f t="shared" si="0"/>
        <v>3</v>
      </c>
      <c r="AG5" s="1770">
        <f t="shared" si="0"/>
        <v>3</v>
      </c>
      <c r="AH5" s="1770">
        <f t="shared" si="0"/>
        <v>3</v>
      </c>
      <c r="AI5" s="1770">
        <f t="shared" si="0"/>
        <v>3</v>
      </c>
      <c r="AJ5" s="1770">
        <f t="shared" si="0"/>
        <v>3</v>
      </c>
      <c r="AK5" s="1770">
        <f t="shared" si="0"/>
        <v>3</v>
      </c>
      <c r="AL5" s="1770">
        <f t="shared" si="0"/>
        <v>3</v>
      </c>
      <c r="AM5" s="1770">
        <f t="shared" si="0"/>
        <v>3</v>
      </c>
      <c r="AN5" s="1770">
        <f t="shared" si="0"/>
        <v>4</v>
      </c>
      <c r="AO5" s="1770">
        <f t="shared" si="0"/>
        <v>4</v>
      </c>
      <c r="AP5" s="1770">
        <f t="shared" si="0"/>
        <v>4</v>
      </c>
      <c r="AQ5" s="1770">
        <f t="shared" si="0"/>
        <v>4</v>
      </c>
      <c r="AR5" s="1770">
        <f t="shared" si="0"/>
        <v>4</v>
      </c>
      <c r="AS5" s="1770">
        <f t="shared" si="0"/>
        <v>4</v>
      </c>
      <c r="AT5" s="1770">
        <f t="shared" si="0"/>
        <v>4</v>
      </c>
      <c r="AU5" s="1770">
        <f t="shared" si="0"/>
        <v>4</v>
      </c>
      <c r="AV5" s="1770">
        <f t="shared" si="0"/>
        <v>4</v>
      </c>
      <c r="AW5" s="1770">
        <f t="shared" si="0"/>
        <v>4</v>
      </c>
      <c r="AX5" s="1770">
        <f t="shared" si="0"/>
        <v>4</v>
      </c>
      <c r="AY5" s="1770">
        <f t="shared" si="0"/>
        <v>4</v>
      </c>
      <c r="AZ5" s="1770">
        <f t="shared" si="0"/>
        <v>5</v>
      </c>
      <c r="BA5" s="1770">
        <f t="shared" si="0"/>
        <v>5</v>
      </c>
      <c r="BB5" s="1770">
        <f t="shared" si="0"/>
        <v>5</v>
      </c>
      <c r="BC5" s="1770">
        <f t="shared" si="0"/>
        <v>5</v>
      </c>
      <c r="BD5" s="1770">
        <f t="shared" si="0"/>
        <v>5</v>
      </c>
      <c r="BE5" s="1770">
        <f t="shared" si="0"/>
        <v>5</v>
      </c>
      <c r="BF5" s="1770">
        <f t="shared" si="0"/>
        <v>5</v>
      </c>
      <c r="BG5" s="1770">
        <f t="shared" si="0"/>
        <v>5</v>
      </c>
      <c r="BH5" s="1770">
        <f t="shared" si="0"/>
        <v>5</v>
      </c>
      <c r="BI5" s="1770">
        <f t="shared" si="0"/>
        <v>5</v>
      </c>
      <c r="BJ5" s="1770">
        <f t="shared" si="0"/>
        <v>5</v>
      </c>
      <c r="BK5" s="1770">
        <f t="shared" si="0"/>
        <v>5</v>
      </c>
      <c r="BL5" s="1770">
        <f t="shared" si="0"/>
        <v>6</v>
      </c>
      <c r="BM5" s="1770">
        <f t="shared" si="0"/>
        <v>6</v>
      </c>
      <c r="BN5" s="1770">
        <f t="shared" si="0"/>
        <v>6</v>
      </c>
      <c r="BO5" s="1770">
        <f t="shared" si="0"/>
        <v>6</v>
      </c>
      <c r="BP5" s="1770">
        <f t="shared" si="0"/>
        <v>6</v>
      </c>
      <c r="BQ5" s="1770">
        <f t="shared" ref="BQ5:DS5" si="1">ROUNDUP(BQ7/12,)</f>
        <v>6</v>
      </c>
      <c r="BR5" s="1770">
        <f t="shared" si="1"/>
        <v>6</v>
      </c>
      <c r="BS5" s="1770">
        <f t="shared" si="1"/>
        <v>6</v>
      </c>
      <c r="BT5" s="1770">
        <f t="shared" si="1"/>
        <v>6</v>
      </c>
      <c r="BU5" s="1770">
        <f t="shared" si="1"/>
        <v>6</v>
      </c>
      <c r="BV5" s="1770">
        <f t="shared" si="1"/>
        <v>6</v>
      </c>
      <c r="BW5" s="1770">
        <f t="shared" si="1"/>
        <v>6</v>
      </c>
      <c r="BX5" s="1770">
        <f t="shared" si="1"/>
        <v>7</v>
      </c>
      <c r="BY5" s="1770">
        <f t="shared" si="1"/>
        <v>7</v>
      </c>
      <c r="BZ5" s="1770">
        <f t="shared" si="1"/>
        <v>7</v>
      </c>
      <c r="CA5" s="1770">
        <f t="shared" si="1"/>
        <v>7</v>
      </c>
      <c r="CB5" s="1770">
        <f t="shared" si="1"/>
        <v>7</v>
      </c>
      <c r="CC5" s="1770">
        <f t="shared" si="1"/>
        <v>7</v>
      </c>
      <c r="CD5" s="1770">
        <f t="shared" si="1"/>
        <v>7</v>
      </c>
      <c r="CE5" s="1770">
        <f t="shared" si="1"/>
        <v>7</v>
      </c>
      <c r="CF5" s="1770">
        <f t="shared" si="1"/>
        <v>7</v>
      </c>
      <c r="CG5" s="1770">
        <f t="shared" si="1"/>
        <v>7</v>
      </c>
      <c r="CH5" s="1770">
        <f t="shared" si="1"/>
        <v>7</v>
      </c>
      <c r="CI5" s="1770">
        <f t="shared" si="1"/>
        <v>7</v>
      </c>
      <c r="CJ5" s="1770">
        <f t="shared" si="1"/>
        <v>8</v>
      </c>
      <c r="CK5" s="1770">
        <f t="shared" si="1"/>
        <v>8</v>
      </c>
      <c r="CL5" s="1770">
        <f t="shared" si="1"/>
        <v>8</v>
      </c>
      <c r="CM5" s="1770">
        <f t="shared" si="1"/>
        <v>8</v>
      </c>
      <c r="CN5" s="1770">
        <f t="shared" si="1"/>
        <v>8</v>
      </c>
      <c r="CO5" s="1770">
        <f t="shared" si="1"/>
        <v>8</v>
      </c>
      <c r="CP5" s="1770">
        <f t="shared" si="1"/>
        <v>8</v>
      </c>
      <c r="CQ5" s="1770">
        <f t="shared" si="1"/>
        <v>8</v>
      </c>
      <c r="CR5" s="1770">
        <f t="shared" si="1"/>
        <v>8</v>
      </c>
      <c r="CS5" s="1770">
        <f t="shared" si="1"/>
        <v>8</v>
      </c>
      <c r="CT5" s="1770">
        <f t="shared" si="1"/>
        <v>8</v>
      </c>
      <c r="CU5" s="1770">
        <f t="shared" si="1"/>
        <v>8</v>
      </c>
      <c r="CV5" s="1770">
        <f t="shared" si="1"/>
        <v>9</v>
      </c>
      <c r="CW5" s="1770">
        <f t="shared" si="1"/>
        <v>9</v>
      </c>
      <c r="CX5" s="1770">
        <f t="shared" si="1"/>
        <v>9</v>
      </c>
      <c r="CY5" s="1770">
        <f t="shared" si="1"/>
        <v>9</v>
      </c>
      <c r="CZ5" s="1770">
        <f t="shared" si="1"/>
        <v>9</v>
      </c>
      <c r="DA5" s="1770">
        <f t="shared" si="1"/>
        <v>9</v>
      </c>
      <c r="DB5" s="1770">
        <f t="shared" si="1"/>
        <v>9</v>
      </c>
      <c r="DC5" s="1770">
        <f t="shared" si="1"/>
        <v>9</v>
      </c>
      <c r="DD5" s="1770">
        <f t="shared" si="1"/>
        <v>9</v>
      </c>
      <c r="DE5" s="1770">
        <f t="shared" si="1"/>
        <v>9</v>
      </c>
      <c r="DF5" s="1770">
        <f t="shared" si="1"/>
        <v>9</v>
      </c>
      <c r="DG5" s="1770">
        <f t="shared" si="1"/>
        <v>9</v>
      </c>
      <c r="DH5" s="1770">
        <f t="shared" si="1"/>
        <v>10</v>
      </c>
      <c r="DI5" s="1770">
        <f t="shared" si="1"/>
        <v>10</v>
      </c>
      <c r="DJ5" s="1770">
        <f t="shared" si="1"/>
        <v>10</v>
      </c>
      <c r="DK5" s="1770">
        <f t="shared" si="1"/>
        <v>10</v>
      </c>
      <c r="DL5" s="1770">
        <f t="shared" si="1"/>
        <v>10</v>
      </c>
      <c r="DM5" s="1770">
        <f t="shared" si="1"/>
        <v>10</v>
      </c>
      <c r="DN5" s="1770">
        <f t="shared" si="1"/>
        <v>10</v>
      </c>
      <c r="DO5" s="1770">
        <f t="shared" si="1"/>
        <v>10</v>
      </c>
      <c r="DP5" s="1770">
        <f t="shared" si="1"/>
        <v>10</v>
      </c>
      <c r="DQ5" s="1770">
        <f t="shared" si="1"/>
        <v>10</v>
      </c>
      <c r="DR5" s="1770">
        <f t="shared" si="1"/>
        <v>10</v>
      </c>
      <c r="DS5" s="1771">
        <f t="shared" si="1"/>
        <v>10</v>
      </c>
      <c r="DT5" s="1485" t="s">
        <v>65</v>
      </c>
    </row>
    <row r="6" spans="1:124">
      <c r="B6" s="1772" t="s">
        <v>709</v>
      </c>
      <c r="C6" s="1773"/>
      <c r="D6" s="1774">
        <f>YEAR(D8)</f>
        <v>2025</v>
      </c>
      <c r="E6" s="1774">
        <f t="shared" ref="E6:BP6" si="2">YEAR(E8)</f>
        <v>2025</v>
      </c>
      <c r="F6" s="1774">
        <f t="shared" si="2"/>
        <v>2025</v>
      </c>
      <c r="G6" s="1774">
        <f t="shared" si="2"/>
        <v>2025</v>
      </c>
      <c r="H6" s="1774">
        <f t="shared" si="2"/>
        <v>2025</v>
      </c>
      <c r="I6" s="1774">
        <f t="shared" si="2"/>
        <v>2025</v>
      </c>
      <c r="J6" s="1774">
        <f t="shared" si="2"/>
        <v>2025</v>
      </c>
      <c r="K6" s="1774">
        <f t="shared" si="2"/>
        <v>2025</v>
      </c>
      <c r="L6" s="1774">
        <f t="shared" si="2"/>
        <v>2025</v>
      </c>
      <c r="M6" s="1774">
        <f t="shared" si="2"/>
        <v>2025</v>
      </c>
      <c r="N6" s="1774">
        <f t="shared" si="2"/>
        <v>2025</v>
      </c>
      <c r="O6" s="1774">
        <f t="shared" si="2"/>
        <v>2025</v>
      </c>
      <c r="P6" s="1774">
        <f t="shared" si="2"/>
        <v>2026</v>
      </c>
      <c r="Q6" s="1774">
        <f t="shared" si="2"/>
        <v>2026</v>
      </c>
      <c r="R6" s="1774">
        <f t="shared" si="2"/>
        <v>2026</v>
      </c>
      <c r="S6" s="1774">
        <f t="shared" si="2"/>
        <v>2026</v>
      </c>
      <c r="T6" s="1774">
        <f t="shared" si="2"/>
        <v>2026</v>
      </c>
      <c r="U6" s="1774">
        <f t="shared" si="2"/>
        <v>2026</v>
      </c>
      <c r="V6" s="1774">
        <f t="shared" si="2"/>
        <v>2026</v>
      </c>
      <c r="W6" s="1774">
        <f t="shared" si="2"/>
        <v>2026</v>
      </c>
      <c r="X6" s="1774">
        <f t="shared" si="2"/>
        <v>2026</v>
      </c>
      <c r="Y6" s="1774">
        <f t="shared" si="2"/>
        <v>2026</v>
      </c>
      <c r="Z6" s="1774">
        <f t="shared" si="2"/>
        <v>2026</v>
      </c>
      <c r="AA6" s="1774">
        <f t="shared" si="2"/>
        <v>2026</v>
      </c>
      <c r="AB6" s="1774">
        <f t="shared" si="2"/>
        <v>2027</v>
      </c>
      <c r="AC6" s="1774">
        <f t="shared" si="2"/>
        <v>2027</v>
      </c>
      <c r="AD6" s="1774">
        <f t="shared" si="2"/>
        <v>2027</v>
      </c>
      <c r="AE6" s="1774">
        <f t="shared" si="2"/>
        <v>2027</v>
      </c>
      <c r="AF6" s="1774">
        <f t="shared" si="2"/>
        <v>2027</v>
      </c>
      <c r="AG6" s="1774">
        <f t="shared" si="2"/>
        <v>2027</v>
      </c>
      <c r="AH6" s="1774">
        <f t="shared" si="2"/>
        <v>2027</v>
      </c>
      <c r="AI6" s="1774">
        <f t="shared" si="2"/>
        <v>2027</v>
      </c>
      <c r="AJ6" s="1774">
        <f t="shared" si="2"/>
        <v>2027</v>
      </c>
      <c r="AK6" s="1774">
        <f t="shared" si="2"/>
        <v>2027</v>
      </c>
      <c r="AL6" s="1774">
        <f t="shared" si="2"/>
        <v>2027</v>
      </c>
      <c r="AM6" s="1774">
        <f t="shared" si="2"/>
        <v>2027</v>
      </c>
      <c r="AN6" s="1774">
        <f t="shared" si="2"/>
        <v>2028</v>
      </c>
      <c r="AO6" s="1774">
        <f t="shared" si="2"/>
        <v>2028</v>
      </c>
      <c r="AP6" s="1774">
        <f t="shared" si="2"/>
        <v>2028</v>
      </c>
      <c r="AQ6" s="1774">
        <f t="shared" si="2"/>
        <v>2028</v>
      </c>
      <c r="AR6" s="1774">
        <f t="shared" si="2"/>
        <v>2028</v>
      </c>
      <c r="AS6" s="1774">
        <f t="shared" si="2"/>
        <v>2028</v>
      </c>
      <c r="AT6" s="1774">
        <f t="shared" si="2"/>
        <v>2028</v>
      </c>
      <c r="AU6" s="1774">
        <f t="shared" si="2"/>
        <v>2028</v>
      </c>
      <c r="AV6" s="1774">
        <f t="shared" si="2"/>
        <v>2028</v>
      </c>
      <c r="AW6" s="1774">
        <f t="shared" si="2"/>
        <v>2028</v>
      </c>
      <c r="AX6" s="1774">
        <f t="shared" si="2"/>
        <v>2028</v>
      </c>
      <c r="AY6" s="1774">
        <f t="shared" si="2"/>
        <v>2028</v>
      </c>
      <c r="AZ6" s="1774">
        <f t="shared" si="2"/>
        <v>2029</v>
      </c>
      <c r="BA6" s="1774">
        <f t="shared" si="2"/>
        <v>2029</v>
      </c>
      <c r="BB6" s="1774">
        <f t="shared" si="2"/>
        <v>2029</v>
      </c>
      <c r="BC6" s="1774">
        <f t="shared" si="2"/>
        <v>2029</v>
      </c>
      <c r="BD6" s="1774">
        <f t="shared" si="2"/>
        <v>2029</v>
      </c>
      <c r="BE6" s="1774">
        <f t="shared" si="2"/>
        <v>2029</v>
      </c>
      <c r="BF6" s="1774">
        <f t="shared" si="2"/>
        <v>2029</v>
      </c>
      <c r="BG6" s="1774">
        <f t="shared" si="2"/>
        <v>2029</v>
      </c>
      <c r="BH6" s="1774">
        <f t="shared" si="2"/>
        <v>2029</v>
      </c>
      <c r="BI6" s="1774">
        <f t="shared" si="2"/>
        <v>2029</v>
      </c>
      <c r="BJ6" s="1774">
        <f t="shared" si="2"/>
        <v>2029</v>
      </c>
      <c r="BK6" s="1774">
        <f t="shared" si="2"/>
        <v>2029</v>
      </c>
      <c r="BL6" s="1774">
        <f t="shared" si="2"/>
        <v>2030</v>
      </c>
      <c r="BM6" s="1774">
        <f t="shared" si="2"/>
        <v>2030</v>
      </c>
      <c r="BN6" s="1774">
        <f t="shared" si="2"/>
        <v>2030</v>
      </c>
      <c r="BO6" s="1774">
        <f t="shared" si="2"/>
        <v>2030</v>
      </c>
      <c r="BP6" s="1774">
        <f t="shared" si="2"/>
        <v>2030</v>
      </c>
      <c r="BQ6" s="1774">
        <f t="shared" ref="BQ6:DS6" si="3">YEAR(BQ8)</f>
        <v>2030</v>
      </c>
      <c r="BR6" s="1774">
        <f t="shared" si="3"/>
        <v>2030</v>
      </c>
      <c r="BS6" s="1774">
        <f t="shared" si="3"/>
        <v>2030</v>
      </c>
      <c r="BT6" s="1774">
        <f t="shared" si="3"/>
        <v>2030</v>
      </c>
      <c r="BU6" s="1774">
        <f t="shared" si="3"/>
        <v>2030</v>
      </c>
      <c r="BV6" s="1774">
        <f t="shared" si="3"/>
        <v>2030</v>
      </c>
      <c r="BW6" s="1774">
        <f t="shared" si="3"/>
        <v>2030</v>
      </c>
      <c r="BX6" s="1774">
        <f t="shared" si="3"/>
        <v>2031</v>
      </c>
      <c r="BY6" s="1774">
        <f t="shared" si="3"/>
        <v>2031</v>
      </c>
      <c r="BZ6" s="1774">
        <f t="shared" si="3"/>
        <v>2031</v>
      </c>
      <c r="CA6" s="1774">
        <f t="shared" si="3"/>
        <v>2031</v>
      </c>
      <c r="CB6" s="1774">
        <f t="shared" si="3"/>
        <v>2031</v>
      </c>
      <c r="CC6" s="1774">
        <f t="shared" si="3"/>
        <v>2031</v>
      </c>
      <c r="CD6" s="1774">
        <f t="shared" si="3"/>
        <v>2031</v>
      </c>
      <c r="CE6" s="1774">
        <f t="shared" si="3"/>
        <v>2031</v>
      </c>
      <c r="CF6" s="1774">
        <f t="shared" si="3"/>
        <v>2031</v>
      </c>
      <c r="CG6" s="1774">
        <f t="shared" si="3"/>
        <v>2031</v>
      </c>
      <c r="CH6" s="1774">
        <f t="shared" si="3"/>
        <v>2031</v>
      </c>
      <c r="CI6" s="1774">
        <f t="shared" si="3"/>
        <v>2031</v>
      </c>
      <c r="CJ6" s="1774">
        <f t="shared" si="3"/>
        <v>2032</v>
      </c>
      <c r="CK6" s="1774">
        <f t="shared" si="3"/>
        <v>2032</v>
      </c>
      <c r="CL6" s="1774">
        <f t="shared" si="3"/>
        <v>2032</v>
      </c>
      <c r="CM6" s="1774">
        <f t="shared" si="3"/>
        <v>2032</v>
      </c>
      <c r="CN6" s="1774">
        <f t="shared" si="3"/>
        <v>2032</v>
      </c>
      <c r="CO6" s="1774">
        <f t="shared" si="3"/>
        <v>2032</v>
      </c>
      <c r="CP6" s="1774">
        <f t="shared" si="3"/>
        <v>2032</v>
      </c>
      <c r="CQ6" s="1774">
        <f t="shared" si="3"/>
        <v>2032</v>
      </c>
      <c r="CR6" s="1774">
        <f t="shared" si="3"/>
        <v>2032</v>
      </c>
      <c r="CS6" s="1774">
        <f t="shared" si="3"/>
        <v>2032</v>
      </c>
      <c r="CT6" s="1774">
        <f t="shared" si="3"/>
        <v>2032</v>
      </c>
      <c r="CU6" s="1774">
        <f t="shared" si="3"/>
        <v>2032</v>
      </c>
      <c r="CV6" s="1774">
        <f t="shared" si="3"/>
        <v>2033</v>
      </c>
      <c r="CW6" s="1774">
        <f t="shared" si="3"/>
        <v>2033</v>
      </c>
      <c r="CX6" s="1774">
        <f t="shared" si="3"/>
        <v>2033</v>
      </c>
      <c r="CY6" s="1774">
        <f t="shared" si="3"/>
        <v>2033</v>
      </c>
      <c r="CZ6" s="1774">
        <f t="shared" si="3"/>
        <v>2033</v>
      </c>
      <c r="DA6" s="1774">
        <f t="shared" si="3"/>
        <v>2033</v>
      </c>
      <c r="DB6" s="1774">
        <f t="shared" si="3"/>
        <v>2033</v>
      </c>
      <c r="DC6" s="1774">
        <f t="shared" si="3"/>
        <v>2033</v>
      </c>
      <c r="DD6" s="1774">
        <f t="shared" si="3"/>
        <v>2033</v>
      </c>
      <c r="DE6" s="1774">
        <f t="shared" si="3"/>
        <v>2033</v>
      </c>
      <c r="DF6" s="1774">
        <f t="shared" si="3"/>
        <v>2033</v>
      </c>
      <c r="DG6" s="1774">
        <f t="shared" si="3"/>
        <v>2033</v>
      </c>
      <c r="DH6" s="1774">
        <f t="shared" si="3"/>
        <v>2034</v>
      </c>
      <c r="DI6" s="1774">
        <f t="shared" si="3"/>
        <v>2034</v>
      </c>
      <c r="DJ6" s="1774">
        <f t="shared" si="3"/>
        <v>2034</v>
      </c>
      <c r="DK6" s="1774">
        <f t="shared" si="3"/>
        <v>2034</v>
      </c>
      <c r="DL6" s="1774">
        <f t="shared" si="3"/>
        <v>2034</v>
      </c>
      <c r="DM6" s="1774">
        <f t="shared" si="3"/>
        <v>2034</v>
      </c>
      <c r="DN6" s="1774">
        <f t="shared" si="3"/>
        <v>2034</v>
      </c>
      <c r="DO6" s="1774">
        <f t="shared" si="3"/>
        <v>2034</v>
      </c>
      <c r="DP6" s="1774">
        <f t="shared" si="3"/>
        <v>2034</v>
      </c>
      <c r="DQ6" s="1774">
        <f t="shared" si="3"/>
        <v>2034</v>
      </c>
      <c r="DR6" s="1774">
        <f t="shared" si="3"/>
        <v>2034</v>
      </c>
      <c r="DS6" s="1775">
        <f t="shared" si="3"/>
        <v>2034</v>
      </c>
      <c r="DT6" s="1485" t="s">
        <v>65</v>
      </c>
    </row>
    <row r="7" spans="1:124">
      <c r="B7" s="1772" t="s">
        <v>1039</v>
      </c>
      <c r="C7" s="1773"/>
      <c r="D7" s="1776">
        <f>COUNTA($D8:D8)</f>
        <v>1</v>
      </c>
      <c r="E7" s="1776">
        <f>COUNTA($D8:E8)</f>
        <v>2</v>
      </c>
      <c r="F7" s="1776">
        <f>COUNTA($D8:F8)</f>
        <v>3</v>
      </c>
      <c r="G7" s="1776">
        <f>COUNTA($D8:G8)</f>
        <v>4</v>
      </c>
      <c r="H7" s="1776">
        <f>COUNTA($D8:H8)</f>
        <v>5</v>
      </c>
      <c r="I7" s="1776">
        <f>COUNTA($D8:I8)</f>
        <v>6</v>
      </c>
      <c r="J7" s="1776">
        <f>COUNTA($D8:J8)</f>
        <v>7</v>
      </c>
      <c r="K7" s="1776">
        <f>COUNTA($D8:K8)</f>
        <v>8</v>
      </c>
      <c r="L7" s="1776">
        <f>COUNTA($D8:L8)</f>
        <v>9</v>
      </c>
      <c r="M7" s="1776">
        <f>COUNTA($D8:M8)</f>
        <v>10</v>
      </c>
      <c r="N7" s="1776">
        <f>COUNTA($D8:N8)</f>
        <v>11</v>
      </c>
      <c r="O7" s="1776">
        <f>COUNTA($D8:O8)</f>
        <v>12</v>
      </c>
      <c r="P7" s="1776">
        <f>COUNTA($D8:P8)</f>
        <v>13</v>
      </c>
      <c r="Q7" s="1776">
        <f>COUNTA($D8:Q8)</f>
        <v>14</v>
      </c>
      <c r="R7" s="1776">
        <f>COUNTA($D8:R8)</f>
        <v>15</v>
      </c>
      <c r="S7" s="1776">
        <f>COUNTA($D8:S8)</f>
        <v>16</v>
      </c>
      <c r="T7" s="1776">
        <f>COUNTA($D8:T8)</f>
        <v>17</v>
      </c>
      <c r="U7" s="1776">
        <f>COUNTA($D8:U8)</f>
        <v>18</v>
      </c>
      <c r="V7" s="1776">
        <f>COUNTA($D8:V8)</f>
        <v>19</v>
      </c>
      <c r="W7" s="1776">
        <f>COUNTA($D8:W8)</f>
        <v>20</v>
      </c>
      <c r="X7" s="1776">
        <f>COUNTA($D8:X8)</f>
        <v>21</v>
      </c>
      <c r="Y7" s="1776">
        <f>COUNTA($D8:Y8)</f>
        <v>22</v>
      </c>
      <c r="Z7" s="1776">
        <f>COUNTA($D8:Z8)</f>
        <v>23</v>
      </c>
      <c r="AA7" s="1776">
        <f>COUNTA($D8:AA8)</f>
        <v>24</v>
      </c>
      <c r="AB7" s="1776">
        <f>COUNTA($D8:AB8)</f>
        <v>25</v>
      </c>
      <c r="AC7" s="1776">
        <f>COUNTA($D8:AC8)</f>
        <v>26</v>
      </c>
      <c r="AD7" s="1776">
        <f>COUNTA($D8:AD8)</f>
        <v>27</v>
      </c>
      <c r="AE7" s="1776">
        <f>COUNTA($D8:AE8)</f>
        <v>28</v>
      </c>
      <c r="AF7" s="1776">
        <f>COUNTA($D8:AF8)</f>
        <v>29</v>
      </c>
      <c r="AG7" s="1776">
        <f>COUNTA($D8:AG8)</f>
        <v>30</v>
      </c>
      <c r="AH7" s="1776">
        <f>COUNTA($D8:AH8)</f>
        <v>31</v>
      </c>
      <c r="AI7" s="1776">
        <f>COUNTA($D8:AI8)</f>
        <v>32</v>
      </c>
      <c r="AJ7" s="1776">
        <f>COUNTA($D8:AJ8)</f>
        <v>33</v>
      </c>
      <c r="AK7" s="1776">
        <f>COUNTA($D8:AK8)</f>
        <v>34</v>
      </c>
      <c r="AL7" s="1776">
        <f>COUNTA($D8:AL8)</f>
        <v>35</v>
      </c>
      <c r="AM7" s="1776">
        <f>COUNTA($D8:AM8)</f>
        <v>36</v>
      </c>
      <c r="AN7" s="1776">
        <f>COUNTA($D8:AN8)</f>
        <v>37</v>
      </c>
      <c r="AO7" s="1776">
        <f>COUNTA($D8:AO8)</f>
        <v>38</v>
      </c>
      <c r="AP7" s="1776">
        <f>COUNTA($D8:AP8)</f>
        <v>39</v>
      </c>
      <c r="AQ7" s="1776">
        <f>COUNTA($D8:AQ8)</f>
        <v>40</v>
      </c>
      <c r="AR7" s="1776">
        <f>COUNTA($D8:AR8)</f>
        <v>41</v>
      </c>
      <c r="AS7" s="1776">
        <f>COUNTA($D8:AS8)</f>
        <v>42</v>
      </c>
      <c r="AT7" s="1776">
        <f>COUNTA($D8:AT8)</f>
        <v>43</v>
      </c>
      <c r="AU7" s="1776">
        <f>COUNTA($D8:AU8)</f>
        <v>44</v>
      </c>
      <c r="AV7" s="1776">
        <f>COUNTA($D8:AV8)</f>
        <v>45</v>
      </c>
      <c r="AW7" s="1776">
        <f>COUNTA($D8:AW8)</f>
        <v>46</v>
      </c>
      <c r="AX7" s="1776">
        <f>COUNTA($D8:AX8)</f>
        <v>47</v>
      </c>
      <c r="AY7" s="1776">
        <f>COUNTA($D8:AY8)</f>
        <v>48</v>
      </c>
      <c r="AZ7" s="1776">
        <f>COUNTA($D8:AZ8)</f>
        <v>49</v>
      </c>
      <c r="BA7" s="1776">
        <f>COUNTA($D8:BA8)</f>
        <v>50</v>
      </c>
      <c r="BB7" s="1776">
        <f>COUNTA($D8:BB8)</f>
        <v>51</v>
      </c>
      <c r="BC7" s="1776">
        <f>COUNTA($D8:BC8)</f>
        <v>52</v>
      </c>
      <c r="BD7" s="1776">
        <f>COUNTA($D8:BD8)</f>
        <v>53</v>
      </c>
      <c r="BE7" s="1776">
        <f>COUNTA($D8:BE8)</f>
        <v>54</v>
      </c>
      <c r="BF7" s="1776">
        <f>COUNTA($D8:BF8)</f>
        <v>55</v>
      </c>
      <c r="BG7" s="1776">
        <f>COUNTA($D8:BG8)</f>
        <v>56</v>
      </c>
      <c r="BH7" s="1776">
        <f>COUNTA($D8:BH8)</f>
        <v>57</v>
      </c>
      <c r="BI7" s="1776">
        <f>COUNTA($D8:BI8)</f>
        <v>58</v>
      </c>
      <c r="BJ7" s="1776">
        <f>COUNTA($D8:BJ8)</f>
        <v>59</v>
      </c>
      <c r="BK7" s="1776">
        <f>COUNTA($D8:BK8)</f>
        <v>60</v>
      </c>
      <c r="BL7" s="1776">
        <f>COUNTA($D8:BL8)</f>
        <v>61</v>
      </c>
      <c r="BM7" s="1776">
        <f>COUNTA($D8:BM8)</f>
        <v>62</v>
      </c>
      <c r="BN7" s="1776">
        <f>COUNTA($D8:BN8)</f>
        <v>63</v>
      </c>
      <c r="BO7" s="1776">
        <f>COUNTA($D8:BO8)</f>
        <v>64</v>
      </c>
      <c r="BP7" s="1776">
        <f>COUNTA($D8:BP8)</f>
        <v>65</v>
      </c>
      <c r="BQ7" s="1776">
        <f>COUNTA($D8:BQ8)</f>
        <v>66</v>
      </c>
      <c r="BR7" s="1776">
        <f>COUNTA($D8:BR8)</f>
        <v>67</v>
      </c>
      <c r="BS7" s="1776">
        <f>COUNTA($D8:BS8)</f>
        <v>68</v>
      </c>
      <c r="BT7" s="1776">
        <f>COUNTA($D8:BT8)</f>
        <v>69</v>
      </c>
      <c r="BU7" s="1776">
        <f>COUNTA($D8:BU8)</f>
        <v>70</v>
      </c>
      <c r="BV7" s="1776">
        <f>COUNTA($D8:BV8)</f>
        <v>71</v>
      </c>
      <c r="BW7" s="1776">
        <f>COUNTA($D8:BW8)</f>
        <v>72</v>
      </c>
      <c r="BX7" s="1776">
        <f>COUNTA($D8:BX8)</f>
        <v>73</v>
      </c>
      <c r="BY7" s="1776">
        <f>COUNTA($D8:BY8)</f>
        <v>74</v>
      </c>
      <c r="BZ7" s="1776">
        <f>COUNTA($D8:BZ8)</f>
        <v>75</v>
      </c>
      <c r="CA7" s="1776">
        <f>COUNTA($D8:CA8)</f>
        <v>76</v>
      </c>
      <c r="CB7" s="1776">
        <f>COUNTA($D8:CB8)</f>
        <v>77</v>
      </c>
      <c r="CC7" s="1776">
        <f>COUNTA($D8:CC8)</f>
        <v>78</v>
      </c>
      <c r="CD7" s="1776">
        <f>COUNTA($D8:CD8)</f>
        <v>79</v>
      </c>
      <c r="CE7" s="1776">
        <f>COUNTA($D8:CE8)</f>
        <v>80</v>
      </c>
      <c r="CF7" s="1776">
        <f>COUNTA($D8:CF8)</f>
        <v>81</v>
      </c>
      <c r="CG7" s="1776">
        <f>COUNTA($D8:CG8)</f>
        <v>82</v>
      </c>
      <c r="CH7" s="1776">
        <f>COUNTA($D8:CH8)</f>
        <v>83</v>
      </c>
      <c r="CI7" s="1776">
        <f>COUNTA($D8:CI8)</f>
        <v>84</v>
      </c>
      <c r="CJ7" s="1776">
        <f>COUNTA($D8:CJ8)</f>
        <v>85</v>
      </c>
      <c r="CK7" s="1776">
        <f>COUNTA($D8:CK8)</f>
        <v>86</v>
      </c>
      <c r="CL7" s="1776">
        <f>COUNTA($D8:CL8)</f>
        <v>87</v>
      </c>
      <c r="CM7" s="1776">
        <f>COUNTA($D8:CM8)</f>
        <v>88</v>
      </c>
      <c r="CN7" s="1776">
        <f>COUNTA($D8:CN8)</f>
        <v>89</v>
      </c>
      <c r="CO7" s="1776">
        <f>COUNTA($D8:CO8)</f>
        <v>90</v>
      </c>
      <c r="CP7" s="1776">
        <f>COUNTA($D8:CP8)</f>
        <v>91</v>
      </c>
      <c r="CQ7" s="1776">
        <f>COUNTA($D8:CQ8)</f>
        <v>92</v>
      </c>
      <c r="CR7" s="1776">
        <f>COUNTA($D8:CR8)</f>
        <v>93</v>
      </c>
      <c r="CS7" s="1776">
        <f>COUNTA($D8:CS8)</f>
        <v>94</v>
      </c>
      <c r="CT7" s="1776">
        <f>COUNTA($D8:CT8)</f>
        <v>95</v>
      </c>
      <c r="CU7" s="1776">
        <f>COUNTA($D8:CU8)</f>
        <v>96</v>
      </c>
      <c r="CV7" s="1776">
        <f>COUNTA($D8:CV8)</f>
        <v>97</v>
      </c>
      <c r="CW7" s="1776">
        <f>COUNTA($D8:CW8)</f>
        <v>98</v>
      </c>
      <c r="CX7" s="1776">
        <f>COUNTA($D8:CX8)</f>
        <v>99</v>
      </c>
      <c r="CY7" s="1776">
        <f>COUNTA($D8:CY8)</f>
        <v>100</v>
      </c>
      <c r="CZ7" s="1776">
        <f>COUNTA($D8:CZ8)</f>
        <v>101</v>
      </c>
      <c r="DA7" s="1776">
        <f>COUNTA($D8:DA8)</f>
        <v>102</v>
      </c>
      <c r="DB7" s="1776">
        <f>COUNTA($D8:DB8)</f>
        <v>103</v>
      </c>
      <c r="DC7" s="1776">
        <f>COUNTA($D8:DC8)</f>
        <v>104</v>
      </c>
      <c r="DD7" s="1776">
        <f>COUNTA($D8:DD8)</f>
        <v>105</v>
      </c>
      <c r="DE7" s="1776">
        <f>COUNTA($D8:DE8)</f>
        <v>106</v>
      </c>
      <c r="DF7" s="1776">
        <f>COUNTA($D8:DF8)</f>
        <v>107</v>
      </c>
      <c r="DG7" s="1776">
        <f>COUNTA($D8:DG8)</f>
        <v>108</v>
      </c>
      <c r="DH7" s="1776">
        <f>COUNTA($D8:DH8)</f>
        <v>109</v>
      </c>
      <c r="DI7" s="1776">
        <f>COUNTA($D8:DI8)</f>
        <v>110</v>
      </c>
      <c r="DJ7" s="1776">
        <f>COUNTA($D8:DJ8)</f>
        <v>111</v>
      </c>
      <c r="DK7" s="1776">
        <f>COUNTA($D8:DK8)</f>
        <v>112</v>
      </c>
      <c r="DL7" s="1776">
        <f>COUNTA($D8:DL8)</f>
        <v>113</v>
      </c>
      <c r="DM7" s="1776">
        <f>COUNTA($D8:DM8)</f>
        <v>114</v>
      </c>
      <c r="DN7" s="1776">
        <f>COUNTA($D8:DN8)</f>
        <v>115</v>
      </c>
      <c r="DO7" s="1776">
        <f>COUNTA($D8:DO8)</f>
        <v>116</v>
      </c>
      <c r="DP7" s="1776">
        <f>COUNTA($D8:DP8)</f>
        <v>117</v>
      </c>
      <c r="DQ7" s="1776">
        <f>COUNTA($D8:DQ8)</f>
        <v>118</v>
      </c>
      <c r="DR7" s="1776">
        <f>COUNTA($D8:DR8)</f>
        <v>119</v>
      </c>
      <c r="DS7" s="1777">
        <f>COUNTA($D8:DS8)</f>
        <v>120</v>
      </c>
      <c r="DT7" s="1485" t="s">
        <v>65</v>
      </c>
    </row>
    <row r="8" spans="1:124">
      <c r="B8" s="1778" t="s">
        <v>1112</v>
      </c>
      <c r="C8" s="1779"/>
      <c r="D8" s="1780">
        <f>EOMONTH('Assumptions MH'!G20,0)</f>
        <v>45688</v>
      </c>
      <c r="E8" s="1780">
        <f>EOMONTH(D8,1)</f>
        <v>45716</v>
      </c>
      <c r="F8" s="1780">
        <f t="shared" ref="F8:BQ8" si="4">EOMONTH(E8,1)</f>
        <v>45747</v>
      </c>
      <c r="G8" s="1780">
        <f t="shared" si="4"/>
        <v>45777</v>
      </c>
      <c r="H8" s="1780">
        <f t="shared" si="4"/>
        <v>45808</v>
      </c>
      <c r="I8" s="1780">
        <f t="shared" si="4"/>
        <v>45838</v>
      </c>
      <c r="J8" s="1780">
        <f t="shared" si="4"/>
        <v>45869</v>
      </c>
      <c r="K8" s="1780">
        <f t="shared" si="4"/>
        <v>45900</v>
      </c>
      <c r="L8" s="1780">
        <f t="shared" si="4"/>
        <v>45930</v>
      </c>
      <c r="M8" s="1780">
        <f t="shared" si="4"/>
        <v>45961</v>
      </c>
      <c r="N8" s="1780">
        <f t="shared" si="4"/>
        <v>45991</v>
      </c>
      <c r="O8" s="1780">
        <f t="shared" si="4"/>
        <v>46022</v>
      </c>
      <c r="P8" s="1780">
        <f t="shared" si="4"/>
        <v>46053</v>
      </c>
      <c r="Q8" s="1780">
        <f t="shared" si="4"/>
        <v>46081</v>
      </c>
      <c r="R8" s="1780">
        <f t="shared" si="4"/>
        <v>46112</v>
      </c>
      <c r="S8" s="1780">
        <f t="shared" si="4"/>
        <v>46142</v>
      </c>
      <c r="T8" s="1780">
        <f t="shared" si="4"/>
        <v>46173</v>
      </c>
      <c r="U8" s="1780">
        <f t="shared" si="4"/>
        <v>46203</v>
      </c>
      <c r="V8" s="1780">
        <f t="shared" si="4"/>
        <v>46234</v>
      </c>
      <c r="W8" s="1780">
        <f t="shared" si="4"/>
        <v>46265</v>
      </c>
      <c r="X8" s="1780">
        <f t="shared" si="4"/>
        <v>46295</v>
      </c>
      <c r="Y8" s="1780">
        <f t="shared" si="4"/>
        <v>46326</v>
      </c>
      <c r="Z8" s="1780">
        <f t="shared" si="4"/>
        <v>46356</v>
      </c>
      <c r="AA8" s="1780">
        <f t="shared" si="4"/>
        <v>46387</v>
      </c>
      <c r="AB8" s="1780">
        <f t="shared" si="4"/>
        <v>46418</v>
      </c>
      <c r="AC8" s="1780">
        <f t="shared" si="4"/>
        <v>46446</v>
      </c>
      <c r="AD8" s="1780">
        <f t="shared" si="4"/>
        <v>46477</v>
      </c>
      <c r="AE8" s="1780">
        <f t="shared" si="4"/>
        <v>46507</v>
      </c>
      <c r="AF8" s="1780">
        <f t="shared" si="4"/>
        <v>46538</v>
      </c>
      <c r="AG8" s="1780">
        <f t="shared" si="4"/>
        <v>46568</v>
      </c>
      <c r="AH8" s="1780">
        <f t="shared" si="4"/>
        <v>46599</v>
      </c>
      <c r="AI8" s="1780">
        <f t="shared" si="4"/>
        <v>46630</v>
      </c>
      <c r="AJ8" s="1780">
        <f t="shared" si="4"/>
        <v>46660</v>
      </c>
      <c r="AK8" s="1780">
        <f t="shared" si="4"/>
        <v>46691</v>
      </c>
      <c r="AL8" s="1780">
        <f t="shared" si="4"/>
        <v>46721</v>
      </c>
      <c r="AM8" s="1780">
        <f t="shared" si="4"/>
        <v>46752</v>
      </c>
      <c r="AN8" s="1780">
        <f t="shared" si="4"/>
        <v>46783</v>
      </c>
      <c r="AO8" s="1780">
        <f t="shared" si="4"/>
        <v>46812</v>
      </c>
      <c r="AP8" s="1780">
        <f t="shared" si="4"/>
        <v>46843</v>
      </c>
      <c r="AQ8" s="1780">
        <f t="shared" si="4"/>
        <v>46873</v>
      </c>
      <c r="AR8" s="1780">
        <f t="shared" si="4"/>
        <v>46904</v>
      </c>
      <c r="AS8" s="1780">
        <f t="shared" si="4"/>
        <v>46934</v>
      </c>
      <c r="AT8" s="1780">
        <f t="shared" si="4"/>
        <v>46965</v>
      </c>
      <c r="AU8" s="1780">
        <f t="shared" si="4"/>
        <v>46996</v>
      </c>
      <c r="AV8" s="1780">
        <f t="shared" si="4"/>
        <v>47026</v>
      </c>
      <c r="AW8" s="1780">
        <f t="shared" si="4"/>
        <v>47057</v>
      </c>
      <c r="AX8" s="1780">
        <f t="shared" si="4"/>
        <v>47087</v>
      </c>
      <c r="AY8" s="1780">
        <f t="shared" si="4"/>
        <v>47118</v>
      </c>
      <c r="AZ8" s="1780">
        <f t="shared" si="4"/>
        <v>47149</v>
      </c>
      <c r="BA8" s="1780">
        <f t="shared" si="4"/>
        <v>47177</v>
      </c>
      <c r="BB8" s="1780">
        <f t="shared" si="4"/>
        <v>47208</v>
      </c>
      <c r="BC8" s="1780">
        <f t="shared" si="4"/>
        <v>47238</v>
      </c>
      <c r="BD8" s="1780">
        <f t="shared" si="4"/>
        <v>47269</v>
      </c>
      <c r="BE8" s="1780">
        <f t="shared" si="4"/>
        <v>47299</v>
      </c>
      <c r="BF8" s="1780">
        <f t="shared" si="4"/>
        <v>47330</v>
      </c>
      <c r="BG8" s="1780">
        <f t="shared" si="4"/>
        <v>47361</v>
      </c>
      <c r="BH8" s="1780">
        <f t="shared" si="4"/>
        <v>47391</v>
      </c>
      <c r="BI8" s="1780">
        <f t="shared" si="4"/>
        <v>47422</v>
      </c>
      <c r="BJ8" s="1780">
        <f t="shared" si="4"/>
        <v>47452</v>
      </c>
      <c r="BK8" s="1780">
        <f t="shared" si="4"/>
        <v>47483</v>
      </c>
      <c r="BL8" s="1780">
        <f t="shared" si="4"/>
        <v>47514</v>
      </c>
      <c r="BM8" s="1780">
        <f t="shared" si="4"/>
        <v>47542</v>
      </c>
      <c r="BN8" s="1780">
        <f t="shared" si="4"/>
        <v>47573</v>
      </c>
      <c r="BO8" s="1780">
        <f t="shared" si="4"/>
        <v>47603</v>
      </c>
      <c r="BP8" s="1780">
        <f t="shared" si="4"/>
        <v>47634</v>
      </c>
      <c r="BQ8" s="1780">
        <f t="shared" si="4"/>
        <v>47664</v>
      </c>
      <c r="BR8" s="1780">
        <f t="shared" ref="BR8:DS8" si="5">EOMONTH(BQ8,1)</f>
        <v>47695</v>
      </c>
      <c r="BS8" s="1780">
        <f t="shared" si="5"/>
        <v>47726</v>
      </c>
      <c r="BT8" s="1780">
        <f t="shared" si="5"/>
        <v>47756</v>
      </c>
      <c r="BU8" s="1780">
        <f t="shared" si="5"/>
        <v>47787</v>
      </c>
      <c r="BV8" s="1780">
        <f t="shared" si="5"/>
        <v>47817</v>
      </c>
      <c r="BW8" s="1780">
        <f t="shared" si="5"/>
        <v>47848</v>
      </c>
      <c r="BX8" s="1780">
        <f t="shared" si="5"/>
        <v>47879</v>
      </c>
      <c r="BY8" s="1780">
        <f t="shared" si="5"/>
        <v>47907</v>
      </c>
      <c r="BZ8" s="1780">
        <f t="shared" si="5"/>
        <v>47938</v>
      </c>
      <c r="CA8" s="1780">
        <f t="shared" si="5"/>
        <v>47968</v>
      </c>
      <c r="CB8" s="1780">
        <f t="shared" si="5"/>
        <v>47999</v>
      </c>
      <c r="CC8" s="1780">
        <f t="shared" si="5"/>
        <v>48029</v>
      </c>
      <c r="CD8" s="1780">
        <f t="shared" si="5"/>
        <v>48060</v>
      </c>
      <c r="CE8" s="1780">
        <f t="shared" si="5"/>
        <v>48091</v>
      </c>
      <c r="CF8" s="1780">
        <f t="shared" si="5"/>
        <v>48121</v>
      </c>
      <c r="CG8" s="1780">
        <f t="shared" si="5"/>
        <v>48152</v>
      </c>
      <c r="CH8" s="1780">
        <f t="shared" si="5"/>
        <v>48182</v>
      </c>
      <c r="CI8" s="1780">
        <f t="shared" si="5"/>
        <v>48213</v>
      </c>
      <c r="CJ8" s="1780">
        <f t="shared" si="5"/>
        <v>48244</v>
      </c>
      <c r="CK8" s="1780">
        <f t="shared" si="5"/>
        <v>48273</v>
      </c>
      <c r="CL8" s="1780">
        <f t="shared" si="5"/>
        <v>48304</v>
      </c>
      <c r="CM8" s="1780">
        <f t="shared" si="5"/>
        <v>48334</v>
      </c>
      <c r="CN8" s="1780">
        <f t="shared" si="5"/>
        <v>48365</v>
      </c>
      <c r="CO8" s="1780">
        <f t="shared" si="5"/>
        <v>48395</v>
      </c>
      <c r="CP8" s="1780">
        <f t="shared" si="5"/>
        <v>48426</v>
      </c>
      <c r="CQ8" s="1780">
        <f t="shared" si="5"/>
        <v>48457</v>
      </c>
      <c r="CR8" s="1780">
        <f t="shared" si="5"/>
        <v>48487</v>
      </c>
      <c r="CS8" s="1780">
        <f t="shared" si="5"/>
        <v>48518</v>
      </c>
      <c r="CT8" s="1780">
        <f t="shared" si="5"/>
        <v>48548</v>
      </c>
      <c r="CU8" s="1780">
        <f t="shared" si="5"/>
        <v>48579</v>
      </c>
      <c r="CV8" s="1780">
        <f t="shared" si="5"/>
        <v>48610</v>
      </c>
      <c r="CW8" s="1780">
        <f t="shared" si="5"/>
        <v>48638</v>
      </c>
      <c r="CX8" s="1780">
        <f t="shared" si="5"/>
        <v>48669</v>
      </c>
      <c r="CY8" s="1780">
        <f t="shared" si="5"/>
        <v>48699</v>
      </c>
      <c r="CZ8" s="1780">
        <f t="shared" si="5"/>
        <v>48730</v>
      </c>
      <c r="DA8" s="1780">
        <f t="shared" si="5"/>
        <v>48760</v>
      </c>
      <c r="DB8" s="1780">
        <f t="shared" si="5"/>
        <v>48791</v>
      </c>
      <c r="DC8" s="1780">
        <f t="shared" si="5"/>
        <v>48822</v>
      </c>
      <c r="DD8" s="1780">
        <f t="shared" si="5"/>
        <v>48852</v>
      </c>
      <c r="DE8" s="1780">
        <f t="shared" si="5"/>
        <v>48883</v>
      </c>
      <c r="DF8" s="1780">
        <f t="shared" si="5"/>
        <v>48913</v>
      </c>
      <c r="DG8" s="1780">
        <f t="shared" si="5"/>
        <v>48944</v>
      </c>
      <c r="DH8" s="1780">
        <f t="shared" si="5"/>
        <v>48975</v>
      </c>
      <c r="DI8" s="1780">
        <f t="shared" si="5"/>
        <v>49003</v>
      </c>
      <c r="DJ8" s="1780">
        <f t="shared" si="5"/>
        <v>49034</v>
      </c>
      <c r="DK8" s="1780">
        <f t="shared" si="5"/>
        <v>49064</v>
      </c>
      <c r="DL8" s="1780">
        <f t="shared" si="5"/>
        <v>49095</v>
      </c>
      <c r="DM8" s="1780">
        <f t="shared" si="5"/>
        <v>49125</v>
      </c>
      <c r="DN8" s="1780">
        <f t="shared" si="5"/>
        <v>49156</v>
      </c>
      <c r="DO8" s="1780">
        <f t="shared" si="5"/>
        <v>49187</v>
      </c>
      <c r="DP8" s="1780">
        <f t="shared" si="5"/>
        <v>49217</v>
      </c>
      <c r="DQ8" s="1780">
        <f t="shared" si="5"/>
        <v>49248</v>
      </c>
      <c r="DR8" s="1780">
        <f t="shared" si="5"/>
        <v>49278</v>
      </c>
      <c r="DS8" s="1781">
        <f t="shared" si="5"/>
        <v>49309</v>
      </c>
      <c r="DT8" s="1485" t="s">
        <v>65</v>
      </c>
    </row>
    <row r="9" spans="1:124">
      <c r="DT9" s="1485" t="s">
        <v>65</v>
      </c>
    </row>
    <row r="10" spans="1:124" outlineLevel="1">
      <c r="A10" s="1487" t="s">
        <v>65</v>
      </c>
      <c r="B10" s="1503" t="s">
        <v>1113</v>
      </c>
      <c r="DT10" s="1485" t="s">
        <v>65</v>
      </c>
    </row>
    <row r="11" spans="1:124" outlineLevel="1">
      <c r="B11" s="1724" t="s">
        <v>948</v>
      </c>
      <c r="D11" s="1782">
        <f>'Assumptions MH'!$T7</f>
        <v>0.03</v>
      </c>
      <c r="E11" s="1782">
        <f>'Assumptions MH'!$T7</f>
        <v>0.03</v>
      </c>
      <c r="F11" s="1782">
        <f>'Assumptions MH'!$T7</f>
        <v>0.03</v>
      </c>
      <c r="G11" s="1782">
        <f>'Assumptions MH'!$T7</f>
        <v>0.03</v>
      </c>
      <c r="H11" s="1782">
        <f>'Assumptions MH'!$T7</f>
        <v>0.03</v>
      </c>
      <c r="I11" s="1782">
        <f>'Assumptions MH'!$T7</f>
        <v>0.03</v>
      </c>
      <c r="J11" s="1782">
        <f>'Assumptions MH'!$T7</f>
        <v>0.03</v>
      </c>
      <c r="K11" s="1782">
        <f>'Assumptions MH'!$T7</f>
        <v>0.03</v>
      </c>
      <c r="L11" s="1782">
        <f>'Assumptions MH'!$T7</f>
        <v>0.03</v>
      </c>
      <c r="M11" s="1782">
        <f>'Assumptions MH'!$T7</f>
        <v>0.03</v>
      </c>
      <c r="N11" s="1782">
        <f>'Assumptions MH'!$T7</f>
        <v>0.03</v>
      </c>
      <c r="O11" s="1782">
        <f>'Assumptions MH'!$T7</f>
        <v>0.03</v>
      </c>
      <c r="P11" s="1782">
        <f>'Assumptions MH'!$T7</f>
        <v>0.03</v>
      </c>
      <c r="Q11" s="1782">
        <f>'Assumptions MH'!$T7</f>
        <v>0.03</v>
      </c>
      <c r="R11" s="1782">
        <f>'Assumptions MH'!$T7</f>
        <v>0.03</v>
      </c>
      <c r="S11" s="1782">
        <f>'Assumptions MH'!$T7</f>
        <v>0.03</v>
      </c>
      <c r="T11" s="1782">
        <f>'Assumptions MH'!$T7</f>
        <v>0.03</v>
      </c>
      <c r="U11" s="1782">
        <f>'Assumptions MH'!$T7</f>
        <v>0.03</v>
      </c>
      <c r="V11" s="1782">
        <f>'Assumptions MH'!$T7</f>
        <v>0.03</v>
      </c>
      <c r="W11" s="1782">
        <f>'Assumptions MH'!$T7</f>
        <v>0.03</v>
      </c>
      <c r="X11" s="1782">
        <f>'Assumptions MH'!$T7</f>
        <v>0.03</v>
      </c>
      <c r="Y11" s="1782">
        <f>'Assumptions MH'!$T7</f>
        <v>0.03</v>
      </c>
      <c r="Z11" s="1782">
        <f>'Assumptions MH'!$T7</f>
        <v>0.03</v>
      </c>
      <c r="AA11" s="1782">
        <f>'Assumptions MH'!$T7</f>
        <v>0.03</v>
      </c>
      <c r="AB11" s="1782">
        <f>'Assumptions MH'!$T7</f>
        <v>0.03</v>
      </c>
      <c r="AC11" s="1782">
        <f>'Assumptions MH'!$T7</f>
        <v>0.03</v>
      </c>
      <c r="AD11" s="1782">
        <f>'Assumptions MH'!$T7</f>
        <v>0.03</v>
      </c>
      <c r="AE11" s="1782">
        <f>'Assumptions MH'!$T7</f>
        <v>0.03</v>
      </c>
      <c r="AF11" s="1782">
        <f>'Assumptions MH'!$T7</f>
        <v>0.03</v>
      </c>
      <c r="AG11" s="1782">
        <f>'Assumptions MH'!$T7</f>
        <v>0.03</v>
      </c>
      <c r="AH11" s="1782">
        <f>'Assumptions MH'!$T7</f>
        <v>0.03</v>
      </c>
      <c r="AI11" s="1782">
        <f>'Assumptions MH'!$T7</f>
        <v>0.03</v>
      </c>
      <c r="AJ11" s="1782">
        <f>'Assumptions MH'!$T7</f>
        <v>0.03</v>
      </c>
      <c r="AK11" s="1782">
        <f>'Assumptions MH'!$T7</f>
        <v>0.03</v>
      </c>
      <c r="AL11" s="1782">
        <f>'Assumptions MH'!$T7</f>
        <v>0.03</v>
      </c>
      <c r="AM11" s="1782">
        <f>'Assumptions MH'!$T7</f>
        <v>0.03</v>
      </c>
      <c r="AN11" s="1782">
        <f>'Assumptions MH'!$T7</f>
        <v>0.03</v>
      </c>
      <c r="AO11" s="1782">
        <f>'Assumptions MH'!$T7</f>
        <v>0.03</v>
      </c>
      <c r="AP11" s="1782">
        <f>'Assumptions MH'!$T7</f>
        <v>0.03</v>
      </c>
      <c r="AQ11" s="1782">
        <f>'Assumptions MH'!$T7</f>
        <v>0.03</v>
      </c>
      <c r="AR11" s="1782">
        <f>'Assumptions MH'!$T7</f>
        <v>0.03</v>
      </c>
      <c r="AS11" s="1782">
        <f>'Assumptions MH'!$T7</f>
        <v>0.03</v>
      </c>
      <c r="AT11" s="1782">
        <f>'Assumptions MH'!$T7</f>
        <v>0.03</v>
      </c>
      <c r="AU11" s="1782">
        <f>'Assumptions MH'!$T7</f>
        <v>0.03</v>
      </c>
      <c r="AV11" s="1782">
        <f>'Assumptions MH'!$T7</f>
        <v>0.03</v>
      </c>
      <c r="AW11" s="1782">
        <f>'Assumptions MH'!$T7</f>
        <v>0.03</v>
      </c>
      <c r="AX11" s="1782">
        <f>'Assumptions MH'!$T7</f>
        <v>0.03</v>
      </c>
      <c r="AY11" s="1782">
        <f>'Assumptions MH'!$T7</f>
        <v>0.03</v>
      </c>
      <c r="AZ11" s="1782">
        <f>'Assumptions MH'!$T7</f>
        <v>0.03</v>
      </c>
      <c r="BA11" s="1782">
        <f>'Assumptions MH'!$T7</f>
        <v>0.03</v>
      </c>
      <c r="BB11" s="1782">
        <f>'Assumptions MH'!$T7</f>
        <v>0.03</v>
      </c>
      <c r="BC11" s="1782">
        <f>'Assumptions MH'!$T7</f>
        <v>0.03</v>
      </c>
      <c r="BD11" s="1782">
        <f>'Assumptions MH'!$T7</f>
        <v>0.03</v>
      </c>
      <c r="BE11" s="1782">
        <f>'Assumptions MH'!$T7</f>
        <v>0.03</v>
      </c>
      <c r="BF11" s="1782">
        <f>'Assumptions MH'!$T7</f>
        <v>0.03</v>
      </c>
      <c r="BG11" s="1782">
        <f>'Assumptions MH'!$T7</f>
        <v>0.03</v>
      </c>
      <c r="BH11" s="1782">
        <f>'Assumptions MH'!$T7</f>
        <v>0.03</v>
      </c>
      <c r="BI11" s="1782">
        <f>'Assumptions MH'!$T7</f>
        <v>0.03</v>
      </c>
      <c r="BJ11" s="1782">
        <f>'Assumptions MH'!$T7</f>
        <v>0.03</v>
      </c>
      <c r="BK11" s="1782">
        <f>'Assumptions MH'!$T7</f>
        <v>0.03</v>
      </c>
      <c r="BL11" s="1782">
        <f>'Assumptions MH'!$T7</f>
        <v>0.03</v>
      </c>
      <c r="BM11" s="1782">
        <f>'Assumptions MH'!$T7</f>
        <v>0.03</v>
      </c>
      <c r="BN11" s="1782">
        <f>'Assumptions MH'!$T7</f>
        <v>0.03</v>
      </c>
      <c r="BO11" s="1782">
        <f>'Assumptions MH'!$T7</f>
        <v>0.03</v>
      </c>
      <c r="BP11" s="1782">
        <f>'Assumptions MH'!$T7</f>
        <v>0.03</v>
      </c>
      <c r="BQ11" s="1782">
        <f>'Assumptions MH'!$T7</f>
        <v>0.03</v>
      </c>
      <c r="BR11" s="1782">
        <f>'Assumptions MH'!$T7</f>
        <v>0.03</v>
      </c>
      <c r="BS11" s="1782">
        <f>'Assumptions MH'!$T7</f>
        <v>0.03</v>
      </c>
      <c r="BT11" s="1782">
        <f>'Assumptions MH'!$T7</f>
        <v>0.03</v>
      </c>
      <c r="BU11" s="1782">
        <f>'Assumptions MH'!$T7</f>
        <v>0.03</v>
      </c>
      <c r="BV11" s="1782">
        <f>'Assumptions MH'!$T7</f>
        <v>0.03</v>
      </c>
      <c r="BW11" s="1782">
        <f>'Assumptions MH'!$T7</f>
        <v>0.03</v>
      </c>
      <c r="BX11" s="1782">
        <f>'Assumptions MH'!$T7</f>
        <v>0.03</v>
      </c>
      <c r="BY11" s="1782">
        <f>'Assumptions MH'!$T7</f>
        <v>0.03</v>
      </c>
      <c r="BZ11" s="1782">
        <f>'Assumptions MH'!$T7</f>
        <v>0.03</v>
      </c>
      <c r="CA11" s="1782">
        <f>'Assumptions MH'!$T7</f>
        <v>0.03</v>
      </c>
      <c r="CB11" s="1782">
        <f>'Assumptions MH'!$T7</f>
        <v>0.03</v>
      </c>
      <c r="CC11" s="1782">
        <f>'Assumptions MH'!$T7</f>
        <v>0.03</v>
      </c>
      <c r="CD11" s="1782">
        <f>'Assumptions MH'!$T7</f>
        <v>0.03</v>
      </c>
      <c r="CE11" s="1782">
        <f>'Assumptions MH'!$T7</f>
        <v>0.03</v>
      </c>
      <c r="CF11" s="1782">
        <f>'Assumptions MH'!$T7</f>
        <v>0.03</v>
      </c>
      <c r="CG11" s="1782">
        <f>'Assumptions MH'!$T7</f>
        <v>0.03</v>
      </c>
      <c r="CH11" s="1782">
        <f>'Assumptions MH'!$T7</f>
        <v>0.03</v>
      </c>
      <c r="CI11" s="1782">
        <f>'Assumptions MH'!$T7</f>
        <v>0.03</v>
      </c>
      <c r="CJ11" s="1782">
        <f>'Assumptions MH'!$T7</f>
        <v>0.03</v>
      </c>
      <c r="CK11" s="1782">
        <f>'Assumptions MH'!$T7</f>
        <v>0.03</v>
      </c>
      <c r="CL11" s="1782">
        <f>'Assumptions MH'!$T7</f>
        <v>0.03</v>
      </c>
      <c r="CM11" s="1782">
        <f>'Assumptions MH'!$T7</f>
        <v>0.03</v>
      </c>
      <c r="CN11" s="1782">
        <f>'Assumptions MH'!$T7</f>
        <v>0.03</v>
      </c>
      <c r="CO11" s="1782">
        <f>'Assumptions MH'!$T7</f>
        <v>0.03</v>
      </c>
      <c r="CP11" s="1782">
        <f>'Assumptions MH'!$T7</f>
        <v>0.03</v>
      </c>
      <c r="CQ11" s="1782">
        <f>'Assumptions MH'!$T7</f>
        <v>0.03</v>
      </c>
      <c r="CR11" s="1782">
        <f>'Assumptions MH'!$T7</f>
        <v>0.03</v>
      </c>
      <c r="CS11" s="1782">
        <f>'Assumptions MH'!$T7</f>
        <v>0.03</v>
      </c>
      <c r="CT11" s="1782">
        <f>'Assumptions MH'!$T7</f>
        <v>0.03</v>
      </c>
      <c r="CU11" s="1782">
        <f>'Assumptions MH'!$T7</f>
        <v>0.03</v>
      </c>
      <c r="CV11" s="1782">
        <f>'Assumptions MH'!$T7</f>
        <v>0.03</v>
      </c>
      <c r="CW11" s="1782">
        <f>'Assumptions MH'!$T7</f>
        <v>0.03</v>
      </c>
      <c r="CX11" s="1782">
        <f>'Assumptions MH'!$T7</f>
        <v>0.03</v>
      </c>
      <c r="CY11" s="1782">
        <f>'Assumptions MH'!$T7</f>
        <v>0.03</v>
      </c>
      <c r="CZ11" s="1782">
        <f>'Assumptions MH'!$T7</f>
        <v>0.03</v>
      </c>
      <c r="DA11" s="1782">
        <f>'Assumptions MH'!$T7</f>
        <v>0.03</v>
      </c>
      <c r="DB11" s="1782">
        <f>'Assumptions MH'!$T7</f>
        <v>0.03</v>
      </c>
      <c r="DC11" s="1782">
        <f>'Assumptions MH'!$T7</f>
        <v>0.03</v>
      </c>
      <c r="DD11" s="1782">
        <f>'Assumptions MH'!$T7</f>
        <v>0.03</v>
      </c>
      <c r="DE11" s="1782">
        <f>'Assumptions MH'!$T7</f>
        <v>0.03</v>
      </c>
      <c r="DF11" s="1782">
        <f>'Assumptions MH'!$T7</f>
        <v>0.03</v>
      </c>
      <c r="DG11" s="1782">
        <f>'Assumptions MH'!$T7</f>
        <v>0.03</v>
      </c>
      <c r="DH11" s="1782">
        <f>'Assumptions MH'!$T7</f>
        <v>0.03</v>
      </c>
      <c r="DI11" s="1782">
        <f>'Assumptions MH'!$T7</f>
        <v>0.03</v>
      </c>
      <c r="DJ11" s="1782">
        <f>'Assumptions MH'!$T7</f>
        <v>0.03</v>
      </c>
      <c r="DK11" s="1782">
        <f>'Assumptions MH'!$T7</f>
        <v>0.03</v>
      </c>
      <c r="DL11" s="1782">
        <f>'Assumptions MH'!$T7</f>
        <v>0.03</v>
      </c>
      <c r="DM11" s="1782">
        <f>'Assumptions MH'!$T7</f>
        <v>0.03</v>
      </c>
      <c r="DN11" s="1782">
        <f>'Assumptions MH'!$T7</f>
        <v>0.03</v>
      </c>
      <c r="DO11" s="1782">
        <f>'Assumptions MH'!$T7</f>
        <v>0.03</v>
      </c>
      <c r="DP11" s="1782">
        <f>'Assumptions MH'!$T7</f>
        <v>0.03</v>
      </c>
      <c r="DQ11" s="1782">
        <f>'Assumptions MH'!$T7</f>
        <v>0.03</v>
      </c>
      <c r="DR11" s="1782">
        <f>'Assumptions MH'!$T7</f>
        <v>0.03</v>
      </c>
      <c r="DS11" s="1782">
        <f>'Assumptions MH'!$T7</f>
        <v>0.03</v>
      </c>
      <c r="DT11" s="1485" t="s">
        <v>65</v>
      </c>
    </row>
    <row r="12" spans="1:124" outlineLevel="1">
      <c r="B12" s="1724" t="s">
        <v>953</v>
      </c>
      <c r="D12" s="1782">
        <f>'Assumptions MH'!$T8</f>
        <v>0.03</v>
      </c>
      <c r="E12" s="1782">
        <f>'Assumptions MH'!$T8</f>
        <v>0.03</v>
      </c>
      <c r="F12" s="1782">
        <f>'Assumptions MH'!$T8</f>
        <v>0.03</v>
      </c>
      <c r="G12" s="1782">
        <f>'Assumptions MH'!$T8</f>
        <v>0.03</v>
      </c>
      <c r="H12" s="1782">
        <f>'Assumptions MH'!$T8</f>
        <v>0.03</v>
      </c>
      <c r="I12" s="1782">
        <f>'Assumptions MH'!$T8</f>
        <v>0.03</v>
      </c>
      <c r="J12" s="1782">
        <f>'Assumptions MH'!$T8</f>
        <v>0.03</v>
      </c>
      <c r="K12" s="1782">
        <f>'Assumptions MH'!$T8</f>
        <v>0.03</v>
      </c>
      <c r="L12" s="1782">
        <f>'Assumptions MH'!$T8</f>
        <v>0.03</v>
      </c>
      <c r="M12" s="1782">
        <f>'Assumptions MH'!$T8</f>
        <v>0.03</v>
      </c>
      <c r="N12" s="1782">
        <f>'Assumptions MH'!$T8</f>
        <v>0.03</v>
      </c>
      <c r="O12" s="1782">
        <f>'Assumptions MH'!$T8</f>
        <v>0.03</v>
      </c>
      <c r="P12" s="1782">
        <f>'Assumptions MH'!$T8</f>
        <v>0.03</v>
      </c>
      <c r="Q12" s="1782">
        <f>'Assumptions MH'!$T8</f>
        <v>0.03</v>
      </c>
      <c r="R12" s="1782">
        <f>'Assumptions MH'!$T8</f>
        <v>0.03</v>
      </c>
      <c r="S12" s="1782">
        <f>'Assumptions MH'!$T8</f>
        <v>0.03</v>
      </c>
      <c r="T12" s="1782">
        <f>'Assumptions MH'!$T8</f>
        <v>0.03</v>
      </c>
      <c r="U12" s="1782">
        <f>'Assumptions MH'!$T8</f>
        <v>0.03</v>
      </c>
      <c r="V12" s="1782">
        <f>'Assumptions MH'!$T8</f>
        <v>0.03</v>
      </c>
      <c r="W12" s="1782">
        <f>'Assumptions MH'!$T8</f>
        <v>0.03</v>
      </c>
      <c r="X12" s="1782">
        <f>'Assumptions MH'!$T8</f>
        <v>0.03</v>
      </c>
      <c r="Y12" s="1782">
        <f>'Assumptions MH'!$T8</f>
        <v>0.03</v>
      </c>
      <c r="Z12" s="1782">
        <f>'Assumptions MH'!$T8</f>
        <v>0.03</v>
      </c>
      <c r="AA12" s="1782">
        <f>'Assumptions MH'!$T8</f>
        <v>0.03</v>
      </c>
      <c r="AB12" s="1782">
        <f>'Assumptions MH'!$T8</f>
        <v>0.03</v>
      </c>
      <c r="AC12" s="1782">
        <f>'Assumptions MH'!$T8</f>
        <v>0.03</v>
      </c>
      <c r="AD12" s="1782">
        <f>'Assumptions MH'!$T8</f>
        <v>0.03</v>
      </c>
      <c r="AE12" s="1782">
        <f>'Assumptions MH'!$T8</f>
        <v>0.03</v>
      </c>
      <c r="AF12" s="1782">
        <f>'Assumptions MH'!$T8</f>
        <v>0.03</v>
      </c>
      <c r="AG12" s="1782">
        <f>'Assumptions MH'!$T8</f>
        <v>0.03</v>
      </c>
      <c r="AH12" s="1782">
        <f>'Assumptions MH'!$T8</f>
        <v>0.03</v>
      </c>
      <c r="AI12" s="1782">
        <f>'Assumptions MH'!$T8</f>
        <v>0.03</v>
      </c>
      <c r="AJ12" s="1782">
        <f>'Assumptions MH'!$T8</f>
        <v>0.03</v>
      </c>
      <c r="AK12" s="1782">
        <f>'Assumptions MH'!$T8</f>
        <v>0.03</v>
      </c>
      <c r="AL12" s="1782">
        <f>'Assumptions MH'!$T8</f>
        <v>0.03</v>
      </c>
      <c r="AM12" s="1782">
        <f>'Assumptions MH'!$T8</f>
        <v>0.03</v>
      </c>
      <c r="AN12" s="1782">
        <f>'Assumptions MH'!$T8</f>
        <v>0.03</v>
      </c>
      <c r="AO12" s="1782">
        <f>'Assumptions MH'!$T8</f>
        <v>0.03</v>
      </c>
      <c r="AP12" s="1782">
        <f>'Assumptions MH'!$T8</f>
        <v>0.03</v>
      </c>
      <c r="AQ12" s="1782">
        <f>'Assumptions MH'!$T8</f>
        <v>0.03</v>
      </c>
      <c r="AR12" s="1782">
        <f>'Assumptions MH'!$T8</f>
        <v>0.03</v>
      </c>
      <c r="AS12" s="1782">
        <f>'Assumptions MH'!$T8</f>
        <v>0.03</v>
      </c>
      <c r="AT12" s="1782">
        <f>'Assumptions MH'!$T8</f>
        <v>0.03</v>
      </c>
      <c r="AU12" s="1782">
        <f>'Assumptions MH'!$T8</f>
        <v>0.03</v>
      </c>
      <c r="AV12" s="1782">
        <f>'Assumptions MH'!$T8</f>
        <v>0.03</v>
      </c>
      <c r="AW12" s="1782">
        <f>'Assumptions MH'!$T8</f>
        <v>0.03</v>
      </c>
      <c r="AX12" s="1782">
        <f>'Assumptions MH'!$T8</f>
        <v>0.03</v>
      </c>
      <c r="AY12" s="1782">
        <f>'Assumptions MH'!$T8</f>
        <v>0.03</v>
      </c>
      <c r="AZ12" s="1782">
        <f>'Assumptions MH'!$T8</f>
        <v>0.03</v>
      </c>
      <c r="BA12" s="1782">
        <f>'Assumptions MH'!$T8</f>
        <v>0.03</v>
      </c>
      <c r="BB12" s="1782">
        <f>'Assumptions MH'!$T8</f>
        <v>0.03</v>
      </c>
      <c r="BC12" s="1782">
        <f>'Assumptions MH'!$T8</f>
        <v>0.03</v>
      </c>
      <c r="BD12" s="1782">
        <f>'Assumptions MH'!$T8</f>
        <v>0.03</v>
      </c>
      <c r="BE12" s="1782">
        <f>'Assumptions MH'!$T8</f>
        <v>0.03</v>
      </c>
      <c r="BF12" s="1782">
        <f>'Assumptions MH'!$T8</f>
        <v>0.03</v>
      </c>
      <c r="BG12" s="1782">
        <f>'Assumptions MH'!$T8</f>
        <v>0.03</v>
      </c>
      <c r="BH12" s="1782">
        <f>'Assumptions MH'!$T8</f>
        <v>0.03</v>
      </c>
      <c r="BI12" s="1782">
        <f>'Assumptions MH'!$T8</f>
        <v>0.03</v>
      </c>
      <c r="BJ12" s="1782">
        <f>'Assumptions MH'!$T8</f>
        <v>0.03</v>
      </c>
      <c r="BK12" s="1782">
        <f>'Assumptions MH'!$T8</f>
        <v>0.03</v>
      </c>
      <c r="BL12" s="1782">
        <f>'Assumptions MH'!$T8</f>
        <v>0.03</v>
      </c>
      <c r="BM12" s="1782">
        <f>'Assumptions MH'!$T8</f>
        <v>0.03</v>
      </c>
      <c r="BN12" s="1782">
        <f>'Assumptions MH'!$T8</f>
        <v>0.03</v>
      </c>
      <c r="BO12" s="1782">
        <f>'Assumptions MH'!$T8</f>
        <v>0.03</v>
      </c>
      <c r="BP12" s="1782">
        <f>'Assumptions MH'!$T8</f>
        <v>0.03</v>
      </c>
      <c r="BQ12" s="1782">
        <f>'Assumptions MH'!$T8</f>
        <v>0.03</v>
      </c>
      <c r="BR12" s="1782">
        <f>'Assumptions MH'!$T8</f>
        <v>0.03</v>
      </c>
      <c r="BS12" s="1782">
        <f>'Assumptions MH'!$T8</f>
        <v>0.03</v>
      </c>
      <c r="BT12" s="1782">
        <f>'Assumptions MH'!$T8</f>
        <v>0.03</v>
      </c>
      <c r="BU12" s="1782">
        <f>'Assumptions MH'!$T8</f>
        <v>0.03</v>
      </c>
      <c r="BV12" s="1782">
        <f>'Assumptions MH'!$T8</f>
        <v>0.03</v>
      </c>
      <c r="BW12" s="1782">
        <f>'Assumptions MH'!$T8</f>
        <v>0.03</v>
      </c>
      <c r="BX12" s="1782">
        <f>'Assumptions MH'!$T8</f>
        <v>0.03</v>
      </c>
      <c r="BY12" s="1782">
        <f>'Assumptions MH'!$T8</f>
        <v>0.03</v>
      </c>
      <c r="BZ12" s="1782">
        <f>'Assumptions MH'!$T8</f>
        <v>0.03</v>
      </c>
      <c r="CA12" s="1782">
        <f>'Assumptions MH'!$T8</f>
        <v>0.03</v>
      </c>
      <c r="CB12" s="1782">
        <f>'Assumptions MH'!$T8</f>
        <v>0.03</v>
      </c>
      <c r="CC12" s="1782">
        <f>'Assumptions MH'!$T8</f>
        <v>0.03</v>
      </c>
      <c r="CD12" s="1782">
        <f>'Assumptions MH'!$T8</f>
        <v>0.03</v>
      </c>
      <c r="CE12" s="1782">
        <f>'Assumptions MH'!$T8</f>
        <v>0.03</v>
      </c>
      <c r="CF12" s="1782">
        <f>'Assumptions MH'!$T8</f>
        <v>0.03</v>
      </c>
      <c r="CG12" s="1782">
        <f>'Assumptions MH'!$T8</f>
        <v>0.03</v>
      </c>
      <c r="CH12" s="1782">
        <f>'Assumptions MH'!$T8</f>
        <v>0.03</v>
      </c>
      <c r="CI12" s="1782">
        <f>'Assumptions MH'!$T8</f>
        <v>0.03</v>
      </c>
      <c r="CJ12" s="1782">
        <f>'Assumptions MH'!$T8</f>
        <v>0.03</v>
      </c>
      <c r="CK12" s="1782">
        <f>'Assumptions MH'!$T8</f>
        <v>0.03</v>
      </c>
      <c r="CL12" s="1782">
        <f>'Assumptions MH'!$T8</f>
        <v>0.03</v>
      </c>
      <c r="CM12" s="1782">
        <f>'Assumptions MH'!$T8</f>
        <v>0.03</v>
      </c>
      <c r="CN12" s="1782">
        <f>'Assumptions MH'!$T8</f>
        <v>0.03</v>
      </c>
      <c r="CO12" s="1782">
        <f>'Assumptions MH'!$T8</f>
        <v>0.03</v>
      </c>
      <c r="CP12" s="1782">
        <f>'Assumptions MH'!$T8</f>
        <v>0.03</v>
      </c>
      <c r="CQ12" s="1782">
        <f>'Assumptions MH'!$T8</f>
        <v>0.03</v>
      </c>
      <c r="CR12" s="1782">
        <f>'Assumptions MH'!$T8</f>
        <v>0.03</v>
      </c>
      <c r="CS12" s="1782">
        <f>'Assumptions MH'!$T8</f>
        <v>0.03</v>
      </c>
      <c r="CT12" s="1782">
        <f>'Assumptions MH'!$T8</f>
        <v>0.03</v>
      </c>
      <c r="CU12" s="1782">
        <f>'Assumptions MH'!$T8</f>
        <v>0.03</v>
      </c>
      <c r="CV12" s="1782">
        <f>'Assumptions MH'!$T8</f>
        <v>0.03</v>
      </c>
      <c r="CW12" s="1782">
        <f>'Assumptions MH'!$T8</f>
        <v>0.03</v>
      </c>
      <c r="CX12" s="1782">
        <f>'Assumptions MH'!$T8</f>
        <v>0.03</v>
      </c>
      <c r="CY12" s="1782">
        <f>'Assumptions MH'!$T8</f>
        <v>0.03</v>
      </c>
      <c r="CZ12" s="1782">
        <f>'Assumptions MH'!$T8</f>
        <v>0.03</v>
      </c>
      <c r="DA12" s="1782">
        <f>'Assumptions MH'!$T8</f>
        <v>0.03</v>
      </c>
      <c r="DB12" s="1782">
        <f>'Assumptions MH'!$T8</f>
        <v>0.03</v>
      </c>
      <c r="DC12" s="1782">
        <f>'Assumptions MH'!$T8</f>
        <v>0.03</v>
      </c>
      <c r="DD12" s="1782">
        <f>'Assumptions MH'!$T8</f>
        <v>0.03</v>
      </c>
      <c r="DE12" s="1782">
        <f>'Assumptions MH'!$T8</f>
        <v>0.03</v>
      </c>
      <c r="DF12" s="1782">
        <f>'Assumptions MH'!$T8</f>
        <v>0.03</v>
      </c>
      <c r="DG12" s="1782">
        <f>'Assumptions MH'!$T8</f>
        <v>0.03</v>
      </c>
      <c r="DH12" s="1782">
        <f>'Assumptions MH'!$T8</f>
        <v>0.03</v>
      </c>
      <c r="DI12" s="1782">
        <f>'Assumptions MH'!$T8</f>
        <v>0.03</v>
      </c>
      <c r="DJ12" s="1782">
        <f>'Assumptions MH'!$T8</f>
        <v>0.03</v>
      </c>
      <c r="DK12" s="1782">
        <f>'Assumptions MH'!$T8</f>
        <v>0.03</v>
      </c>
      <c r="DL12" s="1782">
        <f>'Assumptions MH'!$T8</f>
        <v>0.03</v>
      </c>
      <c r="DM12" s="1782">
        <f>'Assumptions MH'!$T8</f>
        <v>0.03</v>
      </c>
      <c r="DN12" s="1782">
        <f>'Assumptions MH'!$T8</f>
        <v>0.03</v>
      </c>
      <c r="DO12" s="1782">
        <f>'Assumptions MH'!$T8</f>
        <v>0.03</v>
      </c>
      <c r="DP12" s="1782">
        <f>'Assumptions MH'!$T8</f>
        <v>0.03</v>
      </c>
      <c r="DQ12" s="1782">
        <f>'Assumptions MH'!$T8</f>
        <v>0.03</v>
      </c>
      <c r="DR12" s="1782">
        <f>'Assumptions MH'!$T8</f>
        <v>0.03</v>
      </c>
      <c r="DS12" s="1782">
        <f>'Assumptions MH'!$T8</f>
        <v>0.03</v>
      </c>
      <c r="DT12" s="1485" t="s">
        <v>65</v>
      </c>
    </row>
    <row r="13" spans="1:124" outlineLevel="1">
      <c r="B13" s="1724" t="s">
        <v>956</v>
      </c>
      <c r="D13" s="1782">
        <f>'Assumptions MH'!$T9</f>
        <v>0.03</v>
      </c>
      <c r="E13" s="1782">
        <f>'Assumptions MH'!$T9</f>
        <v>0.03</v>
      </c>
      <c r="F13" s="1782">
        <f>'Assumptions MH'!$T9</f>
        <v>0.03</v>
      </c>
      <c r="G13" s="1782">
        <f>'Assumptions MH'!$T9</f>
        <v>0.03</v>
      </c>
      <c r="H13" s="1782">
        <f>'Assumptions MH'!$T9</f>
        <v>0.03</v>
      </c>
      <c r="I13" s="1782">
        <f>'Assumptions MH'!$T9</f>
        <v>0.03</v>
      </c>
      <c r="J13" s="1782">
        <f>'Assumptions MH'!$T9</f>
        <v>0.03</v>
      </c>
      <c r="K13" s="1782">
        <f>'Assumptions MH'!$T9</f>
        <v>0.03</v>
      </c>
      <c r="L13" s="1782">
        <f>'Assumptions MH'!$T9</f>
        <v>0.03</v>
      </c>
      <c r="M13" s="1782">
        <f>'Assumptions MH'!$T9</f>
        <v>0.03</v>
      </c>
      <c r="N13" s="1782">
        <f>'Assumptions MH'!$T9</f>
        <v>0.03</v>
      </c>
      <c r="O13" s="1782">
        <f>'Assumptions MH'!$T9</f>
        <v>0.03</v>
      </c>
      <c r="P13" s="1782">
        <f>'Assumptions MH'!$T9</f>
        <v>0.03</v>
      </c>
      <c r="Q13" s="1782">
        <f>'Assumptions MH'!$T9</f>
        <v>0.03</v>
      </c>
      <c r="R13" s="1782">
        <f>'Assumptions MH'!$T9</f>
        <v>0.03</v>
      </c>
      <c r="S13" s="1782">
        <f>'Assumptions MH'!$T9</f>
        <v>0.03</v>
      </c>
      <c r="T13" s="1782">
        <f>'Assumptions MH'!$T9</f>
        <v>0.03</v>
      </c>
      <c r="U13" s="1782">
        <f>'Assumptions MH'!$T9</f>
        <v>0.03</v>
      </c>
      <c r="V13" s="1782">
        <f>'Assumptions MH'!$T9</f>
        <v>0.03</v>
      </c>
      <c r="W13" s="1782">
        <f>'Assumptions MH'!$T9</f>
        <v>0.03</v>
      </c>
      <c r="X13" s="1782">
        <f>'Assumptions MH'!$T9</f>
        <v>0.03</v>
      </c>
      <c r="Y13" s="1782">
        <f>'Assumptions MH'!$T9</f>
        <v>0.03</v>
      </c>
      <c r="Z13" s="1782">
        <f>'Assumptions MH'!$T9</f>
        <v>0.03</v>
      </c>
      <c r="AA13" s="1782">
        <f>'Assumptions MH'!$T9</f>
        <v>0.03</v>
      </c>
      <c r="AB13" s="1782">
        <f>'Assumptions MH'!$T9</f>
        <v>0.03</v>
      </c>
      <c r="AC13" s="1782">
        <f>'Assumptions MH'!$T9</f>
        <v>0.03</v>
      </c>
      <c r="AD13" s="1782">
        <f>'Assumptions MH'!$T9</f>
        <v>0.03</v>
      </c>
      <c r="AE13" s="1782">
        <f>'Assumptions MH'!$T9</f>
        <v>0.03</v>
      </c>
      <c r="AF13" s="1782">
        <f>'Assumptions MH'!$T9</f>
        <v>0.03</v>
      </c>
      <c r="AG13" s="1782">
        <f>'Assumptions MH'!$T9</f>
        <v>0.03</v>
      </c>
      <c r="AH13" s="1782">
        <f>'Assumptions MH'!$T9</f>
        <v>0.03</v>
      </c>
      <c r="AI13" s="1782">
        <f>'Assumptions MH'!$T9</f>
        <v>0.03</v>
      </c>
      <c r="AJ13" s="1782">
        <f>'Assumptions MH'!$T9</f>
        <v>0.03</v>
      </c>
      <c r="AK13" s="1782">
        <f>'Assumptions MH'!$T9</f>
        <v>0.03</v>
      </c>
      <c r="AL13" s="1782">
        <f>'Assumptions MH'!$T9</f>
        <v>0.03</v>
      </c>
      <c r="AM13" s="1782">
        <f>'Assumptions MH'!$T9</f>
        <v>0.03</v>
      </c>
      <c r="AN13" s="1782">
        <f>'Assumptions MH'!$T9</f>
        <v>0.03</v>
      </c>
      <c r="AO13" s="1782">
        <f>'Assumptions MH'!$T9</f>
        <v>0.03</v>
      </c>
      <c r="AP13" s="1782">
        <f>'Assumptions MH'!$T9</f>
        <v>0.03</v>
      </c>
      <c r="AQ13" s="1782">
        <f>'Assumptions MH'!$T9</f>
        <v>0.03</v>
      </c>
      <c r="AR13" s="1782">
        <f>'Assumptions MH'!$T9</f>
        <v>0.03</v>
      </c>
      <c r="AS13" s="1782">
        <f>'Assumptions MH'!$T9</f>
        <v>0.03</v>
      </c>
      <c r="AT13" s="1782">
        <f>'Assumptions MH'!$T9</f>
        <v>0.03</v>
      </c>
      <c r="AU13" s="1782">
        <f>'Assumptions MH'!$T9</f>
        <v>0.03</v>
      </c>
      <c r="AV13" s="1782">
        <f>'Assumptions MH'!$T9</f>
        <v>0.03</v>
      </c>
      <c r="AW13" s="1782">
        <f>'Assumptions MH'!$T9</f>
        <v>0.03</v>
      </c>
      <c r="AX13" s="1782">
        <f>'Assumptions MH'!$T9</f>
        <v>0.03</v>
      </c>
      <c r="AY13" s="1782">
        <f>'Assumptions MH'!$T9</f>
        <v>0.03</v>
      </c>
      <c r="AZ13" s="1782">
        <f>'Assumptions MH'!$T9</f>
        <v>0.03</v>
      </c>
      <c r="BA13" s="1782">
        <f>'Assumptions MH'!$T9</f>
        <v>0.03</v>
      </c>
      <c r="BB13" s="1782">
        <f>'Assumptions MH'!$T9</f>
        <v>0.03</v>
      </c>
      <c r="BC13" s="1782">
        <f>'Assumptions MH'!$T9</f>
        <v>0.03</v>
      </c>
      <c r="BD13" s="1782">
        <f>'Assumptions MH'!$T9</f>
        <v>0.03</v>
      </c>
      <c r="BE13" s="1782">
        <f>'Assumptions MH'!$T9</f>
        <v>0.03</v>
      </c>
      <c r="BF13" s="1782">
        <f>'Assumptions MH'!$T9</f>
        <v>0.03</v>
      </c>
      <c r="BG13" s="1782">
        <f>'Assumptions MH'!$T9</f>
        <v>0.03</v>
      </c>
      <c r="BH13" s="1782">
        <f>'Assumptions MH'!$T9</f>
        <v>0.03</v>
      </c>
      <c r="BI13" s="1782">
        <f>'Assumptions MH'!$T9</f>
        <v>0.03</v>
      </c>
      <c r="BJ13" s="1782">
        <f>'Assumptions MH'!$T9</f>
        <v>0.03</v>
      </c>
      <c r="BK13" s="1782">
        <f>'Assumptions MH'!$T9</f>
        <v>0.03</v>
      </c>
      <c r="BL13" s="1782">
        <f>'Assumptions MH'!$T9</f>
        <v>0.03</v>
      </c>
      <c r="BM13" s="1782">
        <f>'Assumptions MH'!$T9</f>
        <v>0.03</v>
      </c>
      <c r="BN13" s="1782">
        <f>'Assumptions MH'!$T9</f>
        <v>0.03</v>
      </c>
      <c r="BO13" s="1782">
        <f>'Assumptions MH'!$T9</f>
        <v>0.03</v>
      </c>
      <c r="BP13" s="1782">
        <f>'Assumptions MH'!$T9</f>
        <v>0.03</v>
      </c>
      <c r="BQ13" s="1782">
        <f>'Assumptions MH'!$T9</f>
        <v>0.03</v>
      </c>
      <c r="BR13" s="1782">
        <f>'Assumptions MH'!$T9</f>
        <v>0.03</v>
      </c>
      <c r="BS13" s="1782">
        <f>'Assumptions MH'!$T9</f>
        <v>0.03</v>
      </c>
      <c r="BT13" s="1782">
        <f>'Assumptions MH'!$T9</f>
        <v>0.03</v>
      </c>
      <c r="BU13" s="1782">
        <f>'Assumptions MH'!$T9</f>
        <v>0.03</v>
      </c>
      <c r="BV13" s="1782">
        <f>'Assumptions MH'!$T9</f>
        <v>0.03</v>
      </c>
      <c r="BW13" s="1782">
        <f>'Assumptions MH'!$T9</f>
        <v>0.03</v>
      </c>
      <c r="BX13" s="1782">
        <f>'Assumptions MH'!$T9</f>
        <v>0.03</v>
      </c>
      <c r="BY13" s="1782">
        <f>'Assumptions MH'!$T9</f>
        <v>0.03</v>
      </c>
      <c r="BZ13" s="1782">
        <f>'Assumptions MH'!$T9</f>
        <v>0.03</v>
      </c>
      <c r="CA13" s="1782">
        <f>'Assumptions MH'!$T9</f>
        <v>0.03</v>
      </c>
      <c r="CB13" s="1782">
        <f>'Assumptions MH'!$T9</f>
        <v>0.03</v>
      </c>
      <c r="CC13" s="1782">
        <f>'Assumptions MH'!$T9</f>
        <v>0.03</v>
      </c>
      <c r="CD13" s="1782">
        <f>'Assumptions MH'!$T9</f>
        <v>0.03</v>
      </c>
      <c r="CE13" s="1782">
        <f>'Assumptions MH'!$T9</f>
        <v>0.03</v>
      </c>
      <c r="CF13" s="1782">
        <f>'Assumptions MH'!$T9</f>
        <v>0.03</v>
      </c>
      <c r="CG13" s="1782">
        <f>'Assumptions MH'!$T9</f>
        <v>0.03</v>
      </c>
      <c r="CH13" s="1782">
        <f>'Assumptions MH'!$T9</f>
        <v>0.03</v>
      </c>
      <c r="CI13" s="1782">
        <f>'Assumptions MH'!$T9</f>
        <v>0.03</v>
      </c>
      <c r="CJ13" s="1782">
        <f>'Assumptions MH'!$T9</f>
        <v>0.03</v>
      </c>
      <c r="CK13" s="1782">
        <f>'Assumptions MH'!$T9</f>
        <v>0.03</v>
      </c>
      <c r="CL13" s="1782">
        <f>'Assumptions MH'!$T9</f>
        <v>0.03</v>
      </c>
      <c r="CM13" s="1782">
        <f>'Assumptions MH'!$T9</f>
        <v>0.03</v>
      </c>
      <c r="CN13" s="1782">
        <f>'Assumptions MH'!$T9</f>
        <v>0.03</v>
      </c>
      <c r="CO13" s="1782">
        <f>'Assumptions MH'!$T9</f>
        <v>0.03</v>
      </c>
      <c r="CP13" s="1782">
        <f>'Assumptions MH'!$T9</f>
        <v>0.03</v>
      </c>
      <c r="CQ13" s="1782">
        <f>'Assumptions MH'!$T9</f>
        <v>0.03</v>
      </c>
      <c r="CR13" s="1782">
        <f>'Assumptions MH'!$T9</f>
        <v>0.03</v>
      </c>
      <c r="CS13" s="1782">
        <f>'Assumptions MH'!$T9</f>
        <v>0.03</v>
      </c>
      <c r="CT13" s="1782">
        <f>'Assumptions MH'!$T9</f>
        <v>0.03</v>
      </c>
      <c r="CU13" s="1782">
        <f>'Assumptions MH'!$T9</f>
        <v>0.03</v>
      </c>
      <c r="CV13" s="1782">
        <f>'Assumptions MH'!$T9</f>
        <v>0.03</v>
      </c>
      <c r="CW13" s="1782">
        <f>'Assumptions MH'!$T9</f>
        <v>0.03</v>
      </c>
      <c r="CX13" s="1782">
        <f>'Assumptions MH'!$T9</f>
        <v>0.03</v>
      </c>
      <c r="CY13" s="1782">
        <f>'Assumptions MH'!$T9</f>
        <v>0.03</v>
      </c>
      <c r="CZ13" s="1782">
        <f>'Assumptions MH'!$T9</f>
        <v>0.03</v>
      </c>
      <c r="DA13" s="1782">
        <f>'Assumptions MH'!$T9</f>
        <v>0.03</v>
      </c>
      <c r="DB13" s="1782">
        <f>'Assumptions MH'!$T9</f>
        <v>0.03</v>
      </c>
      <c r="DC13" s="1782">
        <f>'Assumptions MH'!$T9</f>
        <v>0.03</v>
      </c>
      <c r="DD13" s="1782">
        <f>'Assumptions MH'!$T9</f>
        <v>0.03</v>
      </c>
      <c r="DE13" s="1782">
        <f>'Assumptions MH'!$T9</f>
        <v>0.03</v>
      </c>
      <c r="DF13" s="1782">
        <f>'Assumptions MH'!$T9</f>
        <v>0.03</v>
      </c>
      <c r="DG13" s="1782">
        <f>'Assumptions MH'!$T9</f>
        <v>0.03</v>
      </c>
      <c r="DH13" s="1782">
        <f>'Assumptions MH'!$T9</f>
        <v>0.03</v>
      </c>
      <c r="DI13" s="1782">
        <f>'Assumptions MH'!$T9</f>
        <v>0.03</v>
      </c>
      <c r="DJ13" s="1782">
        <f>'Assumptions MH'!$T9</f>
        <v>0.03</v>
      </c>
      <c r="DK13" s="1782">
        <f>'Assumptions MH'!$T9</f>
        <v>0.03</v>
      </c>
      <c r="DL13" s="1782">
        <f>'Assumptions MH'!$T9</f>
        <v>0.03</v>
      </c>
      <c r="DM13" s="1782">
        <f>'Assumptions MH'!$T9</f>
        <v>0.03</v>
      </c>
      <c r="DN13" s="1782">
        <f>'Assumptions MH'!$T9</f>
        <v>0.03</v>
      </c>
      <c r="DO13" s="1782">
        <f>'Assumptions MH'!$T9</f>
        <v>0.03</v>
      </c>
      <c r="DP13" s="1782">
        <f>'Assumptions MH'!$T9</f>
        <v>0.03</v>
      </c>
      <c r="DQ13" s="1782">
        <f>'Assumptions MH'!$T9</f>
        <v>0.03</v>
      </c>
      <c r="DR13" s="1782">
        <f>'Assumptions MH'!$T9</f>
        <v>0.03</v>
      </c>
      <c r="DS13" s="1782">
        <f>'Assumptions MH'!$T9</f>
        <v>0.03</v>
      </c>
      <c r="DT13" s="1485" t="s">
        <v>65</v>
      </c>
    </row>
    <row r="14" spans="1:124" outlineLevel="1">
      <c r="B14" s="1724" t="s">
        <v>1114</v>
      </c>
      <c r="D14" s="1782">
        <f>'Assumptions MH'!$Z6</f>
        <v>0.03</v>
      </c>
      <c r="E14" s="1782">
        <f>'Assumptions MH'!$Z6</f>
        <v>0.03</v>
      </c>
      <c r="F14" s="1782">
        <f>'Assumptions MH'!$Z6</f>
        <v>0.03</v>
      </c>
      <c r="G14" s="1782">
        <f>'Assumptions MH'!$Z6</f>
        <v>0.03</v>
      </c>
      <c r="H14" s="1782">
        <f>'Assumptions MH'!$Z6</f>
        <v>0.03</v>
      </c>
      <c r="I14" s="1782">
        <f>'Assumptions MH'!$Z6</f>
        <v>0.03</v>
      </c>
      <c r="J14" s="1782">
        <f>'Assumptions MH'!$Z6</f>
        <v>0.03</v>
      </c>
      <c r="K14" s="1782">
        <f>'Assumptions MH'!$Z6</f>
        <v>0.03</v>
      </c>
      <c r="L14" s="1782">
        <f>'Assumptions MH'!$Z6</f>
        <v>0.03</v>
      </c>
      <c r="M14" s="1782">
        <f>'Assumptions MH'!$Z6</f>
        <v>0.03</v>
      </c>
      <c r="N14" s="1782">
        <f>'Assumptions MH'!$Z6</f>
        <v>0.03</v>
      </c>
      <c r="O14" s="1782">
        <f>'Assumptions MH'!$Z6</f>
        <v>0.03</v>
      </c>
      <c r="P14" s="1782">
        <f>'Assumptions MH'!$Z6</f>
        <v>0.03</v>
      </c>
      <c r="Q14" s="1782">
        <f>'Assumptions MH'!$Z6</f>
        <v>0.03</v>
      </c>
      <c r="R14" s="1782">
        <f>'Assumptions MH'!$Z6</f>
        <v>0.03</v>
      </c>
      <c r="S14" s="1782">
        <f>'Assumptions MH'!$Z6</f>
        <v>0.03</v>
      </c>
      <c r="T14" s="1782">
        <f>'Assumptions MH'!$Z6</f>
        <v>0.03</v>
      </c>
      <c r="U14" s="1782">
        <f>'Assumptions MH'!$Z6</f>
        <v>0.03</v>
      </c>
      <c r="V14" s="1782">
        <f>'Assumptions MH'!$Z6</f>
        <v>0.03</v>
      </c>
      <c r="W14" s="1782">
        <f>'Assumptions MH'!$Z6</f>
        <v>0.03</v>
      </c>
      <c r="X14" s="1782">
        <f>'Assumptions MH'!$Z6</f>
        <v>0.03</v>
      </c>
      <c r="Y14" s="1782">
        <f>'Assumptions MH'!$Z6</f>
        <v>0.03</v>
      </c>
      <c r="Z14" s="1782">
        <f>'Assumptions MH'!$Z6</f>
        <v>0.03</v>
      </c>
      <c r="AA14" s="1782">
        <f>'Assumptions MH'!$Z6</f>
        <v>0.03</v>
      </c>
      <c r="AB14" s="1782">
        <f>'Assumptions MH'!$Z6</f>
        <v>0.03</v>
      </c>
      <c r="AC14" s="1782">
        <f>'Assumptions MH'!$Z6</f>
        <v>0.03</v>
      </c>
      <c r="AD14" s="1782">
        <f>'Assumptions MH'!$Z6</f>
        <v>0.03</v>
      </c>
      <c r="AE14" s="1782">
        <f>'Assumptions MH'!$Z6</f>
        <v>0.03</v>
      </c>
      <c r="AF14" s="1782">
        <f>'Assumptions MH'!$Z6</f>
        <v>0.03</v>
      </c>
      <c r="AG14" s="1782">
        <f>'Assumptions MH'!$Z6</f>
        <v>0.03</v>
      </c>
      <c r="AH14" s="1782">
        <f>'Assumptions MH'!$Z6</f>
        <v>0.03</v>
      </c>
      <c r="AI14" s="1782">
        <f>'Assumptions MH'!$Z6</f>
        <v>0.03</v>
      </c>
      <c r="AJ14" s="1782">
        <f>'Assumptions MH'!$Z6</f>
        <v>0.03</v>
      </c>
      <c r="AK14" s="1782">
        <f>'Assumptions MH'!$Z6</f>
        <v>0.03</v>
      </c>
      <c r="AL14" s="1782">
        <f>'Assumptions MH'!$Z6</f>
        <v>0.03</v>
      </c>
      <c r="AM14" s="1782">
        <f>'Assumptions MH'!$Z6</f>
        <v>0.03</v>
      </c>
      <c r="AN14" s="1782">
        <f>'Assumptions MH'!$Z6</f>
        <v>0.03</v>
      </c>
      <c r="AO14" s="1782">
        <f>'Assumptions MH'!$Z6</f>
        <v>0.03</v>
      </c>
      <c r="AP14" s="1782">
        <f>'Assumptions MH'!$Z6</f>
        <v>0.03</v>
      </c>
      <c r="AQ14" s="1782">
        <f>'Assumptions MH'!$Z6</f>
        <v>0.03</v>
      </c>
      <c r="AR14" s="1782">
        <f>'Assumptions MH'!$Z6</f>
        <v>0.03</v>
      </c>
      <c r="AS14" s="1782">
        <f>'Assumptions MH'!$Z6</f>
        <v>0.03</v>
      </c>
      <c r="AT14" s="1782">
        <f>'Assumptions MH'!$Z6</f>
        <v>0.03</v>
      </c>
      <c r="AU14" s="1782">
        <f>'Assumptions MH'!$Z6</f>
        <v>0.03</v>
      </c>
      <c r="AV14" s="1782">
        <f>'Assumptions MH'!$Z6</f>
        <v>0.03</v>
      </c>
      <c r="AW14" s="1782">
        <f>'Assumptions MH'!$Z6</f>
        <v>0.03</v>
      </c>
      <c r="AX14" s="1782">
        <f>'Assumptions MH'!$Z6</f>
        <v>0.03</v>
      </c>
      <c r="AY14" s="1782">
        <f>'Assumptions MH'!$Z6</f>
        <v>0.03</v>
      </c>
      <c r="AZ14" s="1782">
        <f>'Assumptions MH'!$Z6</f>
        <v>0.03</v>
      </c>
      <c r="BA14" s="1782">
        <f>'Assumptions MH'!$Z6</f>
        <v>0.03</v>
      </c>
      <c r="BB14" s="1782">
        <f>'Assumptions MH'!$Z6</f>
        <v>0.03</v>
      </c>
      <c r="BC14" s="1782">
        <f>'Assumptions MH'!$Z6</f>
        <v>0.03</v>
      </c>
      <c r="BD14" s="1782">
        <f>'Assumptions MH'!$Z6</f>
        <v>0.03</v>
      </c>
      <c r="BE14" s="1782">
        <f>'Assumptions MH'!$Z6</f>
        <v>0.03</v>
      </c>
      <c r="BF14" s="1782">
        <f>'Assumptions MH'!$Z6</f>
        <v>0.03</v>
      </c>
      <c r="BG14" s="1782">
        <f>'Assumptions MH'!$Z6</f>
        <v>0.03</v>
      </c>
      <c r="BH14" s="1782">
        <f>'Assumptions MH'!$Z6</f>
        <v>0.03</v>
      </c>
      <c r="BI14" s="1782">
        <f>'Assumptions MH'!$Z6</f>
        <v>0.03</v>
      </c>
      <c r="BJ14" s="1782">
        <f>'Assumptions MH'!$Z6</f>
        <v>0.03</v>
      </c>
      <c r="BK14" s="1782">
        <f>'Assumptions MH'!$Z6</f>
        <v>0.03</v>
      </c>
      <c r="BL14" s="1782">
        <f>'Assumptions MH'!$Z6</f>
        <v>0.03</v>
      </c>
      <c r="BM14" s="1782">
        <f>'Assumptions MH'!$Z6</f>
        <v>0.03</v>
      </c>
      <c r="BN14" s="1782">
        <f>'Assumptions MH'!$Z6</f>
        <v>0.03</v>
      </c>
      <c r="BO14" s="1782">
        <f>'Assumptions MH'!$Z6</f>
        <v>0.03</v>
      </c>
      <c r="BP14" s="1782">
        <f>'Assumptions MH'!$Z6</f>
        <v>0.03</v>
      </c>
      <c r="BQ14" s="1782">
        <f>'Assumptions MH'!$Z6</f>
        <v>0.03</v>
      </c>
      <c r="BR14" s="1782">
        <f>'Assumptions MH'!$Z6</f>
        <v>0.03</v>
      </c>
      <c r="BS14" s="1782">
        <f>'Assumptions MH'!$Z6</f>
        <v>0.03</v>
      </c>
      <c r="BT14" s="1782">
        <f>'Assumptions MH'!$Z6</f>
        <v>0.03</v>
      </c>
      <c r="BU14" s="1782">
        <f>'Assumptions MH'!$Z6</f>
        <v>0.03</v>
      </c>
      <c r="BV14" s="1782">
        <f>'Assumptions MH'!$Z6</f>
        <v>0.03</v>
      </c>
      <c r="BW14" s="1782">
        <f>'Assumptions MH'!$Z6</f>
        <v>0.03</v>
      </c>
      <c r="BX14" s="1782">
        <f>'Assumptions MH'!$Z6</f>
        <v>0.03</v>
      </c>
      <c r="BY14" s="1782">
        <f>'Assumptions MH'!$Z6</f>
        <v>0.03</v>
      </c>
      <c r="BZ14" s="1782">
        <f>'Assumptions MH'!$Z6</f>
        <v>0.03</v>
      </c>
      <c r="CA14" s="1782">
        <f>'Assumptions MH'!$Z6</f>
        <v>0.03</v>
      </c>
      <c r="CB14" s="1782">
        <f>'Assumptions MH'!$Z6</f>
        <v>0.03</v>
      </c>
      <c r="CC14" s="1782">
        <f>'Assumptions MH'!$Z6</f>
        <v>0.03</v>
      </c>
      <c r="CD14" s="1782">
        <f>'Assumptions MH'!$Z6</f>
        <v>0.03</v>
      </c>
      <c r="CE14" s="1782">
        <f>'Assumptions MH'!$Z6</f>
        <v>0.03</v>
      </c>
      <c r="CF14" s="1782">
        <f>'Assumptions MH'!$Z6</f>
        <v>0.03</v>
      </c>
      <c r="CG14" s="1782">
        <f>'Assumptions MH'!$Z6</f>
        <v>0.03</v>
      </c>
      <c r="CH14" s="1782">
        <f>'Assumptions MH'!$Z6</f>
        <v>0.03</v>
      </c>
      <c r="CI14" s="1782">
        <f>'Assumptions MH'!$Z6</f>
        <v>0.03</v>
      </c>
      <c r="CJ14" s="1782">
        <f>'Assumptions MH'!$Z6</f>
        <v>0.03</v>
      </c>
      <c r="CK14" s="1782">
        <f>'Assumptions MH'!$Z6</f>
        <v>0.03</v>
      </c>
      <c r="CL14" s="1782">
        <f>'Assumptions MH'!$Z6</f>
        <v>0.03</v>
      </c>
      <c r="CM14" s="1782">
        <f>'Assumptions MH'!$Z6</f>
        <v>0.03</v>
      </c>
      <c r="CN14" s="1782">
        <f>'Assumptions MH'!$Z6</f>
        <v>0.03</v>
      </c>
      <c r="CO14" s="1782">
        <f>'Assumptions MH'!$Z6</f>
        <v>0.03</v>
      </c>
      <c r="CP14" s="1782">
        <f>'Assumptions MH'!$Z6</f>
        <v>0.03</v>
      </c>
      <c r="CQ14" s="1782">
        <f>'Assumptions MH'!$Z6</f>
        <v>0.03</v>
      </c>
      <c r="CR14" s="1782">
        <f>'Assumptions MH'!$Z6</f>
        <v>0.03</v>
      </c>
      <c r="CS14" s="1782">
        <f>'Assumptions MH'!$Z6</f>
        <v>0.03</v>
      </c>
      <c r="CT14" s="1782">
        <f>'Assumptions MH'!$Z6</f>
        <v>0.03</v>
      </c>
      <c r="CU14" s="1782">
        <f>'Assumptions MH'!$Z6</f>
        <v>0.03</v>
      </c>
      <c r="CV14" s="1782">
        <f>'Assumptions MH'!$Z6</f>
        <v>0.03</v>
      </c>
      <c r="CW14" s="1782">
        <f>'Assumptions MH'!$Z6</f>
        <v>0.03</v>
      </c>
      <c r="CX14" s="1782">
        <f>'Assumptions MH'!$Z6</f>
        <v>0.03</v>
      </c>
      <c r="CY14" s="1782">
        <f>'Assumptions MH'!$Z6</f>
        <v>0.03</v>
      </c>
      <c r="CZ14" s="1782">
        <f>'Assumptions MH'!$Z6</f>
        <v>0.03</v>
      </c>
      <c r="DA14" s="1782">
        <f>'Assumptions MH'!$Z6</f>
        <v>0.03</v>
      </c>
      <c r="DB14" s="1782">
        <f>'Assumptions MH'!$Z6</f>
        <v>0.03</v>
      </c>
      <c r="DC14" s="1782">
        <f>'Assumptions MH'!$Z6</f>
        <v>0.03</v>
      </c>
      <c r="DD14" s="1782">
        <f>'Assumptions MH'!$Z6</f>
        <v>0.03</v>
      </c>
      <c r="DE14" s="1782">
        <f>'Assumptions MH'!$Z6</f>
        <v>0.03</v>
      </c>
      <c r="DF14" s="1782">
        <f>'Assumptions MH'!$Z6</f>
        <v>0.03</v>
      </c>
      <c r="DG14" s="1782">
        <f>'Assumptions MH'!$Z6</f>
        <v>0.03</v>
      </c>
      <c r="DH14" s="1782">
        <f>'Assumptions MH'!$Z6</f>
        <v>0.03</v>
      </c>
      <c r="DI14" s="1782">
        <f>'Assumptions MH'!$Z6</f>
        <v>0.03</v>
      </c>
      <c r="DJ14" s="1782">
        <f>'Assumptions MH'!$Z6</f>
        <v>0.03</v>
      </c>
      <c r="DK14" s="1782">
        <f>'Assumptions MH'!$Z6</f>
        <v>0.03</v>
      </c>
      <c r="DL14" s="1782">
        <f>'Assumptions MH'!$Z6</f>
        <v>0.03</v>
      </c>
      <c r="DM14" s="1782">
        <f>'Assumptions MH'!$Z6</f>
        <v>0.03</v>
      </c>
      <c r="DN14" s="1782">
        <f>'Assumptions MH'!$Z6</f>
        <v>0.03</v>
      </c>
      <c r="DO14" s="1782">
        <f>'Assumptions MH'!$Z6</f>
        <v>0.03</v>
      </c>
      <c r="DP14" s="1782">
        <f>'Assumptions MH'!$Z6</f>
        <v>0.03</v>
      </c>
      <c r="DQ14" s="1782">
        <f>'Assumptions MH'!$Z6</f>
        <v>0.03</v>
      </c>
      <c r="DR14" s="1782">
        <f>'Assumptions MH'!$Z6</f>
        <v>0.03</v>
      </c>
      <c r="DS14" s="1782">
        <f>'Assumptions MH'!$Z6</f>
        <v>0.03</v>
      </c>
      <c r="DT14" s="1485" t="s">
        <v>65</v>
      </c>
    </row>
    <row r="15" spans="1:124" outlineLevel="1">
      <c r="B15" s="1724" t="s">
        <v>1115</v>
      </c>
      <c r="D15" s="1782">
        <f>INDEX('Assumptions MH'!$T$14:$T$23,MATCH('Cash Flow MH'!D$5,'Assumptions MH'!$S$14:$S$23,))</f>
        <v>0.03</v>
      </c>
      <c r="E15" s="1782">
        <f>INDEX('Assumptions MH'!$T$14:$T$23,MATCH('Cash Flow MH'!E$5,'Assumptions MH'!$S$14:$S$23,))</f>
        <v>0.03</v>
      </c>
      <c r="F15" s="1782">
        <f>INDEX('Assumptions MH'!$T$14:$T$23,MATCH('Cash Flow MH'!F$5,'Assumptions MH'!$S$14:$S$23,))</f>
        <v>0.03</v>
      </c>
      <c r="G15" s="1782">
        <f>INDEX('Assumptions MH'!$T$14:$T$23,MATCH('Cash Flow MH'!G$5,'Assumptions MH'!$S$14:$S$23,))</f>
        <v>0.03</v>
      </c>
      <c r="H15" s="1782">
        <f>INDEX('Assumptions MH'!$T$14:$T$23,MATCH('Cash Flow MH'!H$5,'Assumptions MH'!$S$14:$S$23,))</f>
        <v>0.03</v>
      </c>
      <c r="I15" s="1782">
        <f>INDEX('Assumptions MH'!$T$14:$T$23,MATCH('Cash Flow MH'!I$5,'Assumptions MH'!$S$14:$S$23,))</f>
        <v>0.03</v>
      </c>
      <c r="J15" s="1782">
        <f>INDEX('Assumptions MH'!$T$14:$T$23,MATCH('Cash Flow MH'!J$5,'Assumptions MH'!$S$14:$S$23,))</f>
        <v>0.03</v>
      </c>
      <c r="K15" s="1782">
        <f>INDEX('Assumptions MH'!$T$14:$T$23,MATCH('Cash Flow MH'!K$5,'Assumptions MH'!$S$14:$S$23,))</f>
        <v>0.03</v>
      </c>
      <c r="L15" s="1782">
        <f>INDEX('Assumptions MH'!$T$14:$T$23,MATCH('Cash Flow MH'!L$5,'Assumptions MH'!$S$14:$S$23,))</f>
        <v>0.03</v>
      </c>
      <c r="M15" s="1782">
        <f>INDEX('Assumptions MH'!$T$14:$T$23,MATCH('Cash Flow MH'!M$5,'Assumptions MH'!$S$14:$S$23,))</f>
        <v>0.03</v>
      </c>
      <c r="N15" s="1782">
        <f>INDEX('Assumptions MH'!$T$14:$T$23,MATCH('Cash Flow MH'!N$5,'Assumptions MH'!$S$14:$S$23,))</f>
        <v>0.03</v>
      </c>
      <c r="O15" s="1782">
        <f>INDEX('Assumptions MH'!$T$14:$T$23,MATCH('Cash Flow MH'!O$5,'Assumptions MH'!$S$14:$S$23,))</f>
        <v>0.03</v>
      </c>
      <c r="P15" s="1782">
        <f>INDEX('Assumptions MH'!$T$14:$T$23,MATCH('Cash Flow MH'!P$5,'Assumptions MH'!$S$14:$S$23,))</f>
        <v>0.03</v>
      </c>
      <c r="Q15" s="1782">
        <f>INDEX('Assumptions MH'!$T$14:$T$23,MATCH('Cash Flow MH'!Q$5,'Assumptions MH'!$S$14:$S$23,))</f>
        <v>0.03</v>
      </c>
      <c r="R15" s="1782">
        <f>INDEX('Assumptions MH'!$T$14:$T$23,MATCH('Cash Flow MH'!R$5,'Assumptions MH'!$S$14:$S$23,))</f>
        <v>0.03</v>
      </c>
      <c r="S15" s="1782">
        <f>INDEX('Assumptions MH'!$T$14:$T$23,MATCH('Cash Flow MH'!S$5,'Assumptions MH'!$S$14:$S$23,))</f>
        <v>0.03</v>
      </c>
      <c r="T15" s="1782">
        <f>INDEX('Assumptions MH'!$T$14:$T$23,MATCH('Cash Flow MH'!T$5,'Assumptions MH'!$S$14:$S$23,))</f>
        <v>0.03</v>
      </c>
      <c r="U15" s="1782">
        <f>INDEX('Assumptions MH'!$T$14:$T$23,MATCH('Cash Flow MH'!U$5,'Assumptions MH'!$S$14:$S$23,))</f>
        <v>0.03</v>
      </c>
      <c r="V15" s="1782">
        <f>INDEX('Assumptions MH'!$T$14:$T$23,MATCH('Cash Flow MH'!V$5,'Assumptions MH'!$S$14:$S$23,))</f>
        <v>0.03</v>
      </c>
      <c r="W15" s="1782">
        <f>INDEX('Assumptions MH'!$T$14:$T$23,MATCH('Cash Flow MH'!W$5,'Assumptions MH'!$S$14:$S$23,))</f>
        <v>0.03</v>
      </c>
      <c r="X15" s="1782">
        <f>INDEX('Assumptions MH'!$T$14:$T$23,MATCH('Cash Flow MH'!X$5,'Assumptions MH'!$S$14:$S$23,))</f>
        <v>0.03</v>
      </c>
      <c r="Y15" s="1782">
        <f>INDEX('Assumptions MH'!$T$14:$T$23,MATCH('Cash Flow MH'!Y$5,'Assumptions MH'!$S$14:$S$23,))</f>
        <v>0.03</v>
      </c>
      <c r="Z15" s="1782">
        <f>INDEX('Assumptions MH'!$T$14:$T$23,MATCH('Cash Flow MH'!Z$5,'Assumptions MH'!$S$14:$S$23,))</f>
        <v>0.03</v>
      </c>
      <c r="AA15" s="1782">
        <f>INDEX('Assumptions MH'!$T$14:$T$23,MATCH('Cash Flow MH'!AA$5,'Assumptions MH'!$S$14:$S$23,))</f>
        <v>0.03</v>
      </c>
      <c r="AB15" s="1782">
        <f>INDEX('Assumptions MH'!$T$14:$T$23,MATCH('Cash Flow MH'!AB$5,'Assumptions MH'!$S$14:$S$23,))</f>
        <v>0.03</v>
      </c>
      <c r="AC15" s="1782">
        <f>INDEX('Assumptions MH'!$T$14:$T$23,MATCH('Cash Flow MH'!AC$5,'Assumptions MH'!$S$14:$S$23,))</f>
        <v>0.03</v>
      </c>
      <c r="AD15" s="1782">
        <f>INDEX('Assumptions MH'!$T$14:$T$23,MATCH('Cash Flow MH'!AD$5,'Assumptions MH'!$S$14:$S$23,))</f>
        <v>0.03</v>
      </c>
      <c r="AE15" s="1782">
        <f>INDEX('Assumptions MH'!$T$14:$T$23,MATCH('Cash Flow MH'!AE$5,'Assumptions MH'!$S$14:$S$23,))</f>
        <v>0.03</v>
      </c>
      <c r="AF15" s="1782">
        <f>INDEX('Assumptions MH'!$T$14:$T$23,MATCH('Cash Flow MH'!AF$5,'Assumptions MH'!$S$14:$S$23,))</f>
        <v>0.03</v>
      </c>
      <c r="AG15" s="1782">
        <f>INDEX('Assumptions MH'!$T$14:$T$23,MATCH('Cash Flow MH'!AG$5,'Assumptions MH'!$S$14:$S$23,))</f>
        <v>0.03</v>
      </c>
      <c r="AH15" s="1782">
        <f>INDEX('Assumptions MH'!$T$14:$T$23,MATCH('Cash Flow MH'!AH$5,'Assumptions MH'!$S$14:$S$23,))</f>
        <v>0.03</v>
      </c>
      <c r="AI15" s="1782">
        <f>INDEX('Assumptions MH'!$T$14:$T$23,MATCH('Cash Flow MH'!AI$5,'Assumptions MH'!$S$14:$S$23,))</f>
        <v>0.03</v>
      </c>
      <c r="AJ15" s="1782">
        <f>INDEX('Assumptions MH'!$T$14:$T$23,MATCH('Cash Flow MH'!AJ$5,'Assumptions MH'!$S$14:$S$23,))</f>
        <v>0.03</v>
      </c>
      <c r="AK15" s="1782">
        <f>INDEX('Assumptions MH'!$T$14:$T$23,MATCH('Cash Flow MH'!AK$5,'Assumptions MH'!$S$14:$S$23,))</f>
        <v>0.03</v>
      </c>
      <c r="AL15" s="1782">
        <f>INDEX('Assumptions MH'!$T$14:$T$23,MATCH('Cash Flow MH'!AL$5,'Assumptions MH'!$S$14:$S$23,))</f>
        <v>0.03</v>
      </c>
      <c r="AM15" s="1782">
        <f>INDEX('Assumptions MH'!$T$14:$T$23,MATCH('Cash Flow MH'!AM$5,'Assumptions MH'!$S$14:$S$23,))</f>
        <v>0.03</v>
      </c>
      <c r="AN15" s="1782">
        <f>INDEX('Assumptions MH'!$T$14:$T$23,MATCH('Cash Flow MH'!AN$5,'Assumptions MH'!$S$14:$S$23,))</f>
        <v>0.03</v>
      </c>
      <c r="AO15" s="1782">
        <f>INDEX('Assumptions MH'!$T$14:$T$23,MATCH('Cash Flow MH'!AO$5,'Assumptions MH'!$S$14:$S$23,))</f>
        <v>0.03</v>
      </c>
      <c r="AP15" s="1782">
        <f>INDEX('Assumptions MH'!$T$14:$T$23,MATCH('Cash Flow MH'!AP$5,'Assumptions MH'!$S$14:$S$23,))</f>
        <v>0.03</v>
      </c>
      <c r="AQ15" s="1782">
        <f>INDEX('Assumptions MH'!$T$14:$T$23,MATCH('Cash Flow MH'!AQ$5,'Assumptions MH'!$S$14:$S$23,))</f>
        <v>0.03</v>
      </c>
      <c r="AR15" s="1782">
        <f>INDEX('Assumptions MH'!$T$14:$T$23,MATCH('Cash Flow MH'!AR$5,'Assumptions MH'!$S$14:$S$23,))</f>
        <v>0.03</v>
      </c>
      <c r="AS15" s="1782">
        <f>INDEX('Assumptions MH'!$T$14:$T$23,MATCH('Cash Flow MH'!AS$5,'Assumptions MH'!$S$14:$S$23,))</f>
        <v>0.03</v>
      </c>
      <c r="AT15" s="1782">
        <f>INDEX('Assumptions MH'!$T$14:$T$23,MATCH('Cash Flow MH'!AT$5,'Assumptions MH'!$S$14:$S$23,))</f>
        <v>0.03</v>
      </c>
      <c r="AU15" s="1782">
        <f>INDEX('Assumptions MH'!$T$14:$T$23,MATCH('Cash Flow MH'!AU$5,'Assumptions MH'!$S$14:$S$23,))</f>
        <v>0.03</v>
      </c>
      <c r="AV15" s="1782">
        <f>INDEX('Assumptions MH'!$T$14:$T$23,MATCH('Cash Flow MH'!AV$5,'Assumptions MH'!$S$14:$S$23,))</f>
        <v>0.03</v>
      </c>
      <c r="AW15" s="1782">
        <f>INDEX('Assumptions MH'!$T$14:$T$23,MATCH('Cash Flow MH'!AW$5,'Assumptions MH'!$S$14:$S$23,))</f>
        <v>0.03</v>
      </c>
      <c r="AX15" s="1782">
        <f>INDEX('Assumptions MH'!$T$14:$T$23,MATCH('Cash Flow MH'!AX$5,'Assumptions MH'!$S$14:$S$23,))</f>
        <v>0.03</v>
      </c>
      <c r="AY15" s="1782">
        <f>INDEX('Assumptions MH'!$T$14:$T$23,MATCH('Cash Flow MH'!AY$5,'Assumptions MH'!$S$14:$S$23,))</f>
        <v>0.03</v>
      </c>
      <c r="AZ15" s="1782">
        <f>INDEX('Assumptions MH'!$T$14:$T$23,MATCH('Cash Flow MH'!AZ$5,'Assumptions MH'!$S$14:$S$23,))</f>
        <v>0.03</v>
      </c>
      <c r="BA15" s="1782">
        <f>INDEX('Assumptions MH'!$T$14:$T$23,MATCH('Cash Flow MH'!BA$5,'Assumptions MH'!$S$14:$S$23,))</f>
        <v>0.03</v>
      </c>
      <c r="BB15" s="1782">
        <f>INDEX('Assumptions MH'!$T$14:$T$23,MATCH('Cash Flow MH'!BB$5,'Assumptions MH'!$S$14:$S$23,))</f>
        <v>0.03</v>
      </c>
      <c r="BC15" s="1782">
        <f>INDEX('Assumptions MH'!$T$14:$T$23,MATCH('Cash Flow MH'!BC$5,'Assumptions MH'!$S$14:$S$23,))</f>
        <v>0.03</v>
      </c>
      <c r="BD15" s="1782">
        <f>INDEX('Assumptions MH'!$T$14:$T$23,MATCH('Cash Flow MH'!BD$5,'Assumptions MH'!$S$14:$S$23,))</f>
        <v>0.03</v>
      </c>
      <c r="BE15" s="1782">
        <f>INDEX('Assumptions MH'!$T$14:$T$23,MATCH('Cash Flow MH'!BE$5,'Assumptions MH'!$S$14:$S$23,))</f>
        <v>0.03</v>
      </c>
      <c r="BF15" s="1782">
        <f>INDEX('Assumptions MH'!$T$14:$T$23,MATCH('Cash Flow MH'!BF$5,'Assumptions MH'!$S$14:$S$23,))</f>
        <v>0.03</v>
      </c>
      <c r="BG15" s="1782">
        <f>INDEX('Assumptions MH'!$T$14:$T$23,MATCH('Cash Flow MH'!BG$5,'Assumptions MH'!$S$14:$S$23,))</f>
        <v>0.03</v>
      </c>
      <c r="BH15" s="1782">
        <f>INDEX('Assumptions MH'!$T$14:$T$23,MATCH('Cash Flow MH'!BH$5,'Assumptions MH'!$S$14:$S$23,))</f>
        <v>0.03</v>
      </c>
      <c r="BI15" s="1782">
        <f>INDEX('Assumptions MH'!$T$14:$T$23,MATCH('Cash Flow MH'!BI$5,'Assumptions MH'!$S$14:$S$23,))</f>
        <v>0.03</v>
      </c>
      <c r="BJ15" s="1782">
        <f>INDEX('Assumptions MH'!$T$14:$T$23,MATCH('Cash Flow MH'!BJ$5,'Assumptions MH'!$S$14:$S$23,))</f>
        <v>0.03</v>
      </c>
      <c r="BK15" s="1782">
        <f>INDEX('Assumptions MH'!$T$14:$T$23,MATCH('Cash Flow MH'!BK$5,'Assumptions MH'!$S$14:$S$23,))</f>
        <v>0.03</v>
      </c>
      <c r="BL15" s="1782">
        <f>INDEX('Assumptions MH'!$T$14:$T$23,MATCH('Cash Flow MH'!BL$5,'Assumptions MH'!$S$14:$S$23,))</f>
        <v>0.03</v>
      </c>
      <c r="BM15" s="1782">
        <f>INDEX('Assumptions MH'!$T$14:$T$23,MATCH('Cash Flow MH'!BM$5,'Assumptions MH'!$S$14:$S$23,))</f>
        <v>0.03</v>
      </c>
      <c r="BN15" s="1782">
        <f>INDEX('Assumptions MH'!$T$14:$T$23,MATCH('Cash Flow MH'!BN$5,'Assumptions MH'!$S$14:$S$23,))</f>
        <v>0.03</v>
      </c>
      <c r="BO15" s="1782">
        <f>INDEX('Assumptions MH'!$T$14:$T$23,MATCH('Cash Flow MH'!BO$5,'Assumptions MH'!$S$14:$S$23,))</f>
        <v>0.03</v>
      </c>
      <c r="BP15" s="1782">
        <f>INDEX('Assumptions MH'!$T$14:$T$23,MATCH('Cash Flow MH'!BP$5,'Assumptions MH'!$S$14:$S$23,))</f>
        <v>0.03</v>
      </c>
      <c r="BQ15" s="1782">
        <f>INDEX('Assumptions MH'!$T$14:$T$23,MATCH('Cash Flow MH'!BQ$5,'Assumptions MH'!$S$14:$S$23,))</f>
        <v>0.03</v>
      </c>
      <c r="BR15" s="1782">
        <f>INDEX('Assumptions MH'!$T$14:$T$23,MATCH('Cash Flow MH'!BR$5,'Assumptions MH'!$S$14:$S$23,))</f>
        <v>0.03</v>
      </c>
      <c r="BS15" s="1782">
        <f>INDEX('Assumptions MH'!$T$14:$T$23,MATCH('Cash Flow MH'!BS$5,'Assumptions MH'!$S$14:$S$23,))</f>
        <v>0.03</v>
      </c>
      <c r="BT15" s="1782">
        <f>INDEX('Assumptions MH'!$T$14:$T$23,MATCH('Cash Flow MH'!BT$5,'Assumptions MH'!$S$14:$S$23,))</f>
        <v>0.03</v>
      </c>
      <c r="BU15" s="1782">
        <f>INDEX('Assumptions MH'!$T$14:$T$23,MATCH('Cash Flow MH'!BU$5,'Assumptions MH'!$S$14:$S$23,))</f>
        <v>0.03</v>
      </c>
      <c r="BV15" s="1782">
        <f>INDEX('Assumptions MH'!$T$14:$T$23,MATCH('Cash Flow MH'!BV$5,'Assumptions MH'!$S$14:$S$23,))</f>
        <v>0.03</v>
      </c>
      <c r="BW15" s="1782">
        <f>INDEX('Assumptions MH'!$T$14:$T$23,MATCH('Cash Flow MH'!BW$5,'Assumptions MH'!$S$14:$S$23,))</f>
        <v>0.03</v>
      </c>
      <c r="BX15" s="1782">
        <f>INDEX('Assumptions MH'!$T$14:$T$23,MATCH('Cash Flow MH'!BX$5,'Assumptions MH'!$S$14:$S$23,))</f>
        <v>0.03</v>
      </c>
      <c r="BY15" s="1782">
        <f>INDEX('Assumptions MH'!$T$14:$T$23,MATCH('Cash Flow MH'!BY$5,'Assumptions MH'!$S$14:$S$23,))</f>
        <v>0.03</v>
      </c>
      <c r="BZ15" s="1782">
        <f>INDEX('Assumptions MH'!$T$14:$T$23,MATCH('Cash Flow MH'!BZ$5,'Assumptions MH'!$S$14:$S$23,))</f>
        <v>0.03</v>
      </c>
      <c r="CA15" s="1782">
        <f>INDEX('Assumptions MH'!$T$14:$T$23,MATCH('Cash Flow MH'!CA$5,'Assumptions MH'!$S$14:$S$23,))</f>
        <v>0.03</v>
      </c>
      <c r="CB15" s="1782">
        <f>INDEX('Assumptions MH'!$T$14:$T$23,MATCH('Cash Flow MH'!CB$5,'Assumptions MH'!$S$14:$S$23,))</f>
        <v>0.03</v>
      </c>
      <c r="CC15" s="1782">
        <f>INDEX('Assumptions MH'!$T$14:$T$23,MATCH('Cash Flow MH'!CC$5,'Assumptions MH'!$S$14:$S$23,))</f>
        <v>0.03</v>
      </c>
      <c r="CD15" s="1782">
        <f>INDEX('Assumptions MH'!$T$14:$T$23,MATCH('Cash Flow MH'!CD$5,'Assumptions MH'!$S$14:$S$23,))</f>
        <v>0.03</v>
      </c>
      <c r="CE15" s="1782">
        <f>INDEX('Assumptions MH'!$T$14:$T$23,MATCH('Cash Flow MH'!CE$5,'Assumptions MH'!$S$14:$S$23,))</f>
        <v>0.03</v>
      </c>
      <c r="CF15" s="1782">
        <f>INDEX('Assumptions MH'!$T$14:$T$23,MATCH('Cash Flow MH'!CF$5,'Assumptions MH'!$S$14:$S$23,))</f>
        <v>0.03</v>
      </c>
      <c r="CG15" s="1782">
        <f>INDEX('Assumptions MH'!$T$14:$T$23,MATCH('Cash Flow MH'!CG$5,'Assumptions MH'!$S$14:$S$23,))</f>
        <v>0.03</v>
      </c>
      <c r="CH15" s="1782">
        <f>INDEX('Assumptions MH'!$T$14:$T$23,MATCH('Cash Flow MH'!CH$5,'Assumptions MH'!$S$14:$S$23,))</f>
        <v>0.03</v>
      </c>
      <c r="CI15" s="1782">
        <f>INDEX('Assumptions MH'!$T$14:$T$23,MATCH('Cash Flow MH'!CI$5,'Assumptions MH'!$S$14:$S$23,))</f>
        <v>0.03</v>
      </c>
      <c r="CJ15" s="1782">
        <f>INDEX('Assumptions MH'!$T$14:$T$23,MATCH('Cash Flow MH'!CJ$5,'Assumptions MH'!$S$14:$S$23,))</f>
        <v>0.03</v>
      </c>
      <c r="CK15" s="1782">
        <f>INDEX('Assumptions MH'!$T$14:$T$23,MATCH('Cash Flow MH'!CK$5,'Assumptions MH'!$S$14:$S$23,))</f>
        <v>0.03</v>
      </c>
      <c r="CL15" s="1782">
        <f>INDEX('Assumptions MH'!$T$14:$T$23,MATCH('Cash Flow MH'!CL$5,'Assumptions MH'!$S$14:$S$23,))</f>
        <v>0.03</v>
      </c>
      <c r="CM15" s="1782">
        <f>INDEX('Assumptions MH'!$T$14:$T$23,MATCH('Cash Flow MH'!CM$5,'Assumptions MH'!$S$14:$S$23,))</f>
        <v>0.03</v>
      </c>
      <c r="CN15" s="1782">
        <f>INDEX('Assumptions MH'!$T$14:$T$23,MATCH('Cash Flow MH'!CN$5,'Assumptions MH'!$S$14:$S$23,))</f>
        <v>0.03</v>
      </c>
      <c r="CO15" s="1782">
        <f>INDEX('Assumptions MH'!$T$14:$T$23,MATCH('Cash Flow MH'!CO$5,'Assumptions MH'!$S$14:$S$23,))</f>
        <v>0.03</v>
      </c>
      <c r="CP15" s="1782">
        <f>INDEX('Assumptions MH'!$T$14:$T$23,MATCH('Cash Flow MH'!CP$5,'Assumptions MH'!$S$14:$S$23,))</f>
        <v>0.03</v>
      </c>
      <c r="CQ15" s="1782">
        <f>INDEX('Assumptions MH'!$T$14:$T$23,MATCH('Cash Flow MH'!CQ$5,'Assumptions MH'!$S$14:$S$23,))</f>
        <v>0.03</v>
      </c>
      <c r="CR15" s="1782">
        <f>INDEX('Assumptions MH'!$T$14:$T$23,MATCH('Cash Flow MH'!CR$5,'Assumptions MH'!$S$14:$S$23,))</f>
        <v>0.03</v>
      </c>
      <c r="CS15" s="1782">
        <f>INDEX('Assumptions MH'!$T$14:$T$23,MATCH('Cash Flow MH'!CS$5,'Assumptions MH'!$S$14:$S$23,))</f>
        <v>0.03</v>
      </c>
      <c r="CT15" s="1782">
        <f>INDEX('Assumptions MH'!$T$14:$T$23,MATCH('Cash Flow MH'!CT$5,'Assumptions MH'!$S$14:$S$23,))</f>
        <v>0.03</v>
      </c>
      <c r="CU15" s="1782">
        <f>INDEX('Assumptions MH'!$T$14:$T$23,MATCH('Cash Flow MH'!CU$5,'Assumptions MH'!$S$14:$S$23,))</f>
        <v>0.03</v>
      </c>
      <c r="CV15" s="1782">
        <f>INDEX('Assumptions MH'!$T$14:$T$23,MATCH('Cash Flow MH'!CV$5,'Assumptions MH'!$S$14:$S$23,))</f>
        <v>0.03</v>
      </c>
      <c r="CW15" s="1782">
        <f>INDEX('Assumptions MH'!$T$14:$T$23,MATCH('Cash Flow MH'!CW$5,'Assumptions MH'!$S$14:$S$23,))</f>
        <v>0.03</v>
      </c>
      <c r="CX15" s="1782">
        <f>INDEX('Assumptions MH'!$T$14:$T$23,MATCH('Cash Flow MH'!CX$5,'Assumptions MH'!$S$14:$S$23,))</f>
        <v>0.03</v>
      </c>
      <c r="CY15" s="1782">
        <f>INDEX('Assumptions MH'!$T$14:$T$23,MATCH('Cash Flow MH'!CY$5,'Assumptions MH'!$S$14:$S$23,))</f>
        <v>0.03</v>
      </c>
      <c r="CZ15" s="1782">
        <f>INDEX('Assumptions MH'!$T$14:$T$23,MATCH('Cash Flow MH'!CZ$5,'Assumptions MH'!$S$14:$S$23,))</f>
        <v>0.03</v>
      </c>
      <c r="DA15" s="1782">
        <f>INDEX('Assumptions MH'!$T$14:$T$23,MATCH('Cash Flow MH'!DA$5,'Assumptions MH'!$S$14:$S$23,))</f>
        <v>0.03</v>
      </c>
      <c r="DB15" s="1782">
        <f>INDEX('Assumptions MH'!$T$14:$T$23,MATCH('Cash Flow MH'!DB$5,'Assumptions MH'!$S$14:$S$23,))</f>
        <v>0.03</v>
      </c>
      <c r="DC15" s="1782">
        <f>INDEX('Assumptions MH'!$T$14:$T$23,MATCH('Cash Flow MH'!DC$5,'Assumptions MH'!$S$14:$S$23,))</f>
        <v>0.03</v>
      </c>
      <c r="DD15" s="1782">
        <f>INDEX('Assumptions MH'!$T$14:$T$23,MATCH('Cash Flow MH'!DD$5,'Assumptions MH'!$S$14:$S$23,))</f>
        <v>0.03</v>
      </c>
      <c r="DE15" s="1782">
        <f>INDEX('Assumptions MH'!$T$14:$T$23,MATCH('Cash Flow MH'!DE$5,'Assumptions MH'!$S$14:$S$23,))</f>
        <v>0.03</v>
      </c>
      <c r="DF15" s="1782">
        <f>INDEX('Assumptions MH'!$T$14:$T$23,MATCH('Cash Flow MH'!DF$5,'Assumptions MH'!$S$14:$S$23,))</f>
        <v>0.03</v>
      </c>
      <c r="DG15" s="1782">
        <f>INDEX('Assumptions MH'!$T$14:$T$23,MATCH('Cash Flow MH'!DG$5,'Assumptions MH'!$S$14:$S$23,))</f>
        <v>0.03</v>
      </c>
      <c r="DH15" s="1782">
        <f>INDEX('Assumptions MH'!$T$14:$T$23,MATCH('Cash Flow MH'!DH$5,'Assumptions MH'!$S$14:$S$23,))</f>
        <v>0.03</v>
      </c>
      <c r="DI15" s="1782">
        <f>INDEX('Assumptions MH'!$T$14:$T$23,MATCH('Cash Flow MH'!DI$5,'Assumptions MH'!$S$14:$S$23,))</f>
        <v>0.03</v>
      </c>
      <c r="DJ15" s="1782">
        <f>INDEX('Assumptions MH'!$T$14:$T$23,MATCH('Cash Flow MH'!DJ$5,'Assumptions MH'!$S$14:$S$23,))</f>
        <v>0.03</v>
      </c>
      <c r="DK15" s="1782">
        <f>INDEX('Assumptions MH'!$T$14:$T$23,MATCH('Cash Flow MH'!DK$5,'Assumptions MH'!$S$14:$S$23,))</f>
        <v>0.03</v>
      </c>
      <c r="DL15" s="1782">
        <f>INDEX('Assumptions MH'!$T$14:$T$23,MATCH('Cash Flow MH'!DL$5,'Assumptions MH'!$S$14:$S$23,))</f>
        <v>0.03</v>
      </c>
      <c r="DM15" s="1782">
        <f>INDEX('Assumptions MH'!$T$14:$T$23,MATCH('Cash Flow MH'!DM$5,'Assumptions MH'!$S$14:$S$23,))</f>
        <v>0.03</v>
      </c>
      <c r="DN15" s="1782">
        <f>INDEX('Assumptions MH'!$T$14:$T$23,MATCH('Cash Flow MH'!DN$5,'Assumptions MH'!$S$14:$S$23,))</f>
        <v>0.03</v>
      </c>
      <c r="DO15" s="1782">
        <f>INDEX('Assumptions MH'!$T$14:$T$23,MATCH('Cash Flow MH'!DO$5,'Assumptions MH'!$S$14:$S$23,))</f>
        <v>0.03</v>
      </c>
      <c r="DP15" s="1782">
        <f>INDEX('Assumptions MH'!$T$14:$T$23,MATCH('Cash Flow MH'!DP$5,'Assumptions MH'!$S$14:$S$23,))</f>
        <v>0.03</v>
      </c>
      <c r="DQ15" s="1782">
        <f>INDEX('Assumptions MH'!$T$14:$T$23,MATCH('Cash Flow MH'!DQ$5,'Assumptions MH'!$S$14:$S$23,))</f>
        <v>0.03</v>
      </c>
      <c r="DR15" s="1782">
        <f>INDEX('Assumptions MH'!$T$14:$T$23,MATCH('Cash Flow MH'!DR$5,'Assumptions MH'!$S$14:$S$23,))</f>
        <v>0.03</v>
      </c>
      <c r="DS15" s="1782">
        <f>INDEX('Assumptions MH'!$T$14:$T$23,MATCH('Cash Flow MH'!DS$5,'Assumptions MH'!$S$14:$S$23,))</f>
        <v>0.03</v>
      </c>
      <c r="DT15" s="1485" t="s">
        <v>65</v>
      </c>
    </row>
    <row r="16" spans="1:124" outlineLevel="1">
      <c r="B16" s="1724" t="s">
        <v>1116</v>
      </c>
      <c r="D16" s="1783">
        <f>INDEX('Assumptions MH'!$T$27:$T$36,MATCH('Cash Flow MH'!D$5,'Assumptions MH'!$S$27:$S$36,))</f>
        <v>6</v>
      </c>
      <c r="E16" s="1783">
        <f>INDEX('Assumptions MH'!$T$27:$T$36,MATCH('Cash Flow MH'!E$5,'Assumptions MH'!$S$27:$S$36,))</f>
        <v>6</v>
      </c>
      <c r="F16" s="1783">
        <f>INDEX('Assumptions MH'!$T$27:$T$36,MATCH('Cash Flow MH'!F$5,'Assumptions MH'!$S$27:$S$36,))</f>
        <v>6</v>
      </c>
      <c r="G16" s="1783">
        <f>INDEX('Assumptions MH'!$T$27:$T$36,MATCH('Cash Flow MH'!G$5,'Assumptions MH'!$S$27:$S$36,))</f>
        <v>6</v>
      </c>
      <c r="H16" s="1783">
        <f>INDEX('Assumptions MH'!$T$27:$T$36,MATCH('Cash Flow MH'!H$5,'Assumptions MH'!$S$27:$S$36,))</f>
        <v>6</v>
      </c>
      <c r="I16" s="1783">
        <f>INDEX('Assumptions MH'!$T$27:$T$36,MATCH('Cash Flow MH'!I$5,'Assumptions MH'!$S$27:$S$36,))</f>
        <v>6</v>
      </c>
      <c r="J16" s="1783">
        <f>INDEX('Assumptions MH'!$T$27:$T$36,MATCH('Cash Flow MH'!J$5,'Assumptions MH'!$S$27:$S$36,))</f>
        <v>6</v>
      </c>
      <c r="K16" s="1783">
        <f>INDEX('Assumptions MH'!$T$27:$T$36,MATCH('Cash Flow MH'!K$5,'Assumptions MH'!$S$27:$S$36,))</f>
        <v>6</v>
      </c>
      <c r="L16" s="1783">
        <f>INDEX('Assumptions MH'!$T$27:$T$36,MATCH('Cash Flow MH'!L$5,'Assumptions MH'!$S$27:$S$36,))</f>
        <v>6</v>
      </c>
      <c r="M16" s="1783">
        <f>INDEX('Assumptions MH'!$T$27:$T$36,MATCH('Cash Flow MH'!M$5,'Assumptions MH'!$S$27:$S$36,))</f>
        <v>6</v>
      </c>
      <c r="N16" s="1783">
        <f>INDEX('Assumptions MH'!$T$27:$T$36,MATCH('Cash Flow MH'!N$5,'Assumptions MH'!$S$27:$S$36,))</f>
        <v>6</v>
      </c>
      <c r="O16" s="1783">
        <f>INDEX('Assumptions MH'!$T$27:$T$36,MATCH('Cash Flow MH'!O$5,'Assumptions MH'!$S$27:$S$36,))</f>
        <v>6</v>
      </c>
      <c r="P16" s="1783">
        <f>INDEX('Assumptions MH'!$T$27:$T$36,MATCH('Cash Flow MH'!P$5,'Assumptions MH'!$S$27:$S$36,))</f>
        <v>6</v>
      </c>
      <c r="Q16" s="1783">
        <f>INDEX('Assumptions MH'!$T$27:$T$36,MATCH('Cash Flow MH'!Q$5,'Assumptions MH'!$S$27:$S$36,))</f>
        <v>6</v>
      </c>
      <c r="R16" s="1783">
        <f>INDEX('Assumptions MH'!$T$27:$T$36,MATCH('Cash Flow MH'!R$5,'Assumptions MH'!$S$27:$S$36,))</f>
        <v>6</v>
      </c>
      <c r="S16" s="1783">
        <f>INDEX('Assumptions MH'!$T$27:$T$36,MATCH('Cash Flow MH'!S$5,'Assumptions MH'!$S$27:$S$36,))</f>
        <v>6</v>
      </c>
      <c r="T16" s="1783">
        <f>INDEX('Assumptions MH'!$T$27:$T$36,MATCH('Cash Flow MH'!T$5,'Assumptions MH'!$S$27:$S$36,))</f>
        <v>6</v>
      </c>
      <c r="U16" s="1783">
        <f>INDEX('Assumptions MH'!$T$27:$T$36,MATCH('Cash Flow MH'!U$5,'Assumptions MH'!$S$27:$S$36,))</f>
        <v>6</v>
      </c>
      <c r="V16" s="1783">
        <f>INDEX('Assumptions MH'!$T$27:$T$36,MATCH('Cash Flow MH'!V$5,'Assumptions MH'!$S$27:$S$36,))</f>
        <v>6</v>
      </c>
      <c r="W16" s="1783">
        <f>INDEX('Assumptions MH'!$T$27:$T$36,MATCH('Cash Flow MH'!W$5,'Assumptions MH'!$S$27:$S$36,))</f>
        <v>6</v>
      </c>
      <c r="X16" s="1783">
        <f>INDEX('Assumptions MH'!$T$27:$T$36,MATCH('Cash Flow MH'!X$5,'Assumptions MH'!$S$27:$S$36,))</f>
        <v>6</v>
      </c>
      <c r="Y16" s="1783">
        <f>INDEX('Assumptions MH'!$T$27:$T$36,MATCH('Cash Flow MH'!Y$5,'Assumptions MH'!$S$27:$S$36,))</f>
        <v>6</v>
      </c>
      <c r="Z16" s="1783">
        <f>INDEX('Assumptions MH'!$T$27:$T$36,MATCH('Cash Flow MH'!Z$5,'Assumptions MH'!$S$27:$S$36,))</f>
        <v>6</v>
      </c>
      <c r="AA16" s="1783">
        <f>INDEX('Assumptions MH'!$T$27:$T$36,MATCH('Cash Flow MH'!AA$5,'Assumptions MH'!$S$27:$S$36,))</f>
        <v>6</v>
      </c>
      <c r="AB16" s="1783">
        <f>INDEX('Assumptions MH'!$T$27:$T$36,MATCH('Cash Flow MH'!AB$5,'Assumptions MH'!$S$27:$S$36,))</f>
        <v>6</v>
      </c>
      <c r="AC16" s="1783">
        <f>INDEX('Assumptions MH'!$T$27:$T$36,MATCH('Cash Flow MH'!AC$5,'Assumptions MH'!$S$27:$S$36,))</f>
        <v>6</v>
      </c>
      <c r="AD16" s="1783">
        <f>INDEX('Assumptions MH'!$T$27:$T$36,MATCH('Cash Flow MH'!AD$5,'Assumptions MH'!$S$27:$S$36,))</f>
        <v>6</v>
      </c>
      <c r="AE16" s="1783">
        <f>INDEX('Assumptions MH'!$T$27:$T$36,MATCH('Cash Flow MH'!AE$5,'Assumptions MH'!$S$27:$S$36,))</f>
        <v>6</v>
      </c>
      <c r="AF16" s="1783">
        <f>INDEX('Assumptions MH'!$T$27:$T$36,MATCH('Cash Flow MH'!AF$5,'Assumptions MH'!$S$27:$S$36,))</f>
        <v>6</v>
      </c>
      <c r="AG16" s="1783">
        <f>INDEX('Assumptions MH'!$T$27:$T$36,MATCH('Cash Flow MH'!AG$5,'Assumptions MH'!$S$27:$S$36,))</f>
        <v>6</v>
      </c>
      <c r="AH16" s="1783">
        <f>INDEX('Assumptions MH'!$T$27:$T$36,MATCH('Cash Flow MH'!AH$5,'Assumptions MH'!$S$27:$S$36,))</f>
        <v>6</v>
      </c>
      <c r="AI16" s="1783">
        <f>INDEX('Assumptions MH'!$T$27:$T$36,MATCH('Cash Flow MH'!AI$5,'Assumptions MH'!$S$27:$S$36,))</f>
        <v>6</v>
      </c>
      <c r="AJ16" s="1783">
        <f>INDEX('Assumptions MH'!$T$27:$T$36,MATCH('Cash Flow MH'!AJ$5,'Assumptions MH'!$S$27:$S$36,))</f>
        <v>6</v>
      </c>
      <c r="AK16" s="1783">
        <f>INDEX('Assumptions MH'!$T$27:$T$36,MATCH('Cash Flow MH'!AK$5,'Assumptions MH'!$S$27:$S$36,))</f>
        <v>6</v>
      </c>
      <c r="AL16" s="1783">
        <f>INDEX('Assumptions MH'!$T$27:$T$36,MATCH('Cash Flow MH'!AL$5,'Assumptions MH'!$S$27:$S$36,))</f>
        <v>6</v>
      </c>
      <c r="AM16" s="1783">
        <f>INDEX('Assumptions MH'!$T$27:$T$36,MATCH('Cash Flow MH'!AM$5,'Assumptions MH'!$S$27:$S$36,))</f>
        <v>6</v>
      </c>
      <c r="AN16" s="1783">
        <f>INDEX('Assumptions MH'!$T$27:$T$36,MATCH('Cash Flow MH'!AN$5,'Assumptions MH'!$S$27:$S$36,))</f>
        <v>6</v>
      </c>
      <c r="AO16" s="1783">
        <f>INDEX('Assumptions MH'!$T$27:$T$36,MATCH('Cash Flow MH'!AO$5,'Assumptions MH'!$S$27:$S$36,))</f>
        <v>6</v>
      </c>
      <c r="AP16" s="1783">
        <f>INDEX('Assumptions MH'!$T$27:$T$36,MATCH('Cash Flow MH'!AP$5,'Assumptions MH'!$S$27:$S$36,))</f>
        <v>6</v>
      </c>
      <c r="AQ16" s="1783">
        <f>INDEX('Assumptions MH'!$T$27:$T$36,MATCH('Cash Flow MH'!AQ$5,'Assumptions MH'!$S$27:$S$36,))</f>
        <v>6</v>
      </c>
      <c r="AR16" s="1783">
        <f>INDEX('Assumptions MH'!$T$27:$T$36,MATCH('Cash Flow MH'!AR$5,'Assumptions MH'!$S$27:$S$36,))</f>
        <v>6</v>
      </c>
      <c r="AS16" s="1783">
        <f>INDEX('Assumptions MH'!$T$27:$T$36,MATCH('Cash Flow MH'!AS$5,'Assumptions MH'!$S$27:$S$36,))</f>
        <v>6</v>
      </c>
      <c r="AT16" s="1783">
        <f>INDEX('Assumptions MH'!$T$27:$T$36,MATCH('Cash Flow MH'!AT$5,'Assumptions MH'!$S$27:$S$36,))</f>
        <v>6</v>
      </c>
      <c r="AU16" s="1783">
        <f>INDEX('Assumptions MH'!$T$27:$T$36,MATCH('Cash Flow MH'!AU$5,'Assumptions MH'!$S$27:$S$36,))</f>
        <v>6</v>
      </c>
      <c r="AV16" s="1783">
        <f>INDEX('Assumptions MH'!$T$27:$T$36,MATCH('Cash Flow MH'!AV$5,'Assumptions MH'!$S$27:$S$36,))</f>
        <v>6</v>
      </c>
      <c r="AW16" s="1783">
        <f>INDEX('Assumptions MH'!$T$27:$T$36,MATCH('Cash Flow MH'!AW$5,'Assumptions MH'!$S$27:$S$36,))</f>
        <v>6</v>
      </c>
      <c r="AX16" s="1783">
        <f>INDEX('Assumptions MH'!$T$27:$T$36,MATCH('Cash Flow MH'!AX$5,'Assumptions MH'!$S$27:$S$36,))</f>
        <v>6</v>
      </c>
      <c r="AY16" s="1783">
        <f>INDEX('Assumptions MH'!$T$27:$T$36,MATCH('Cash Flow MH'!AY$5,'Assumptions MH'!$S$27:$S$36,))</f>
        <v>6</v>
      </c>
      <c r="AZ16" s="1783">
        <f>INDEX('Assumptions MH'!$T$27:$T$36,MATCH('Cash Flow MH'!AZ$5,'Assumptions MH'!$S$27:$S$36,))</f>
        <v>6</v>
      </c>
      <c r="BA16" s="1783">
        <f>INDEX('Assumptions MH'!$T$27:$T$36,MATCH('Cash Flow MH'!BA$5,'Assumptions MH'!$S$27:$S$36,))</f>
        <v>6</v>
      </c>
      <c r="BB16" s="1783">
        <f>INDEX('Assumptions MH'!$T$27:$T$36,MATCH('Cash Flow MH'!BB$5,'Assumptions MH'!$S$27:$S$36,))</f>
        <v>6</v>
      </c>
      <c r="BC16" s="1783">
        <f>INDEX('Assumptions MH'!$T$27:$T$36,MATCH('Cash Flow MH'!BC$5,'Assumptions MH'!$S$27:$S$36,))</f>
        <v>6</v>
      </c>
      <c r="BD16" s="1783">
        <f>INDEX('Assumptions MH'!$T$27:$T$36,MATCH('Cash Flow MH'!BD$5,'Assumptions MH'!$S$27:$S$36,))</f>
        <v>6</v>
      </c>
      <c r="BE16" s="1783">
        <f>INDEX('Assumptions MH'!$T$27:$T$36,MATCH('Cash Flow MH'!BE$5,'Assumptions MH'!$S$27:$S$36,))</f>
        <v>6</v>
      </c>
      <c r="BF16" s="1783">
        <f>INDEX('Assumptions MH'!$T$27:$T$36,MATCH('Cash Flow MH'!BF$5,'Assumptions MH'!$S$27:$S$36,))</f>
        <v>6</v>
      </c>
      <c r="BG16" s="1783">
        <f>INDEX('Assumptions MH'!$T$27:$T$36,MATCH('Cash Flow MH'!BG$5,'Assumptions MH'!$S$27:$S$36,))</f>
        <v>6</v>
      </c>
      <c r="BH16" s="1783">
        <f>INDEX('Assumptions MH'!$T$27:$T$36,MATCH('Cash Flow MH'!BH$5,'Assumptions MH'!$S$27:$S$36,))</f>
        <v>6</v>
      </c>
      <c r="BI16" s="1783">
        <f>INDEX('Assumptions MH'!$T$27:$T$36,MATCH('Cash Flow MH'!BI$5,'Assumptions MH'!$S$27:$S$36,))</f>
        <v>6</v>
      </c>
      <c r="BJ16" s="1783">
        <f>INDEX('Assumptions MH'!$T$27:$T$36,MATCH('Cash Flow MH'!BJ$5,'Assumptions MH'!$S$27:$S$36,))</f>
        <v>6</v>
      </c>
      <c r="BK16" s="1783">
        <f>INDEX('Assumptions MH'!$T$27:$T$36,MATCH('Cash Flow MH'!BK$5,'Assumptions MH'!$S$27:$S$36,))</f>
        <v>6</v>
      </c>
      <c r="BL16" s="1783">
        <f>INDEX('Assumptions MH'!$T$27:$T$36,MATCH('Cash Flow MH'!BL$5,'Assumptions MH'!$S$27:$S$36,))</f>
        <v>6</v>
      </c>
      <c r="BM16" s="1783">
        <f>INDEX('Assumptions MH'!$T$27:$T$36,MATCH('Cash Flow MH'!BM$5,'Assumptions MH'!$S$27:$S$36,))</f>
        <v>6</v>
      </c>
      <c r="BN16" s="1783">
        <f>INDEX('Assumptions MH'!$T$27:$T$36,MATCH('Cash Flow MH'!BN$5,'Assumptions MH'!$S$27:$S$36,))</f>
        <v>6</v>
      </c>
      <c r="BO16" s="1783">
        <f>INDEX('Assumptions MH'!$T$27:$T$36,MATCH('Cash Flow MH'!BO$5,'Assumptions MH'!$S$27:$S$36,))</f>
        <v>6</v>
      </c>
      <c r="BP16" s="1783">
        <f>INDEX('Assumptions MH'!$T$27:$T$36,MATCH('Cash Flow MH'!BP$5,'Assumptions MH'!$S$27:$S$36,))</f>
        <v>6</v>
      </c>
      <c r="BQ16" s="1783">
        <f>INDEX('Assumptions MH'!$T$27:$T$36,MATCH('Cash Flow MH'!BQ$5,'Assumptions MH'!$S$27:$S$36,))</f>
        <v>6</v>
      </c>
      <c r="BR16" s="1783">
        <f>INDEX('Assumptions MH'!$T$27:$T$36,MATCH('Cash Flow MH'!BR$5,'Assumptions MH'!$S$27:$S$36,))</f>
        <v>6</v>
      </c>
      <c r="BS16" s="1783">
        <f>INDEX('Assumptions MH'!$T$27:$T$36,MATCH('Cash Flow MH'!BS$5,'Assumptions MH'!$S$27:$S$36,))</f>
        <v>6</v>
      </c>
      <c r="BT16" s="1783">
        <f>INDEX('Assumptions MH'!$T$27:$T$36,MATCH('Cash Flow MH'!BT$5,'Assumptions MH'!$S$27:$S$36,))</f>
        <v>6</v>
      </c>
      <c r="BU16" s="1783">
        <f>INDEX('Assumptions MH'!$T$27:$T$36,MATCH('Cash Flow MH'!BU$5,'Assumptions MH'!$S$27:$S$36,))</f>
        <v>6</v>
      </c>
      <c r="BV16" s="1783">
        <f>INDEX('Assumptions MH'!$T$27:$T$36,MATCH('Cash Flow MH'!BV$5,'Assumptions MH'!$S$27:$S$36,))</f>
        <v>6</v>
      </c>
      <c r="BW16" s="1783">
        <f>INDEX('Assumptions MH'!$T$27:$T$36,MATCH('Cash Flow MH'!BW$5,'Assumptions MH'!$S$27:$S$36,))</f>
        <v>6</v>
      </c>
      <c r="BX16" s="1783">
        <f>INDEX('Assumptions MH'!$T$27:$T$36,MATCH('Cash Flow MH'!BX$5,'Assumptions MH'!$S$27:$S$36,))</f>
        <v>6</v>
      </c>
      <c r="BY16" s="1783">
        <f>INDEX('Assumptions MH'!$T$27:$T$36,MATCH('Cash Flow MH'!BY$5,'Assumptions MH'!$S$27:$S$36,))</f>
        <v>6</v>
      </c>
      <c r="BZ16" s="1783">
        <f>INDEX('Assumptions MH'!$T$27:$T$36,MATCH('Cash Flow MH'!BZ$5,'Assumptions MH'!$S$27:$S$36,))</f>
        <v>6</v>
      </c>
      <c r="CA16" s="1783">
        <f>INDEX('Assumptions MH'!$T$27:$T$36,MATCH('Cash Flow MH'!CA$5,'Assumptions MH'!$S$27:$S$36,))</f>
        <v>6</v>
      </c>
      <c r="CB16" s="1783">
        <f>INDEX('Assumptions MH'!$T$27:$T$36,MATCH('Cash Flow MH'!CB$5,'Assumptions MH'!$S$27:$S$36,))</f>
        <v>6</v>
      </c>
      <c r="CC16" s="1783">
        <f>INDEX('Assumptions MH'!$T$27:$T$36,MATCH('Cash Flow MH'!CC$5,'Assumptions MH'!$S$27:$S$36,))</f>
        <v>6</v>
      </c>
      <c r="CD16" s="1783">
        <f>INDEX('Assumptions MH'!$T$27:$T$36,MATCH('Cash Flow MH'!CD$5,'Assumptions MH'!$S$27:$S$36,))</f>
        <v>6</v>
      </c>
      <c r="CE16" s="1783">
        <f>INDEX('Assumptions MH'!$T$27:$T$36,MATCH('Cash Flow MH'!CE$5,'Assumptions MH'!$S$27:$S$36,))</f>
        <v>6</v>
      </c>
      <c r="CF16" s="1783">
        <f>INDEX('Assumptions MH'!$T$27:$T$36,MATCH('Cash Flow MH'!CF$5,'Assumptions MH'!$S$27:$S$36,))</f>
        <v>6</v>
      </c>
      <c r="CG16" s="1783">
        <f>INDEX('Assumptions MH'!$T$27:$T$36,MATCH('Cash Flow MH'!CG$5,'Assumptions MH'!$S$27:$S$36,))</f>
        <v>6</v>
      </c>
      <c r="CH16" s="1783">
        <f>INDEX('Assumptions MH'!$T$27:$T$36,MATCH('Cash Flow MH'!CH$5,'Assumptions MH'!$S$27:$S$36,))</f>
        <v>6</v>
      </c>
      <c r="CI16" s="1783">
        <f>INDEX('Assumptions MH'!$T$27:$T$36,MATCH('Cash Flow MH'!CI$5,'Assumptions MH'!$S$27:$S$36,))</f>
        <v>6</v>
      </c>
      <c r="CJ16" s="1783">
        <f>INDEX('Assumptions MH'!$T$27:$T$36,MATCH('Cash Flow MH'!CJ$5,'Assumptions MH'!$S$27:$S$36,))</f>
        <v>6</v>
      </c>
      <c r="CK16" s="1783">
        <f>INDEX('Assumptions MH'!$T$27:$T$36,MATCH('Cash Flow MH'!CK$5,'Assumptions MH'!$S$27:$S$36,))</f>
        <v>6</v>
      </c>
      <c r="CL16" s="1783">
        <f>INDEX('Assumptions MH'!$T$27:$T$36,MATCH('Cash Flow MH'!CL$5,'Assumptions MH'!$S$27:$S$36,))</f>
        <v>6</v>
      </c>
      <c r="CM16" s="1783">
        <f>INDEX('Assumptions MH'!$T$27:$T$36,MATCH('Cash Flow MH'!CM$5,'Assumptions MH'!$S$27:$S$36,))</f>
        <v>6</v>
      </c>
      <c r="CN16" s="1783">
        <f>INDEX('Assumptions MH'!$T$27:$T$36,MATCH('Cash Flow MH'!CN$5,'Assumptions MH'!$S$27:$S$36,))</f>
        <v>6</v>
      </c>
      <c r="CO16" s="1783">
        <f>INDEX('Assumptions MH'!$T$27:$T$36,MATCH('Cash Flow MH'!CO$5,'Assumptions MH'!$S$27:$S$36,))</f>
        <v>6</v>
      </c>
      <c r="CP16" s="1783">
        <f>INDEX('Assumptions MH'!$T$27:$T$36,MATCH('Cash Flow MH'!CP$5,'Assumptions MH'!$S$27:$S$36,))</f>
        <v>6</v>
      </c>
      <c r="CQ16" s="1783">
        <f>INDEX('Assumptions MH'!$T$27:$T$36,MATCH('Cash Flow MH'!CQ$5,'Assumptions MH'!$S$27:$S$36,))</f>
        <v>6</v>
      </c>
      <c r="CR16" s="1783">
        <f>INDEX('Assumptions MH'!$T$27:$T$36,MATCH('Cash Flow MH'!CR$5,'Assumptions MH'!$S$27:$S$36,))</f>
        <v>6</v>
      </c>
      <c r="CS16" s="1783">
        <f>INDEX('Assumptions MH'!$T$27:$T$36,MATCH('Cash Flow MH'!CS$5,'Assumptions MH'!$S$27:$S$36,))</f>
        <v>6</v>
      </c>
      <c r="CT16" s="1783">
        <f>INDEX('Assumptions MH'!$T$27:$T$36,MATCH('Cash Flow MH'!CT$5,'Assumptions MH'!$S$27:$S$36,))</f>
        <v>6</v>
      </c>
      <c r="CU16" s="1783">
        <f>INDEX('Assumptions MH'!$T$27:$T$36,MATCH('Cash Flow MH'!CU$5,'Assumptions MH'!$S$27:$S$36,))</f>
        <v>6</v>
      </c>
      <c r="CV16" s="1783">
        <f>INDEX('Assumptions MH'!$T$27:$T$36,MATCH('Cash Flow MH'!CV$5,'Assumptions MH'!$S$27:$S$36,))</f>
        <v>6</v>
      </c>
      <c r="CW16" s="1783">
        <f>INDEX('Assumptions MH'!$T$27:$T$36,MATCH('Cash Flow MH'!CW$5,'Assumptions MH'!$S$27:$S$36,))</f>
        <v>6</v>
      </c>
      <c r="CX16" s="1783">
        <f>INDEX('Assumptions MH'!$T$27:$T$36,MATCH('Cash Flow MH'!CX$5,'Assumptions MH'!$S$27:$S$36,))</f>
        <v>6</v>
      </c>
      <c r="CY16" s="1783">
        <f>INDEX('Assumptions MH'!$T$27:$T$36,MATCH('Cash Flow MH'!CY$5,'Assumptions MH'!$S$27:$S$36,))</f>
        <v>6</v>
      </c>
      <c r="CZ16" s="1783">
        <f>INDEX('Assumptions MH'!$T$27:$T$36,MATCH('Cash Flow MH'!CZ$5,'Assumptions MH'!$S$27:$S$36,))</f>
        <v>6</v>
      </c>
      <c r="DA16" s="1783">
        <f>INDEX('Assumptions MH'!$T$27:$T$36,MATCH('Cash Flow MH'!DA$5,'Assumptions MH'!$S$27:$S$36,))</f>
        <v>6</v>
      </c>
      <c r="DB16" s="1783">
        <f>INDEX('Assumptions MH'!$T$27:$T$36,MATCH('Cash Flow MH'!DB$5,'Assumptions MH'!$S$27:$S$36,))</f>
        <v>6</v>
      </c>
      <c r="DC16" s="1783">
        <f>INDEX('Assumptions MH'!$T$27:$T$36,MATCH('Cash Flow MH'!DC$5,'Assumptions MH'!$S$27:$S$36,))</f>
        <v>6</v>
      </c>
      <c r="DD16" s="1783">
        <f>INDEX('Assumptions MH'!$T$27:$T$36,MATCH('Cash Flow MH'!DD$5,'Assumptions MH'!$S$27:$S$36,))</f>
        <v>6</v>
      </c>
      <c r="DE16" s="1783">
        <f>INDEX('Assumptions MH'!$T$27:$T$36,MATCH('Cash Flow MH'!DE$5,'Assumptions MH'!$S$27:$S$36,))</f>
        <v>6</v>
      </c>
      <c r="DF16" s="1783">
        <f>INDEX('Assumptions MH'!$T$27:$T$36,MATCH('Cash Flow MH'!DF$5,'Assumptions MH'!$S$27:$S$36,))</f>
        <v>6</v>
      </c>
      <c r="DG16" s="1783">
        <f>INDEX('Assumptions MH'!$T$27:$T$36,MATCH('Cash Flow MH'!DG$5,'Assumptions MH'!$S$27:$S$36,))</f>
        <v>6</v>
      </c>
      <c r="DH16" s="1783">
        <f>INDEX('Assumptions MH'!$T$27:$T$36,MATCH('Cash Flow MH'!DH$5,'Assumptions MH'!$S$27:$S$36,))</f>
        <v>6</v>
      </c>
      <c r="DI16" s="1783">
        <f>INDEX('Assumptions MH'!$T$27:$T$36,MATCH('Cash Flow MH'!DI$5,'Assumptions MH'!$S$27:$S$36,))</f>
        <v>6</v>
      </c>
      <c r="DJ16" s="1783">
        <f>INDEX('Assumptions MH'!$T$27:$T$36,MATCH('Cash Flow MH'!DJ$5,'Assumptions MH'!$S$27:$S$36,))</f>
        <v>6</v>
      </c>
      <c r="DK16" s="1783">
        <f>INDEX('Assumptions MH'!$T$27:$T$36,MATCH('Cash Flow MH'!DK$5,'Assumptions MH'!$S$27:$S$36,))</f>
        <v>6</v>
      </c>
      <c r="DL16" s="1783">
        <f>INDEX('Assumptions MH'!$T$27:$T$36,MATCH('Cash Flow MH'!DL$5,'Assumptions MH'!$S$27:$S$36,))</f>
        <v>6</v>
      </c>
      <c r="DM16" s="1783">
        <f>INDEX('Assumptions MH'!$T$27:$T$36,MATCH('Cash Flow MH'!DM$5,'Assumptions MH'!$S$27:$S$36,))</f>
        <v>6</v>
      </c>
      <c r="DN16" s="1783">
        <f>INDEX('Assumptions MH'!$T$27:$T$36,MATCH('Cash Flow MH'!DN$5,'Assumptions MH'!$S$27:$S$36,))</f>
        <v>6</v>
      </c>
      <c r="DO16" s="1783">
        <f>INDEX('Assumptions MH'!$T$27:$T$36,MATCH('Cash Flow MH'!DO$5,'Assumptions MH'!$S$27:$S$36,))</f>
        <v>6</v>
      </c>
      <c r="DP16" s="1783">
        <f>INDEX('Assumptions MH'!$T$27:$T$36,MATCH('Cash Flow MH'!DP$5,'Assumptions MH'!$S$27:$S$36,))</f>
        <v>6</v>
      </c>
      <c r="DQ16" s="1783">
        <f>INDEX('Assumptions MH'!$T$27:$T$36,MATCH('Cash Flow MH'!DQ$5,'Assumptions MH'!$S$27:$S$36,))</f>
        <v>6</v>
      </c>
      <c r="DR16" s="1783">
        <f>INDEX('Assumptions MH'!$T$27:$T$36,MATCH('Cash Flow MH'!DR$5,'Assumptions MH'!$S$27:$S$36,))</f>
        <v>6</v>
      </c>
      <c r="DS16" s="1783">
        <f>INDEX('Assumptions MH'!$T$27:$T$36,MATCH('Cash Flow MH'!DS$5,'Assumptions MH'!$S$27:$S$36,))</f>
        <v>6</v>
      </c>
      <c r="DT16" s="1485" t="s">
        <v>65</v>
      </c>
    </row>
    <row r="17" spans="1:124" outlineLevel="1">
      <c r="D17" s="1506"/>
      <c r="E17" s="1506"/>
      <c r="F17" s="1506"/>
      <c r="G17" s="1506"/>
      <c r="H17" s="1506"/>
      <c r="I17" s="1506"/>
      <c r="J17" s="1506"/>
      <c r="K17" s="1506"/>
      <c r="L17" s="1506"/>
      <c r="M17" s="1506"/>
      <c r="N17" s="1506"/>
      <c r="O17" s="1506"/>
      <c r="P17" s="1506"/>
      <c r="Q17" s="1506"/>
      <c r="R17" s="1506"/>
      <c r="S17" s="1506"/>
      <c r="T17" s="1506"/>
      <c r="U17" s="1506"/>
      <c r="V17" s="1506"/>
      <c r="W17" s="1506"/>
      <c r="X17" s="1506"/>
      <c r="Y17" s="1506"/>
      <c r="Z17" s="1506"/>
      <c r="AA17" s="1506"/>
      <c r="AB17" s="1506"/>
      <c r="AC17" s="1506"/>
      <c r="AD17" s="1506"/>
      <c r="AE17" s="1506"/>
      <c r="AF17" s="1506"/>
      <c r="AG17" s="1506"/>
      <c r="AH17" s="1506"/>
      <c r="AI17" s="1506"/>
      <c r="AJ17" s="1506"/>
      <c r="AK17" s="1506"/>
      <c r="AL17" s="1506"/>
      <c r="AM17" s="1506"/>
      <c r="AN17" s="1506"/>
      <c r="AO17" s="1506"/>
      <c r="AP17" s="1506"/>
      <c r="AQ17" s="1506"/>
      <c r="AR17" s="1506"/>
      <c r="AS17" s="1506"/>
      <c r="AT17" s="1506"/>
      <c r="AU17" s="1506"/>
      <c r="AV17" s="1506"/>
      <c r="AW17" s="1506"/>
      <c r="AX17" s="1506"/>
      <c r="AY17" s="1506"/>
      <c r="AZ17" s="1506"/>
      <c r="BA17" s="1506"/>
      <c r="BB17" s="1506"/>
      <c r="BC17" s="1506"/>
      <c r="BD17" s="1506"/>
      <c r="BE17" s="1506"/>
      <c r="BF17" s="1506"/>
      <c r="BG17" s="1506"/>
      <c r="BH17" s="1506"/>
      <c r="BI17" s="1506"/>
      <c r="BJ17" s="1506"/>
      <c r="BK17" s="1506"/>
      <c r="BL17" s="1506"/>
      <c r="BM17" s="1506"/>
      <c r="BN17" s="1506"/>
      <c r="BO17" s="1506"/>
      <c r="BP17" s="1506"/>
      <c r="BQ17" s="1506"/>
      <c r="BR17" s="1506"/>
      <c r="BS17" s="1506"/>
      <c r="BT17" s="1506"/>
      <c r="BU17" s="1506"/>
      <c r="BV17" s="1506"/>
      <c r="BW17" s="1506"/>
      <c r="BX17" s="1506"/>
      <c r="BY17" s="1506"/>
      <c r="BZ17" s="1506"/>
      <c r="CA17" s="1506"/>
      <c r="CB17" s="1506"/>
      <c r="CC17" s="1506"/>
      <c r="CD17" s="1506"/>
      <c r="CE17" s="1506"/>
      <c r="CF17" s="1506"/>
      <c r="CG17" s="1506"/>
      <c r="CH17" s="1506"/>
      <c r="CI17" s="1506"/>
      <c r="CJ17" s="1506"/>
      <c r="CK17" s="1506"/>
      <c r="CL17" s="1506"/>
      <c r="CM17" s="1506"/>
      <c r="CN17" s="1506"/>
      <c r="CO17" s="1506"/>
      <c r="CP17" s="1506"/>
      <c r="CQ17" s="1506"/>
      <c r="CR17" s="1506"/>
      <c r="CS17" s="1506"/>
      <c r="CT17" s="1506"/>
      <c r="CU17" s="1506"/>
      <c r="CV17" s="1506"/>
      <c r="CW17" s="1506"/>
      <c r="CX17" s="1506"/>
      <c r="CY17" s="1506"/>
      <c r="CZ17" s="1506"/>
      <c r="DA17" s="1506"/>
      <c r="DB17" s="1506"/>
      <c r="DC17" s="1506"/>
      <c r="DD17" s="1506"/>
      <c r="DE17" s="1506"/>
      <c r="DF17" s="1506"/>
      <c r="DG17" s="1506"/>
      <c r="DH17" s="1506"/>
      <c r="DI17" s="1506"/>
      <c r="DJ17" s="1506"/>
      <c r="DK17" s="1506"/>
      <c r="DL17" s="1506"/>
      <c r="DM17" s="1506"/>
      <c r="DN17" s="1506"/>
      <c r="DO17" s="1506"/>
      <c r="DP17" s="1506"/>
      <c r="DQ17" s="1506"/>
      <c r="DR17" s="1506"/>
      <c r="DS17" s="1506"/>
      <c r="DT17" s="1485" t="s">
        <v>65</v>
      </c>
    </row>
    <row r="18" spans="1:124" outlineLevel="1">
      <c r="A18" s="1487" t="s">
        <v>65</v>
      </c>
      <c r="B18" s="1503" t="s">
        <v>1117</v>
      </c>
      <c r="D18" s="1506"/>
      <c r="E18" s="1506"/>
      <c r="F18" s="1506"/>
      <c r="G18" s="1506"/>
      <c r="H18" s="1506"/>
      <c r="I18" s="1506"/>
      <c r="J18" s="1506"/>
      <c r="K18" s="1506"/>
      <c r="L18" s="1506"/>
      <c r="M18" s="1506"/>
      <c r="N18" s="1506"/>
      <c r="O18" s="1506"/>
      <c r="P18" s="1506"/>
      <c r="Q18" s="1506"/>
      <c r="R18" s="1506"/>
      <c r="S18" s="1506"/>
      <c r="T18" s="1506"/>
      <c r="U18" s="1506"/>
      <c r="V18" s="1506"/>
      <c r="W18" s="1506"/>
      <c r="X18" s="1506"/>
      <c r="Y18" s="1506"/>
      <c r="Z18" s="1506"/>
      <c r="AA18" s="1506"/>
      <c r="AB18" s="1506"/>
      <c r="AC18" s="1506"/>
      <c r="AD18" s="1506"/>
      <c r="AE18" s="1506"/>
      <c r="AF18" s="1506"/>
      <c r="AG18" s="1506"/>
      <c r="AH18" s="1506"/>
      <c r="AI18" s="1506"/>
      <c r="AJ18" s="1506"/>
      <c r="AK18" s="1506"/>
      <c r="AL18" s="1506"/>
      <c r="AM18" s="1506"/>
      <c r="AN18" s="1506"/>
      <c r="AO18" s="1506"/>
      <c r="AP18" s="1506"/>
      <c r="AQ18" s="1506"/>
      <c r="AR18" s="1506"/>
      <c r="AS18" s="1506"/>
      <c r="AT18" s="1506"/>
      <c r="AU18" s="1506"/>
      <c r="AV18" s="1506"/>
      <c r="AW18" s="1506"/>
      <c r="AX18" s="1506"/>
      <c r="AY18" s="1506"/>
      <c r="AZ18" s="1506"/>
      <c r="BA18" s="1506"/>
      <c r="BB18" s="1506"/>
      <c r="BC18" s="1506"/>
      <c r="BD18" s="1506"/>
      <c r="BE18" s="1506"/>
      <c r="BF18" s="1506"/>
      <c r="BG18" s="1506"/>
      <c r="BH18" s="1506"/>
      <c r="BI18" s="1506"/>
      <c r="BJ18" s="1506"/>
      <c r="BK18" s="1506"/>
      <c r="BL18" s="1506"/>
      <c r="BM18" s="1506"/>
      <c r="BN18" s="1506"/>
      <c r="BO18" s="1506"/>
      <c r="BP18" s="1506"/>
      <c r="BQ18" s="1506"/>
      <c r="BR18" s="1506"/>
      <c r="BS18" s="1506"/>
      <c r="BT18" s="1506"/>
      <c r="BU18" s="1506"/>
      <c r="BV18" s="1506"/>
      <c r="BW18" s="1506"/>
      <c r="BX18" s="1506"/>
      <c r="BY18" s="1506"/>
      <c r="BZ18" s="1506"/>
      <c r="CA18" s="1506"/>
      <c r="CB18" s="1506"/>
      <c r="CC18" s="1506"/>
      <c r="CD18" s="1506"/>
      <c r="CE18" s="1506"/>
      <c r="CF18" s="1506"/>
      <c r="CG18" s="1506"/>
      <c r="CH18" s="1506"/>
      <c r="CI18" s="1506"/>
      <c r="CJ18" s="1506"/>
      <c r="CK18" s="1506"/>
      <c r="CL18" s="1506"/>
      <c r="CM18" s="1506"/>
      <c r="CN18" s="1506"/>
      <c r="CO18" s="1506"/>
      <c r="CP18" s="1506"/>
      <c r="CQ18" s="1506"/>
      <c r="CR18" s="1506"/>
      <c r="CS18" s="1506"/>
      <c r="CT18" s="1506"/>
      <c r="CU18" s="1506"/>
      <c r="CV18" s="1506"/>
      <c r="CW18" s="1506"/>
      <c r="CX18" s="1506"/>
      <c r="CY18" s="1506"/>
      <c r="CZ18" s="1506"/>
      <c r="DA18" s="1506"/>
      <c r="DB18" s="1506"/>
      <c r="DC18" s="1506"/>
      <c r="DD18" s="1506"/>
      <c r="DE18" s="1506"/>
      <c r="DF18" s="1506"/>
      <c r="DG18" s="1506"/>
      <c r="DH18" s="1506"/>
      <c r="DI18" s="1506"/>
      <c r="DJ18" s="1506"/>
      <c r="DK18" s="1506"/>
      <c r="DL18" s="1506"/>
      <c r="DM18" s="1506"/>
      <c r="DN18" s="1506"/>
      <c r="DO18" s="1506"/>
      <c r="DP18" s="1506"/>
      <c r="DQ18" s="1506"/>
      <c r="DR18" s="1506"/>
      <c r="DS18" s="1506"/>
      <c r="DT18" s="1485" t="s">
        <v>65</v>
      </c>
    </row>
    <row r="19" spans="1:124" outlineLevel="1">
      <c r="B19" s="1724" t="s">
        <v>353</v>
      </c>
      <c r="D19" s="1784">
        <f>+'Assumptions MH'!$O$9</f>
        <v>0.7</v>
      </c>
      <c r="E19" s="1784">
        <f>+'Assumptions MH'!$O$9</f>
        <v>0.7</v>
      </c>
      <c r="F19" s="1784">
        <f>+'Assumptions MH'!$O$9</f>
        <v>0.7</v>
      </c>
      <c r="G19" s="1784">
        <f>+'Assumptions MH'!$O$9</f>
        <v>0.7</v>
      </c>
      <c r="H19" s="1784">
        <f>+'Assumptions MH'!$O$9</f>
        <v>0.7</v>
      </c>
      <c r="I19" s="1784">
        <f>+'Assumptions MH'!$O$9</f>
        <v>0.7</v>
      </c>
      <c r="J19" s="1784">
        <f>+'Assumptions MH'!$O$9</f>
        <v>0.7</v>
      </c>
      <c r="K19" s="1784">
        <f>+'Assumptions MH'!$O$9</f>
        <v>0.7</v>
      </c>
      <c r="L19" s="1784">
        <f>+'Assumptions MH'!$O$9</f>
        <v>0.7</v>
      </c>
      <c r="M19" s="1784">
        <f>+'Assumptions MH'!$O$9</f>
        <v>0.7</v>
      </c>
      <c r="N19" s="1784">
        <f>+'Assumptions MH'!$O$9</f>
        <v>0.7</v>
      </c>
      <c r="O19" s="1784">
        <f>+'Assumptions MH'!$O$9</f>
        <v>0.7</v>
      </c>
      <c r="P19" s="1784">
        <f>+'Assumptions MH'!$O$9</f>
        <v>0.7</v>
      </c>
      <c r="Q19" s="1784">
        <f>+'Assumptions MH'!$O$9</f>
        <v>0.7</v>
      </c>
      <c r="R19" s="1784">
        <f>+'Assumptions MH'!$O$9</f>
        <v>0.7</v>
      </c>
      <c r="S19" s="1784">
        <f>+'Assumptions MH'!$O$9</f>
        <v>0.7</v>
      </c>
      <c r="T19" s="1784">
        <f>+'Assumptions MH'!$O$9</f>
        <v>0.7</v>
      </c>
      <c r="U19" s="1784">
        <f>+'Assumptions MH'!$O$9</f>
        <v>0.7</v>
      </c>
      <c r="V19" s="1784">
        <f>+'Assumptions MH'!$O$9</f>
        <v>0.7</v>
      </c>
      <c r="W19" s="1784">
        <f>+'Assumptions MH'!$O$9</f>
        <v>0.7</v>
      </c>
      <c r="X19" s="1784">
        <f>+'Assumptions MH'!$O$9</f>
        <v>0.7</v>
      </c>
      <c r="Y19" s="1784">
        <f>+'Assumptions MH'!$O$9</f>
        <v>0.7</v>
      </c>
      <c r="Z19" s="1784">
        <f>+'Assumptions MH'!$O$9</f>
        <v>0.7</v>
      </c>
      <c r="AA19" s="1784">
        <f>+'Assumptions MH'!$O$9</f>
        <v>0.7</v>
      </c>
      <c r="AB19" s="1784">
        <f>+'Assumptions MH'!$O$9</f>
        <v>0.7</v>
      </c>
      <c r="AC19" s="1784">
        <f>+'Assumptions MH'!$O$9</f>
        <v>0.7</v>
      </c>
      <c r="AD19" s="1784">
        <f>+'Assumptions MH'!$O$9</f>
        <v>0.7</v>
      </c>
      <c r="AE19" s="1784">
        <f>+'Assumptions MH'!$O$9</f>
        <v>0.7</v>
      </c>
      <c r="AF19" s="1784">
        <f>+'Assumptions MH'!$O$9</f>
        <v>0.7</v>
      </c>
      <c r="AG19" s="1784">
        <f>+'Assumptions MH'!$O$9</f>
        <v>0.7</v>
      </c>
      <c r="AH19" s="1784">
        <f>+'Assumptions MH'!$O$9</f>
        <v>0.7</v>
      </c>
      <c r="AI19" s="1784">
        <f>+'Assumptions MH'!$O$9</f>
        <v>0.7</v>
      </c>
      <c r="AJ19" s="1784">
        <f>+'Assumptions MH'!$O$9</f>
        <v>0.7</v>
      </c>
      <c r="AK19" s="1784">
        <f>+'Assumptions MH'!$O$9</f>
        <v>0.7</v>
      </c>
      <c r="AL19" s="1784">
        <f>+'Assumptions MH'!$O$9</f>
        <v>0.7</v>
      </c>
      <c r="AM19" s="1784">
        <f>+'Assumptions MH'!$O$9</f>
        <v>0.7</v>
      </c>
      <c r="AN19" s="1784">
        <f>+'Assumptions MH'!$O$9</f>
        <v>0.7</v>
      </c>
      <c r="AO19" s="1784">
        <f>+'Assumptions MH'!$O$9</f>
        <v>0.7</v>
      </c>
      <c r="AP19" s="1784">
        <f>+'Assumptions MH'!$O$9</f>
        <v>0.7</v>
      </c>
      <c r="AQ19" s="1784">
        <f>+'Assumptions MH'!$O$9</f>
        <v>0.7</v>
      </c>
      <c r="AR19" s="1784">
        <f>+'Assumptions MH'!$O$9</f>
        <v>0.7</v>
      </c>
      <c r="AS19" s="1784">
        <f>+'Assumptions MH'!$O$9</f>
        <v>0.7</v>
      </c>
      <c r="AT19" s="1784">
        <f>+'Assumptions MH'!$O$9</f>
        <v>0.7</v>
      </c>
      <c r="AU19" s="1784">
        <f>+'Assumptions MH'!$O$9</f>
        <v>0.7</v>
      </c>
      <c r="AV19" s="1784">
        <f>+'Assumptions MH'!$O$9</f>
        <v>0.7</v>
      </c>
      <c r="AW19" s="1784">
        <f>+'Assumptions MH'!$O$9</f>
        <v>0.7</v>
      </c>
      <c r="AX19" s="1784">
        <f>+'Assumptions MH'!$O$9</f>
        <v>0.7</v>
      </c>
      <c r="AY19" s="1784">
        <f>+'Assumptions MH'!$O$9</f>
        <v>0.7</v>
      </c>
      <c r="AZ19" s="1784">
        <f>+'Assumptions MH'!$O$9</f>
        <v>0.7</v>
      </c>
      <c r="BA19" s="1784">
        <f>+'Assumptions MH'!$O$9</f>
        <v>0.7</v>
      </c>
      <c r="BB19" s="1784">
        <f>+'Assumptions MH'!$O$9</f>
        <v>0.7</v>
      </c>
      <c r="BC19" s="1784">
        <f>+'Assumptions MH'!$O$9</f>
        <v>0.7</v>
      </c>
      <c r="BD19" s="1784">
        <f>+'Assumptions MH'!$O$9</f>
        <v>0.7</v>
      </c>
      <c r="BE19" s="1784">
        <f>+'Assumptions MH'!$O$9</f>
        <v>0.7</v>
      </c>
      <c r="BF19" s="1784">
        <f>+'Assumptions MH'!$O$9</f>
        <v>0.7</v>
      </c>
      <c r="BG19" s="1784">
        <f>+'Assumptions MH'!$O$9</f>
        <v>0.7</v>
      </c>
      <c r="BH19" s="1784">
        <f>+'Assumptions MH'!$O$9</f>
        <v>0.7</v>
      </c>
      <c r="BI19" s="1784">
        <f>+'Assumptions MH'!$O$9</f>
        <v>0.7</v>
      </c>
      <c r="BJ19" s="1784">
        <f>+'Assumptions MH'!$O$9</f>
        <v>0.7</v>
      </c>
      <c r="BK19" s="1784">
        <f>+'Assumptions MH'!$O$9</f>
        <v>0.7</v>
      </c>
      <c r="BL19" s="1784">
        <f>+'Assumptions MH'!$O$9</f>
        <v>0.7</v>
      </c>
      <c r="BM19" s="1784">
        <f>+'Assumptions MH'!$O$9</f>
        <v>0.7</v>
      </c>
      <c r="BN19" s="1784">
        <f>+'Assumptions MH'!$O$9</f>
        <v>0.7</v>
      </c>
      <c r="BO19" s="1784">
        <f>+'Assumptions MH'!$O$9</f>
        <v>0.7</v>
      </c>
      <c r="BP19" s="1784">
        <f>+'Assumptions MH'!$O$9</f>
        <v>0.7</v>
      </c>
      <c r="BQ19" s="1784">
        <f>+'Assumptions MH'!$O$9</f>
        <v>0.7</v>
      </c>
      <c r="BR19" s="1784">
        <f>+'Assumptions MH'!$O$9</f>
        <v>0.7</v>
      </c>
      <c r="BS19" s="1784">
        <f>+'Assumptions MH'!$O$9</f>
        <v>0.7</v>
      </c>
      <c r="BT19" s="1784">
        <f>+'Assumptions MH'!$O$9</f>
        <v>0.7</v>
      </c>
      <c r="BU19" s="1784">
        <f>+'Assumptions MH'!$O$9</f>
        <v>0.7</v>
      </c>
      <c r="BV19" s="1784">
        <f>+'Assumptions MH'!$O$9</f>
        <v>0.7</v>
      </c>
      <c r="BW19" s="1784">
        <f>+'Assumptions MH'!$O$9</f>
        <v>0.7</v>
      </c>
      <c r="BX19" s="1784">
        <f>+'Assumptions MH'!$O$9</f>
        <v>0.7</v>
      </c>
      <c r="BY19" s="1784">
        <f>+'Assumptions MH'!$O$9</f>
        <v>0.7</v>
      </c>
      <c r="BZ19" s="1784">
        <f>+'Assumptions MH'!$O$9</f>
        <v>0.7</v>
      </c>
      <c r="CA19" s="1784">
        <f>+'Assumptions MH'!$O$9</f>
        <v>0.7</v>
      </c>
      <c r="CB19" s="1784">
        <f>+'Assumptions MH'!$O$9</f>
        <v>0.7</v>
      </c>
      <c r="CC19" s="1784">
        <f>+'Assumptions MH'!$O$9</f>
        <v>0.7</v>
      </c>
      <c r="CD19" s="1784">
        <f>+'Assumptions MH'!$O$9</f>
        <v>0.7</v>
      </c>
      <c r="CE19" s="1784">
        <f>+'Assumptions MH'!$O$9</f>
        <v>0.7</v>
      </c>
      <c r="CF19" s="1784">
        <f>+'Assumptions MH'!$O$9</f>
        <v>0.7</v>
      </c>
      <c r="CG19" s="1784">
        <f>+'Assumptions MH'!$O$9</f>
        <v>0.7</v>
      </c>
      <c r="CH19" s="1784">
        <f>+'Assumptions MH'!$O$9</f>
        <v>0.7</v>
      </c>
      <c r="CI19" s="1784">
        <f>+'Assumptions MH'!$O$9</f>
        <v>0.7</v>
      </c>
      <c r="CJ19" s="1784">
        <f>+'Assumptions MH'!$O$9</f>
        <v>0.7</v>
      </c>
      <c r="CK19" s="1784">
        <f>+'Assumptions MH'!$O$9</f>
        <v>0.7</v>
      </c>
      <c r="CL19" s="1784">
        <f>+'Assumptions MH'!$O$9</f>
        <v>0.7</v>
      </c>
      <c r="CM19" s="1784">
        <f>+'Assumptions MH'!$O$9</f>
        <v>0.7</v>
      </c>
      <c r="CN19" s="1784">
        <f>+'Assumptions MH'!$O$9</f>
        <v>0.7</v>
      </c>
      <c r="CO19" s="1784">
        <f>+'Assumptions MH'!$O$9</f>
        <v>0.7</v>
      </c>
      <c r="CP19" s="1784">
        <f>+'Assumptions MH'!$O$9</f>
        <v>0.7</v>
      </c>
      <c r="CQ19" s="1784">
        <f>+'Assumptions MH'!$O$9</f>
        <v>0.7</v>
      </c>
      <c r="CR19" s="1784">
        <f>+'Assumptions MH'!$O$9</f>
        <v>0.7</v>
      </c>
      <c r="CS19" s="1784">
        <f>+'Assumptions MH'!$O$9</f>
        <v>0.7</v>
      </c>
      <c r="CT19" s="1784">
        <f>+'Assumptions MH'!$O$9</f>
        <v>0.7</v>
      </c>
      <c r="CU19" s="1784">
        <f>+'Assumptions MH'!$O$9</f>
        <v>0.7</v>
      </c>
      <c r="CV19" s="1784">
        <f>+'Assumptions MH'!$O$9</f>
        <v>0.7</v>
      </c>
      <c r="CW19" s="1784">
        <f>+'Assumptions MH'!$O$9</f>
        <v>0.7</v>
      </c>
      <c r="CX19" s="1784">
        <f>+'Assumptions MH'!$O$9</f>
        <v>0.7</v>
      </c>
      <c r="CY19" s="1784">
        <f>+'Assumptions MH'!$O$9</f>
        <v>0.7</v>
      </c>
      <c r="CZ19" s="1784">
        <f>+'Assumptions MH'!$O$9</f>
        <v>0.7</v>
      </c>
      <c r="DA19" s="1784">
        <f>+'Assumptions MH'!$O$9</f>
        <v>0.7</v>
      </c>
      <c r="DB19" s="1784">
        <f>+'Assumptions MH'!$O$9</f>
        <v>0.7</v>
      </c>
      <c r="DC19" s="1784">
        <f>+'Assumptions MH'!$O$9</f>
        <v>0.7</v>
      </c>
      <c r="DD19" s="1784">
        <f>+'Assumptions MH'!$O$9</f>
        <v>0.7</v>
      </c>
      <c r="DE19" s="1784">
        <f>+'Assumptions MH'!$O$9</f>
        <v>0.7</v>
      </c>
      <c r="DF19" s="1784">
        <f>+'Assumptions MH'!$O$9</f>
        <v>0.7</v>
      </c>
      <c r="DG19" s="1784">
        <f>+'Assumptions MH'!$O$9</f>
        <v>0.7</v>
      </c>
      <c r="DH19" s="1784">
        <f>+'Assumptions MH'!$O$9</f>
        <v>0.7</v>
      </c>
      <c r="DI19" s="1784">
        <f>+'Assumptions MH'!$O$9</f>
        <v>0.7</v>
      </c>
      <c r="DJ19" s="1784">
        <f>+'Assumptions MH'!$O$9</f>
        <v>0.7</v>
      </c>
      <c r="DK19" s="1784">
        <f>+'Assumptions MH'!$O$9</f>
        <v>0.7</v>
      </c>
      <c r="DL19" s="1784">
        <f>+'Assumptions MH'!$O$9</f>
        <v>0.7</v>
      </c>
      <c r="DM19" s="1784">
        <f>+'Assumptions MH'!$O$9</f>
        <v>0.7</v>
      </c>
      <c r="DN19" s="1784">
        <f>+'Assumptions MH'!$O$9</f>
        <v>0.7</v>
      </c>
      <c r="DO19" s="1784">
        <f>+'Assumptions MH'!$O$9</f>
        <v>0.7</v>
      </c>
      <c r="DP19" s="1784">
        <f>+'Assumptions MH'!$O$9</f>
        <v>0.7</v>
      </c>
      <c r="DQ19" s="1784">
        <f>+'Assumptions MH'!$O$9</f>
        <v>0.7</v>
      </c>
      <c r="DR19" s="1784">
        <f>+'Assumptions MH'!$O$9</f>
        <v>0.7</v>
      </c>
      <c r="DS19" s="1784">
        <f>+'Assumptions MH'!$O$9</f>
        <v>0.7</v>
      </c>
      <c r="DT19" s="1485" t="s">
        <v>65</v>
      </c>
    </row>
    <row r="20" spans="1:124" outlineLevel="1">
      <c r="B20" s="1724" t="s">
        <v>1118</v>
      </c>
      <c r="D20" s="1784">
        <f>+'Assumptions MH'!L31</f>
        <v>0.35</v>
      </c>
      <c r="E20" s="1784">
        <f>IFERROR(MIN(D20+IF(AND(E$7&gt;='Assumptions MH'!$I$34,'Cash Flow MH'!E$7&lt;='Assumptions MH'!$J$34),'Assumptions MH'!$K$34,'Assumptions MH'!$K$35),1),1)</f>
        <v>0.41249999999999998</v>
      </c>
      <c r="F20" s="1784">
        <f>IFERROR(MIN(E20+IF(AND(F$7&gt;='Assumptions MH'!$I$34,'Cash Flow MH'!F$7&lt;='Assumptions MH'!$J$34),'Assumptions MH'!$K$34,'Assumptions MH'!$K$35),1),1)</f>
        <v>0.47499999999999998</v>
      </c>
      <c r="G20" s="1784">
        <f>IFERROR(MIN(F20+IF(AND(G$7&gt;='Assumptions MH'!$I$34,'Cash Flow MH'!G$7&lt;='Assumptions MH'!$J$34),'Assumptions MH'!$K$34,'Assumptions MH'!$K$35),1),1)</f>
        <v>0.53749999999999998</v>
      </c>
      <c r="H20" s="1784">
        <f>IFERROR(MIN(G20+IF(AND(H$7&gt;='Assumptions MH'!$I$34,'Cash Flow MH'!H$7&lt;='Assumptions MH'!$J$34),'Assumptions MH'!$K$34,'Assumptions MH'!$K$35),1),1)</f>
        <v>0.6</v>
      </c>
      <c r="I20" s="1784">
        <f>IFERROR(MIN(H20+IF(AND(I$7&gt;='Assumptions MH'!$I$34,'Cash Flow MH'!I$7&lt;='Assumptions MH'!$J$34),'Assumptions MH'!$K$34,'Assumptions MH'!$K$35),1),1)</f>
        <v>0.66249999999999998</v>
      </c>
      <c r="J20" s="1784">
        <f>IFERROR(MIN(I20+IF(AND(J$7&gt;='Assumptions MH'!$I$34,'Cash Flow MH'!J$7&lt;='Assumptions MH'!$J$34),'Assumptions MH'!$K$34,'Assumptions MH'!$K$35),1),1)</f>
        <v>0.72499999999999998</v>
      </c>
      <c r="K20" s="1784">
        <f>IFERROR(MIN(J20+IF(AND(K$7&gt;='Assumptions MH'!$I$34,'Cash Flow MH'!K$7&lt;='Assumptions MH'!$J$34),'Assumptions MH'!$K$34,'Assumptions MH'!$K$35),1),1)</f>
        <v>0.78749999999999998</v>
      </c>
      <c r="L20" s="1784">
        <f>IFERROR(MIN(K20+IF(AND(L$7&gt;='Assumptions MH'!$I$34,'Cash Flow MH'!L$7&lt;='Assumptions MH'!$J$34),'Assumptions MH'!$K$34,'Assumptions MH'!$K$35),1),1)</f>
        <v>0.80874999999999997</v>
      </c>
      <c r="M20" s="1784">
        <f>IFERROR(MIN(L20+IF(AND(M$7&gt;='Assumptions MH'!$I$34,'Cash Flow MH'!M$7&lt;='Assumptions MH'!$J$34),'Assumptions MH'!$K$34,'Assumptions MH'!$K$35),1),1)</f>
        <v>0.83</v>
      </c>
      <c r="N20" s="1784">
        <f>IFERROR(MIN(M20+IF(AND(N$7&gt;='Assumptions MH'!$I$34,'Cash Flow MH'!N$7&lt;='Assumptions MH'!$J$34),'Assumptions MH'!$K$34,'Assumptions MH'!$K$35),1),1)</f>
        <v>0.85124999999999995</v>
      </c>
      <c r="O20" s="1784">
        <f>IFERROR(MIN(N20+IF(AND(O$7&gt;='Assumptions MH'!$I$34,'Cash Flow MH'!O$7&lt;='Assumptions MH'!$J$34),'Assumptions MH'!$K$34,'Assumptions MH'!$K$35),1),1)</f>
        <v>0.87249999999999994</v>
      </c>
      <c r="P20" s="1784">
        <f>IFERROR(MIN(O20+IF(AND(P$7&gt;='Assumptions MH'!$I$34,'Cash Flow MH'!P$7&lt;='Assumptions MH'!$J$34),'Assumptions MH'!$K$34,'Assumptions MH'!$K$35),1),1)</f>
        <v>0.89374999999999993</v>
      </c>
      <c r="Q20" s="1784">
        <f>IFERROR(MIN(P20+IF(AND(Q$7&gt;='Assumptions MH'!$I$34,'Cash Flow MH'!Q$7&lt;='Assumptions MH'!$J$34),'Assumptions MH'!$K$34,'Assumptions MH'!$K$35),1),1)</f>
        <v>0.91499999999999992</v>
      </c>
      <c r="R20" s="1784">
        <f>IFERROR(MIN(Q20+IF(AND(R$7&gt;='Assumptions MH'!$I$34,'Cash Flow MH'!R$7&lt;='Assumptions MH'!$J$34),'Assumptions MH'!$K$34,'Assumptions MH'!$K$35),1),1)</f>
        <v>0.93624999999999992</v>
      </c>
      <c r="S20" s="1784">
        <f>IFERROR(MIN(R20+IF(AND(S$7&gt;='Assumptions MH'!$I$34,'Cash Flow MH'!S$7&lt;='Assumptions MH'!$J$34),'Assumptions MH'!$K$34,'Assumptions MH'!$K$35),1),1)</f>
        <v>0.95749999999999991</v>
      </c>
      <c r="T20" s="1784">
        <f>IFERROR(MIN(S20+IF(AND(T$7&gt;='Assumptions MH'!$I$34,'Cash Flow MH'!T$7&lt;='Assumptions MH'!$J$34),'Assumptions MH'!$K$34,'Assumptions MH'!$K$35),1),1)</f>
        <v>0.9787499999999999</v>
      </c>
      <c r="U20" s="1784">
        <f>IFERROR(MIN(T20+IF(AND(U$7&gt;='Assumptions MH'!$I$34,'Cash Flow MH'!U$7&lt;='Assumptions MH'!$J$34),'Assumptions MH'!$K$34,'Assumptions MH'!$K$35),1),1)</f>
        <v>0.99999999999999989</v>
      </c>
      <c r="V20" s="1784">
        <f>IFERROR(MIN(U20+IF(AND(V$7&gt;='Assumptions MH'!$I$34,'Cash Flow MH'!V$7&lt;='Assumptions MH'!$J$34),'Assumptions MH'!$K$34,'Assumptions MH'!$K$35),1),1)</f>
        <v>1</v>
      </c>
      <c r="W20" s="1784">
        <f>IFERROR(MIN(V20+IF(AND(W$7&gt;='Assumptions MH'!$I$34,'Cash Flow MH'!W$7&lt;='Assumptions MH'!$J$34),'Assumptions MH'!$K$34,'Assumptions MH'!$K$35),1),1)</f>
        <v>1</v>
      </c>
      <c r="X20" s="1784">
        <f>IFERROR(MIN(W20+IF(AND(X$7&gt;='Assumptions MH'!$I$34,'Cash Flow MH'!X$7&lt;='Assumptions MH'!$J$34),'Assumptions MH'!$K$34,'Assumptions MH'!$K$35),1),1)</f>
        <v>1</v>
      </c>
      <c r="Y20" s="1784">
        <f>IFERROR(MIN(X20+IF(AND(Y$7&gt;='Assumptions MH'!$I$34,'Cash Flow MH'!Y$7&lt;='Assumptions MH'!$J$34),'Assumptions MH'!$K$34,'Assumptions MH'!$K$35),1),1)</f>
        <v>1</v>
      </c>
      <c r="Z20" s="1784">
        <f>IFERROR(MIN(Y20+IF(AND(Z$7&gt;='Assumptions MH'!$I$34,'Cash Flow MH'!Z$7&lt;='Assumptions MH'!$J$34),'Assumptions MH'!$K$34,'Assumptions MH'!$K$35),1),1)</f>
        <v>1</v>
      </c>
      <c r="AA20" s="1784">
        <f>IFERROR(MIN(Z20+IF(AND(AA$7&gt;='Assumptions MH'!$I$34,'Cash Flow MH'!AA$7&lt;='Assumptions MH'!$J$34),'Assumptions MH'!$K$34,'Assumptions MH'!$K$35),1),1)</f>
        <v>1</v>
      </c>
      <c r="AB20" s="1784">
        <f>IFERROR(MIN(AA20+IF(AND(AB$7&gt;='Assumptions MH'!$I$34,'Cash Flow MH'!AB$7&lt;='Assumptions MH'!$J$34),'Assumptions MH'!$K$34,'Assumptions MH'!$K$35),1),1)</f>
        <v>1</v>
      </c>
      <c r="AC20" s="1784">
        <f>IFERROR(MIN(AB20+IF(AND(AC$7&gt;='Assumptions MH'!$I$34,'Cash Flow MH'!AC$7&lt;='Assumptions MH'!$J$34),'Assumptions MH'!$K$34,'Assumptions MH'!$K$35),1),1)</f>
        <v>1</v>
      </c>
      <c r="AD20" s="1784">
        <f>IFERROR(MIN(AC20+IF(AND(AD$7&gt;='Assumptions MH'!$I$34,'Cash Flow MH'!AD$7&lt;='Assumptions MH'!$J$34),'Assumptions MH'!$K$34,'Assumptions MH'!$K$35),1),1)</f>
        <v>1</v>
      </c>
      <c r="AE20" s="1784">
        <f>IFERROR(MIN(AD20+IF(AND(AE$7&gt;='Assumptions MH'!$I$34,'Cash Flow MH'!AE$7&lt;='Assumptions MH'!$J$34),'Assumptions MH'!$K$34,'Assumptions MH'!$K$35),1),1)</f>
        <v>1</v>
      </c>
      <c r="AF20" s="1784">
        <f>IFERROR(MIN(AE20+IF(AND(AF$7&gt;='Assumptions MH'!$I$34,'Cash Flow MH'!AF$7&lt;='Assumptions MH'!$J$34),'Assumptions MH'!$K$34,'Assumptions MH'!$K$35),1),1)</f>
        <v>1</v>
      </c>
      <c r="AG20" s="1784">
        <f>IFERROR(MIN(AF20+IF(AND(AG$7&gt;='Assumptions MH'!$I$34,'Cash Flow MH'!AG$7&lt;='Assumptions MH'!$J$34),'Assumptions MH'!$K$34,'Assumptions MH'!$K$35),1),1)</f>
        <v>1</v>
      </c>
      <c r="AH20" s="1784">
        <f>IFERROR(MIN(AG20+IF(AND(AH$7&gt;='Assumptions MH'!$I$34,'Cash Flow MH'!AH$7&lt;='Assumptions MH'!$J$34),'Assumptions MH'!$K$34,'Assumptions MH'!$K$35),1),1)</f>
        <v>1</v>
      </c>
      <c r="AI20" s="1784">
        <f>IFERROR(MIN(AH20+IF(AND(AI$7&gt;='Assumptions MH'!$I$34,'Cash Flow MH'!AI$7&lt;='Assumptions MH'!$J$34),'Assumptions MH'!$K$34,'Assumptions MH'!$K$35),1),1)</f>
        <v>1</v>
      </c>
      <c r="AJ20" s="1784">
        <f>IFERROR(MIN(AI20+IF(AND(AJ$7&gt;='Assumptions MH'!$I$34,'Cash Flow MH'!AJ$7&lt;='Assumptions MH'!$J$34),'Assumptions MH'!$K$34,'Assumptions MH'!$K$35),1),1)</f>
        <v>1</v>
      </c>
      <c r="AK20" s="1784">
        <f>IFERROR(MIN(AJ20+IF(AND(AK$7&gt;='Assumptions MH'!$I$34,'Cash Flow MH'!AK$7&lt;='Assumptions MH'!$J$34),'Assumptions MH'!$K$34,'Assumptions MH'!$K$35),1),1)</f>
        <v>1</v>
      </c>
      <c r="AL20" s="1784">
        <f>IFERROR(MIN(AK20+IF(AND(AL$7&gt;='Assumptions MH'!$I$34,'Cash Flow MH'!AL$7&lt;='Assumptions MH'!$J$34),'Assumptions MH'!$K$34,'Assumptions MH'!$K$35),1),1)</f>
        <v>1</v>
      </c>
      <c r="AM20" s="1784">
        <f>IFERROR(MIN(AL20+IF(AND(AM$7&gt;='Assumptions MH'!$I$34,'Cash Flow MH'!AM$7&lt;='Assumptions MH'!$J$34),'Assumptions MH'!$K$34,'Assumptions MH'!$K$35),1),1)</f>
        <v>1</v>
      </c>
      <c r="AN20" s="1784">
        <f>IFERROR(MIN(AM20+IF(AND(AN$7&gt;='Assumptions MH'!$I$34,'Cash Flow MH'!AN$7&lt;='Assumptions MH'!$J$34),'Assumptions MH'!$K$34,'Assumptions MH'!$K$35),1),1)</f>
        <v>1</v>
      </c>
      <c r="AO20" s="1784">
        <f>IFERROR(MIN(AN20+IF(AND(AO$7&gt;='Assumptions MH'!$I$34,'Cash Flow MH'!AO$7&lt;='Assumptions MH'!$J$34),'Assumptions MH'!$K$34,'Assumptions MH'!$K$35),1),1)</f>
        <v>1</v>
      </c>
      <c r="AP20" s="1784">
        <f>IFERROR(MIN(AO20+IF(AND(AP$7&gt;='Assumptions MH'!$I$34,'Cash Flow MH'!AP$7&lt;='Assumptions MH'!$J$34),'Assumptions MH'!$K$34,'Assumptions MH'!$K$35),1),1)</f>
        <v>1</v>
      </c>
      <c r="AQ20" s="1784">
        <f>IFERROR(MIN(AP20+IF(AND(AQ$7&gt;='Assumptions MH'!$I$34,'Cash Flow MH'!AQ$7&lt;='Assumptions MH'!$J$34),'Assumptions MH'!$K$34,'Assumptions MH'!$K$35),1),1)</f>
        <v>1</v>
      </c>
      <c r="AR20" s="1784">
        <f>IFERROR(MIN(AQ20+IF(AND(AR$7&gt;='Assumptions MH'!$I$34,'Cash Flow MH'!AR$7&lt;='Assumptions MH'!$J$34),'Assumptions MH'!$K$34,'Assumptions MH'!$K$35),1),1)</f>
        <v>1</v>
      </c>
      <c r="AS20" s="1784">
        <f>IFERROR(MIN(AR20+IF(AND(AS$7&gt;='Assumptions MH'!$I$34,'Cash Flow MH'!AS$7&lt;='Assumptions MH'!$J$34),'Assumptions MH'!$K$34,'Assumptions MH'!$K$35),1),1)</f>
        <v>1</v>
      </c>
      <c r="AT20" s="1784">
        <f>IFERROR(MIN(AS20+IF(AND(AT$7&gt;='Assumptions MH'!$I$34,'Cash Flow MH'!AT$7&lt;='Assumptions MH'!$J$34),'Assumptions MH'!$K$34,'Assumptions MH'!$K$35),1),1)</f>
        <v>1</v>
      </c>
      <c r="AU20" s="1784">
        <f>IFERROR(MIN(AT20+IF(AND(AU$7&gt;='Assumptions MH'!$I$34,'Cash Flow MH'!AU$7&lt;='Assumptions MH'!$J$34),'Assumptions MH'!$K$34,'Assumptions MH'!$K$35),1),1)</f>
        <v>1</v>
      </c>
      <c r="AV20" s="1784">
        <f>IFERROR(MIN(AU20+IF(AND(AV$7&gt;='Assumptions MH'!$I$34,'Cash Flow MH'!AV$7&lt;='Assumptions MH'!$J$34),'Assumptions MH'!$K$34,'Assumptions MH'!$K$35),1),1)</f>
        <v>1</v>
      </c>
      <c r="AW20" s="1784">
        <f>IFERROR(MIN(AV20+IF(AND(AW$7&gt;='Assumptions MH'!$I$34,'Cash Flow MH'!AW$7&lt;='Assumptions MH'!$J$34),'Assumptions MH'!$K$34,'Assumptions MH'!$K$35),1),1)</f>
        <v>1</v>
      </c>
      <c r="AX20" s="1784">
        <f>IFERROR(MIN(AW20+IF(AND(AX$7&gt;='Assumptions MH'!$I$34,'Cash Flow MH'!AX$7&lt;='Assumptions MH'!$J$34),'Assumptions MH'!$K$34,'Assumptions MH'!$K$35),1),1)</f>
        <v>1</v>
      </c>
      <c r="AY20" s="1784">
        <f>IFERROR(MIN(AX20+IF(AND(AY$7&gt;='Assumptions MH'!$I$34,'Cash Flow MH'!AY$7&lt;='Assumptions MH'!$J$34),'Assumptions MH'!$K$34,'Assumptions MH'!$K$35),1),1)</f>
        <v>1</v>
      </c>
      <c r="AZ20" s="1784">
        <f>IFERROR(MIN(AY20+IF(AND(AZ$7&gt;='Assumptions MH'!$I$34,'Cash Flow MH'!AZ$7&lt;='Assumptions MH'!$J$34),'Assumptions MH'!$K$34,'Assumptions MH'!$K$35),1),1)</f>
        <v>1</v>
      </c>
      <c r="BA20" s="1784">
        <f>IFERROR(MIN(AZ20+IF(AND(BA$7&gt;='Assumptions MH'!$I$34,'Cash Flow MH'!BA$7&lt;='Assumptions MH'!$J$34),'Assumptions MH'!$K$34,'Assumptions MH'!$K$35),1),1)</f>
        <v>1</v>
      </c>
      <c r="BB20" s="1784">
        <f>IFERROR(MIN(BA20+IF(AND(BB$7&gt;='Assumptions MH'!$I$34,'Cash Flow MH'!BB$7&lt;='Assumptions MH'!$J$34),'Assumptions MH'!$K$34,'Assumptions MH'!$K$35),1),1)</f>
        <v>1</v>
      </c>
      <c r="BC20" s="1784">
        <f>IFERROR(MIN(BB20+IF(AND(BC$7&gt;='Assumptions MH'!$I$34,'Cash Flow MH'!BC$7&lt;='Assumptions MH'!$J$34),'Assumptions MH'!$K$34,'Assumptions MH'!$K$35),1),1)</f>
        <v>1</v>
      </c>
      <c r="BD20" s="1784">
        <f>IFERROR(MIN(BC20+IF(AND(BD$7&gt;='Assumptions MH'!$I$34,'Cash Flow MH'!BD$7&lt;='Assumptions MH'!$J$34),'Assumptions MH'!$K$34,'Assumptions MH'!$K$35),1),1)</f>
        <v>1</v>
      </c>
      <c r="BE20" s="1784">
        <f>IFERROR(MIN(BD20+IF(AND(BE$7&gt;='Assumptions MH'!$I$34,'Cash Flow MH'!BE$7&lt;='Assumptions MH'!$J$34),'Assumptions MH'!$K$34,'Assumptions MH'!$K$35),1),1)</f>
        <v>1</v>
      </c>
      <c r="BF20" s="1784">
        <f>IFERROR(MIN(BE20+IF(AND(BF$7&gt;='Assumptions MH'!$I$34,'Cash Flow MH'!BF$7&lt;='Assumptions MH'!$J$34),'Assumptions MH'!$K$34,'Assumptions MH'!$K$35),1),1)</f>
        <v>1</v>
      </c>
      <c r="BG20" s="1784">
        <f>IFERROR(MIN(BF20+IF(AND(BG$7&gt;='Assumptions MH'!$I$34,'Cash Flow MH'!BG$7&lt;='Assumptions MH'!$J$34),'Assumptions MH'!$K$34,'Assumptions MH'!$K$35),1),1)</f>
        <v>1</v>
      </c>
      <c r="BH20" s="1784">
        <f>IFERROR(MIN(BG20+IF(AND(BH$7&gt;='Assumptions MH'!$I$34,'Cash Flow MH'!BH$7&lt;='Assumptions MH'!$J$34),'Assumptions MH'!$K$34,'Assumptions MH'!$K$35),1),1)</f>
        <v>1</v>
      </c>
      <c r="BI20" s="1784">
        <f>IFERROR(MIN(BH20+IF(AND(BI$7&gt;='Assumptions MH'!$I$34,'Cash Flow MH'!BI$7&lt;='Assumptions MH'!$J$34),'Assumptions MH'!$K$34,'Assumptions MH'!$K$35),1),1)</f>
        <v>1</v>
      </c>
      <c r="BJ20" s="1784">
        <f>IFERROR(MIN(BI20+IF(AND(BJ$7&gt;='Assumptions MH'!$I$34,'Cash Flow MH'!BJ$7&lt;='Assumptions MH'!$J$34),'Assumptions MH'!$K$34,'Assumptions MH'!$K$35),1),1)</f>
        <v>1</v>
      </c>
      <c r="BK20" s="1784">
        <f>IFERROR(MIN(BJ20+IF(AND(BK$7&gt;='Assumptions MH'!$I$34,'Cash Flow MH'!BK$7&lt;='Assumptions MH'!$J$34),'Assumptions MH'!$K$34,'Assumptions MH'!$K$35),1),1)</f>
        <v>1</v>
      </c>
      <c r="BL20" s="1784">
        <f>IFERROR(MIN(BK20+IF(AND(BL$7&gt;='Assumptions MH'!$I$34,'Cash Flow MH'!BL$7&lt;='Assumptions MH'!$J$34),'Assumptions MH'!$K$34,'Assumptions MH'!$K$35),1),1)</f>
        <v>1</v>
      </c>
      <c r="BM20" s="1784">
        <f>IFERROR(MIN(BL20+IF(AND(BM$7&gt;='Assumptions MH'!$I$34,'Cash Flow MH'!BM$7&lt;='Assumptions MH'!$J$34),'Assumptions MH'!$K$34,'Assumptions MH'!$K$35),1),1)</f>
        <v>1</v>
      </c>
      <c r="BN20" s="1784">
        <f>IFERROR(MIN(BM20+IF(AND(BN$7&gt;='Assumptions MH'!$I$34,'Cash Flow MH'!BN$7&lt;='Assumptions MH'!$J$34),'Assumptions MH'!$K$34,'Assumptions MH'!$K$35),1),1)</f>
        <v>1</v>
      </c>
      <c r="BO20" s="1784">
        <f>IFERROR(MIN(BN20+IF(AND(BO$7&gt;='Assumptions MH'!$I$34,'Cash Flow MH'!BO$7&lt;='Assumptions MH'!$J$34),'Assumptions MH'!$K$34,'Assumptions MH'!$K$35),1),1)</f>
        <v>1</v>
      </c>
      <c r="BP20" s="1784">
        <f>IFERROR(MIN(BO20+IF(AND(BP$7&gt;='Assumptions MH'!$I$34,'Cash Flow MH'!BP$7&lt;='Assumptions MH'!$J$34),'Assumptions MH'!$K$34,'Assumptions MH'!$K$35),1),1)</f>
        <v>1</v>
      </c>
      <c r="BQ20" s="1784">
        <f>IFERROR(MIN(BP20+IF(AND(BQ$7&gt;='Assumptions MH'!$I$34,'Cash Flow MH'!BQ$7&lt;='Assumptions MH'!$J$34),'Assumptions MH'!$K$34,'Assumptions MH'!$K$35),1),1)</f>
        <v>1</v>
      </c>
      <c r="BR20" s="1784">
        <f>IFERROR(MIN(BQ20+IF(AND(BR$7&gt;='Assumptions MH'!$I$34,'Cash Flow MH'!BR$7&lt;='Assumptions MH'!$J$34),'Assumptions MH'!$K$34,'Assumptions MH'!$K$35),1),1)</f>
        <v>1</v>
      </c>
      <c r="BS20" s="1784">
        <f>IFERROR(MIN(BR20+IF(AND(BS$7&gt;='Assumptions MH'!$I$34,'Cash Flow MH'!BS$7&lt;='Assumptions MH'!$J$34),'Assumptions MH'!$K$34,'Assumptions MH'!$K$35),1),1)</f>
        <v>1</v>
      </c>
      <c r="BT20" s="1784">
        <f>IFERROR(MIN(BS20+IF(AND(BT$7&gt;='Assumptions MH'!$I$34,'Cash Flow MH'!BT$7&lt;='Assumptions MH'!$J$34),'Assumptions MH'!$K$34,'Assumptions MH'!$K$35),1),1)</f>
        <v>1</v>
      </c>
      <c r="BU20" s="1784">
        <f>IFERROR(MIN(BT20+IF(AND(BU$7&gt;='Assumptions MH'!$I$34,'Cash Flow MH'!BU$7&lt;='Assumptions MH'!$J$34),'Assumptions MH'!$K$34,'Assumptions MH'!$K$35),1),1)</f>
        <v>1</v>
      </c>
      <c r="BV20" s="1784">
        <f>IFERROR(MIN(BU20+IF(AND(BV$7&gt;='Assumptions MH'!$I$34,'Cash Flow MH'!BV$7&lt;='Assumptions MH'!$J$34),'Assumptions MH'!$K$34,'Assumptions MH'!$K$35),1),1)</f>
        <v>1</v>
      </c>
      <c r="BW20" s="1784">
        <f>IFERROR(MIN(BV20+IF(AND(BW$7&gt;='Assumptions MH'!$I$34,'Cash Flow MH'!BW$7&lt;='Assumptions MH'!$J$34),'Assumptions MH'!$K$34,'Assumptions MH'!$K$35),1),1)</f>
        <v>1</v>
      </c>
      <c r="BX20" s="1784">
        <f>IFERROR(MIN(BW20+IF(AND(BX$7&gt;='Assumptions MH'!$I$34,'Cash Flow MH'!BX$7&lt;='Assumptions MH'!$J$34),'Assumptions MH'!$K$34,'Assumptions MH'!$K$35),1),1)</f>
        <v>1</v>
      </c>
      <c r="BY20" s="1784">
        <f>IFERROR(MIN(BX20+IF(AND(BY$7&gt;='Assumptions MH'!$I$34,'Cash Flow MH'!BY$7&lt;='Assumptions MH'!$J$34),'Assumptions MH'!$K$34,'Assumptions MH'!$K$35),1),1)</f>
        <v>1</v>
      </c>
      <c r="BZ20" s="1784">
        <f>IFERROR(MIN(BY20+IF(AND(BZ$7&gt;='Assumptions MH'!$I$34,'Cash Flow MH'!BZ$7&lt;='Assumptions MH'!$J$34),'Assumptions MH'!$K$34,'Assumptions MH'!$K$35),1),1)</f>
        <v>1</v>
      </c>
      <c r="CA20" s="1784">
        <f>IFERROR(MIN(BZ20+IF(AND(CA$7&gt;='Assumptions MH'!$I$34,'Cash Flow MH'!CA$7&lt;='Assumptions MH'!$J$34),'Assumptions MH'!$K$34,'Assumptions MH'!$K$35),1),1)</f>
        <v>1</v>
      </c>
      <c r="CB20" s="1784">
        <f>IFERROR(MIN(CA20+IF(AND(CB$7&gt;='Assumptions MH'!$I$34,'Cash Flow MH'!CB$7&lt;='Assumptions MH'!$J$34),'Assumptions MH'!$K$34,'Assumptions MH'!$K$35),1),1)</f>
        <v>1</v>
      </c>
      <c r="CC20" s="1784">
        <f>IFERROR(MIN(CB20+IF(AND(CC$7&gt;='Assumptions MH'!$I$34,'Cash Flow MH'!CC$7&lt;='Assumptions MH'!$J$34),'Assumptions MH'!$K$34,'Assumptions MH'!$K$35),1),1)</f>
        <v>1</v>
      </c>
      <c r="CD20" s="1784">
        <f>IFERROR(MIN(CC20+IF(AND(CD$7&gt;='Assumptions MH'!$I$34,'Cash Flow MH'!CD$7&lt;='Assumptions MH'!$J$34),'Assumptions MH'!$K$34,'Assumptions MH'!$K$35),1),1)</f>
        <v>1</v>
      </c>
      <c r="CE20" s="1784">
        <f>IFERROR(MIN(CD20+IF(AND(CE$7&gt;='Assumptions MH'!$I$34,'Cash Flow MH'!CE$7&lt;='Assumptions MH'!$J$34),'Assumptions MH'!$K$34,'Assumptions MH'!$K$35),1),1)</f>
        <v>1</v>
      </c>
      <c r="CF20" s="1784">
        <f>IFERROR(MIN(CE20+IF(AND(CF$7&gt;='Assumptions MH'!$I$34,'Cash Flow MH'!CF$7&lt;='Assumptions MH'!$J$34),'Assumptions MH'!$K$34,'Assumptions MH'!$K$35),1),1)</f>
        <v>1</v>
      </c>
      <c r="CG20" s="1784">
        <f>IFERROR(MIN(CF20+IF(AND(CG$7&gt;='Assumptions MH'!$I$34,'Cash Flow MH'!CG$7&lt;='Assumptions MH'!$J$34),'Assumptions MH'!$K$34,'Assumptions MH'!$K$35),1),1)</f>
        <v>1</v>
      </c>
      <c r="CH20" s="1784">
        <f>IFERROR(MIN(CG20+IF(AND(CH$7&gt;='Assumptions MH'!$I$34,'Cash Flow MH'!CH$7&lt;='Assumptions MH'!$J$34),'Assumptions MH'!$K$34,'Assumptions MH'!$K$35),1),1)</f>
        <v>1</v>
      </c>
      <c r="CI20" s="1784">
        <f>IFERROR(MIN(CH20+IF(AND(CI$7&gt;='Assumptions MH'!$I$34,'Cash Flow MH'!CI$7&lt;='Assumptions MH'!$J$34),'Assumptions MH'!$K$34,'Assumptions MH'!$K$35),1),1)</f>
        <v>1</v>
      </c>
      <c r="CJ20" s="1784">
        <f>IFERROR(MIN(CI20+IF(AND(CJ$7&gt;='Assumptions MH'!$I$34,'Cash Flow MH'!CJ$7&lt;='Assumptions MH'!$J$34),'Assumptions MH'!$K$34,'Assumptions MH'!$K$35),1),1)</f>
        <v>1</v>
      </c>
      <c r="CK20" s="1784">
        <f>IFERROR(MIN(CJ20+IF(AND(CK$7&gt;='Assumptions MH'!$I$34,'Cash Flow MH'!CK$7&lt;='Assumptions MH'!$J$34),'Assumptions MH'!$K$34,'Assumptions MH'!$K$35),1),1)</f>
        <v>1</v>
      </c>
      <c r="CL20" s="1784">
        <f>IFERROR(MIN(CK20+IF(AND(CL$7&gt;='Assumptions MH'!$I$34,'Cash Flow MH'!CL$7&lt;='Assumptions MH'!$J$34),'Assumptions MH'!$K$34,'Assumptions MH'!$K$35),1),1)</f>
        <v>1</v>
      </c>
      <c r="CM20" s="1784">
        <f>IFERROR(MIN(CL20+IF(AND(CM$7&gt;='Assumptions MH'!$I$34,'Cash Flow MH'!CM$7&lt;='Assumptions MH'!$J$34),'Assumptions MH'!$K$34,'Assumptions MH'!$K$35),1),1)</f>
        <v>1</v>
      </c>
      <c r="CN20" s="1784">
        <f>IFERROR(MIN(CM20+IF(AND(CN$7&gt;='Assumptions MH'!$I$34,'Cash Flow MH'!CN$7&lt;='Assumptions MH'!$J$34),'Assumptions MH'!$K$34,'Assumptions MH'!$K$35),1),1)</f>
        <v>1</v>
      </c>
      <c r="CO20" s="1784">
        <f>IFERROR(MIN(CN20+IF(AND(CO$7&gt;='Assumptions MH'!$I$34,'Cash Flow MH'!CO$7&lt;='Assumptions MH'!$J$34),'Assumptions MH'!$K$34,'Assumptions MH'!$K$35),1),1)</f>
        <v>1</v>
      </c>
      <c r="CP20" s="1784">
        <f>IFERROR(MIN(CO20+IF(AND(CP$7&gt;='Assumptions MH'!$I$34,'Cash Flow MH'!CP$7&lt;='Assumptions MH'!$J$34),'Assumptions MH'!$K$34,'Assumptions MH'!$K$35),1),1)</f>
        <v>1</v>
      </c>
      <c r="CQ20" s="1784">
        <f>IFERROR(MIN(CP20+IF(AND(CQ$7&gt;='Assumptions MH'!$I$34,'Cash Flow MH'!CQ$7&lt;='Assumptions MH'!$J$34),'Assumptions MH'!$K$34,'Assumptions MH'!$K$35),1),1)</f>
        <v>1</v>
      </c>
      <c r="CR20" s="1784">
        <f>IFERROR(MIN(CQ20+IF(AND(CR$7&gt;='Assumptions MH'!$I$34,'Cash Flow MH'!CR$7&lt;='Assumptions MH'!$J$34),'Assumptions MH'!$K$34,'Assumptions MH'!$K$35),1),1)</f>
        <v>1</v>
      </c>
      <c r="CS20" s="1784">
        <f>IFERROR(MIN(CR20+IF(AND(CS$7&gt;='Assumptions MH'!$I$34,'Cash Flow MH'!CS$7&lt;='Assumptions MH'!$J$34),'Assumptions MH'!$K$34,'Assumptions MH'!$K$35),1),1)</f>
        <v>1</v>
      </c>
      <c r="CT20" s="1784">
        <f>IFERROR(MIN(CS20+IF(AND(CT$7&gt;='Assumptions MH'!$I$34,'Cash Flow MH'!CT$7&lt;='Assumptions MH'!$J$34),'Assumptions MH'!$K$34,'Assumptions MH'!$K$35),1),1)</f>
        <v>1</v>
      </c>
      <c r="CU20" s="1784">
        <f>IFERROR(MIN(CT20+IF(AND(CU$7&gt;='Assumptions MH'!$I$34,'Cash Flow MH'!CU$7&lt;='Assumptions MH'!$J$34),'Assumptions MH'!$K$34,'Assumptions MH'!$K$35),1),1)</f>
        <v>1</v>
      </c>
      <c r="CV20" s="1784">
        <f>IFERROR(MIN(CU20+IF(AND(CV$7&gt;='Assumptions MH'!$I$34,'Cash Flow MH'!CV$7&lt;='Assumptions MH'!$J$34),'Assumptions MH'!$K$34,'Assumptions MH'!$K$35),1),1)</f>
        <v>1</v>
      </c>
      <c r="CW20" s="1784">
        <f>IFERROR(MIN(CV20+IF(AND(CW$7&gt;='Assumptions MH'!$I$34,'Cash Flow MH'!CW$7&lt;='Assumptions MH'!$J$34),'Assumptions MH'!$K$34,'Assumptions MH'!$K$35),1),1)</f>
        <v>1</v>
      </c>
      <c r="CX20" s="1784">
        <f>IFERROR(MIN(CW20+IF(AND(CX$7&gt;='Assumptions MH'!$I$34,'Cash Flow MH'!CX$7&lt;='Assumptions MH'!$J$34),'Assumptions MH'!$K$34,'Assumptions MH'!$K$35),1),1)</f>
        <v>1</v>
      </c>
      <c r="CY20" s="1784">
        <f>IFERROR(MIN(CX20+IF(AND(CY$7&gt;='Assumptions MH'!$I$34,'Cash Flow MH'!CY$7&lt;='Assumptions MH'!$J$34),'Assumptions MH'!$K$34,'Assumptions MH'!$K$35),1),1)</f>
        <v>1</v>
      </c>
      <c r="CZ20" s="1784">
        <f>IFERROR(MIN(CY20+IF(AND(CZ$7&gt;='Assumptions MH'!$I$34,'Cash Flow MH'!CZ$7&lt;='Assumptions MH'!$J$34),'Assumptions MH'!$K$34,'Assumptions MH'!$K$35),1),1)</f>
        <v>1</v>
      </c>
      <c r="DA20" s="1784">
        <f>IFERROR(MIN(CZ20+IF(AND(DA$7&gt;='Assumptions MH'!$I$34,'Cash Flow MH'!DA$7&lt;='Assumptions MH'!$J$34),'Assumptions MH'!$K$34,'Assumptions MH'!$K$35),1),1)</f>
        <v>1</v>
      </c>
      <c r="DB20" s="1784">
        <f>IFERROR(MIN(DA20+IF(AND(DB$7&gt;='Assumptions MH'!$I$34,'Cash Flow MH'!DB$7&lt;='Assumptions MH'!$J$34),'Assumptions MH'!$K$34,'Assumptions MH'!$K$35),1),1)</f>
        <v>1</v>
      </c>
      <c r="DC20" s="1784">
        <f>IFERROR(MIN(DB20+IF(AND(DC$7&gt;='Assumptions MH'!$I$34,'Cash Flow MH'!DC$7&lt;='Assumptions MH'!$J$34),'Assumptions MH'!$K$34,'Assumptions MH'!$K$35),1),1)</f>
        <v>1</v>
      </c>
      <c r="DD20" s="1784">
        <f>IFERROR(MIN(DC20+IF(AND(DD$7&gt;='Assumptions MH'!$I$34,'Cash Flow MH'!DD$7&lt;='Assumptions MH'!$J$34),'Assumptions MH'!$K$34,'Assumptions MH'!$K$35),1),1)</f>
        <v>1</v>
      </c>
      <c r="DE20" s="1784">
        <f>IFERROR(MIN(DD20+IF(AND(DE$7&gt;='Assumptions MH'!$I$34,'Cash Flow MH'!DE$7&lt;='Assumptions MH'!$J$34),'Assumptions MH'!$K$34,'Assumptions MH'!$K$35),1),1)</f>
        <v>1</v>
      </c>
      <c r="DF20" s="1784">
        <f>IFERROR(MIN(DE20+IF(AND(DF$7&gt;='Assumptions MH'!$I$34,'Cash Flow MH'!DF$7&lt;='Assumptions MH'!$J$34),'Assumptions MH'!$K$34,'Assumptions MH'!$K$35),1),1)</f>
        <v>1</v>
      </c>
      <c r="DG20" s="1784">
        <f>IFERROR(MIN(DF20+IF(AND(DG$7&gt;='Assumptions MH'!$I$34,'Cash Flow MH'!DG$7&lt;='Assumptions MH'!$J$34),'Assumptions MH'!$K$34,'Assumptions MH'!$K$35),1),1)</f>
        <v>1</v>
      </c>
      <c r="DH20" s="1784">
        <f>IFERROR(MIN(DG20+IF(AND(DH$7&gt;='Assumptions MH'!$I$34,'Cash Flow MH'!DH$7&lt;='Assumptions MH'!$J$34),'Assumptions MH'!$K$34,'Assumptions MH'!$K$35),1),1)</f>
        <v>1</v>
      </c>
      <c r="DI20" s="1784">
        <f>IFERROR(MIN(DH20+IF(AND(DI$7&gt;='Assumptions MH'!$I$34,'Cash Flow MH'!DI$7&lt;='Assumptions MH'!$J$34),'Assumptions MH'!$K$34,'Assumptions MH'!$K$35),1),1)</f>
        <v>1</v>
      </c>
      <c r="DJ20" s="1784">
        <f>IFERROR(MIN(DI20+IF(AND(DJ$7&gt;='Assumptions MH'!$I$34,'Cash Flow MH'!DJ$7&lt;='Assumptions MH'!$J$34),'Assumptions MH'!$K$34,'Assumptions MH'!$K$35),1),1)</f>
        <v>1</v>
      </c>
      <c r="DK20" s="1784">
        <f>IFERROR(MIN(DJ20+IF(AND(DK$7&gt;='Assumptions MH'!$I$34,'Cash Flow MH'!DK$7&lt;='Assumptions MH'!$J$34),'Assumptions MH'!$K$34,'Assumptions MH'!$K$35),1),1)</f>
        <v>1</v>
      </c>
      <c r="DL20" s="1784">
        <f>IFERROR(MIN(DK20+IF(AND(DL$7&gt;='Assumptions MH'!$I$34,'Cash Flow MH'!DL$7&lt;='Assumptions MH'!$J$34),'Assumptions MH'!$K$34,'Assumptions MH'!$K$35),1),1)</f>
        <v>1</v>
      </c>
      <c r="DM20" s="1784">
        <f>IFERROR(MIN(DL20+IF(AND(DM$7&gt;='Assumptions MH'!$I$34,'Cash Flow MH'!DM$7&lt;='Assumptions MH'!$J$34),'Assumptions MH'!$K$34,'Assumptions MH'!$K$35),1),1)</f>
        <v>1</v>
      </c>
      <c r="DN20" s="1784">
        <f>IFERROR(MIN(DM20+IF(AND(DN$7&gt;='Assumptions MH'!$I$34,'Cash Flow MH'!DN$7&lt;='Assumptions MH'!$J$34),'Assumptions MH'!$K$34,'Assumptions MH'!$K$35),1),1)</f>
        <v>1</v>
      </c>
      <c r="DO20" s="1784">
        <f>IFERROR(MIN(DN20+IF(AND(DO$7&gt;='Assumptions MH'!$I$34,'Cash Flow MH'!DO$7&lt;='Assumptions MH'!$J$34),'Assumptions MH'!$K$34,'Assumptions MH'!$K$35),1),1)</f>
        <v>1</v>
      </c>
      <c r="DP20" s="1784">
        <f>IFERROR(MIN(DO20+IF(AND(DP$7&gt;='Assumptions MH'!$I$34,'Cash Flow MH'!DP$7&lt;='Assumptions MH'!$J$34),'Assumptions MH'!$K$34,'Assumptions MH'!$K$35),1),1)</f>
        <v>1</v>
      </c>
      <c r="DQ20" s="1784">
        <f>IFERROR(MIN(DP20+IF(AND(DQ$7&gt;='Assumptions MH'!$I$34,'Cash Flow MH'!DQ$7&lt;='Assumptions MH'!$J$34),'Assumptions MH'!$K$34,'Assumptions MH'!$K$35),1),1)</f>
        <v>1</v>
      </c>
      <c r="DR20" s="1784">
        <f>IFERROR(MIN(DQ20+IF(AND(DR$7&gt;='Assumptions MH'!$I$34,'Cash Flow MH'!DR$7&lt;='Assumptions MH'!$J$34),'Assumptions MH'!$K$34,'Assumptions MH'!$K$35),1),1)</f>
        <v>1</v>
      </c>
      <c r="DS20" s="1784">
        <f>IFERROR(MIN(DR20+IF(AND(DS$7&gt;='Assumptions MH'!$I$34,'Cash Flow MH'!DS$7&lt;='Assumptions MH'!$J$34),'Assumptions MH'!$K$34,'Assumptions MH'!$K$35),1),1)</f>
        <v>1</v>
      </c>
      <c r="DT20" s="1485" t="s">
        <v>65</v>
      </c>
    </row>
    <row r="21" spans="1:124" outlineLevel="1">
      <c r="B21" s="1724" t="s">
        <v>1119</v>
      </c>
      <c r="D21" s="1784">
        <f>INDEX('Seasonality MH'!$C$9:$N$9,MATCH(MONTH('Cash Flow MH'!D$8),'Seasonality MH'!$C$7:$N$7,))</f>
        <v>0.78405741381519933</v>
      </c>
      <c r="E21" s="1784">
        <f>INDEX('Seasonality MH'!$C$9:$N$9,MATCH(MONTH('Cash Flow MH'!E$8),'Seasonality MH'!$C$7:$N$7,))</f>
        <v>0.95399205433807499</v>
      </c>
      <c r="F21" s="1784">
        <f>INDEX('Seasonality MH'!$C$9:$N$9,MATCH(MONTH('Cash Flow MH'!F$8),'Seasonality MH'!$C$7:$N$7,))</f>
        <v>1.0660002563116751</v>
      </c>
      <c r="G21" s="1784">
        <f>INDEX('Seasonality MH'!$C$9:$N$9,MATCH(MONTH('Cash Flow MH'!G$8),'Seasonality MH'!$C$7:$N$7,))</f>
        <v>1.0713828014866076</v>
      </c>
      <c r="H21" s="1784">
        <f>INDEX('Seasonality MH'!$C$9:$N$9,MATCH(MONTH('Cash Flow MH'!H$8),'Seasonality MH'!$C$7:$N$7,))</f>
        <v>1.0662565679866716</v>
      </c>
      <c r="I21" s="1784">
        <f>INDEX('Seasonality MH'!$C$9:$N$9,MATCH(MONTH('Cash Flow MH'!I$8),'Seasonality MH'!$C$7:$N$7,))</f>
        <v>1.0598487761117519</v>
      </c>
      <c r="J21" s="1784">
        <f>INDEX('Seasonality MH'!$C$9:$N$9,MATCH(MONTH('Cash Flow MH'!J$8),'Seasonality MH'!$C$7:$N$7,))</f>
        <v>1.0229398949122133</v>
      </c>
      <c r="K21" s="1784">
        <f>INDEX('Seasonality MH'!$C$9:$N$9,MATCH(MONTH('Cash Flow MH'!K$8),'Seasonality MH'!$C$7:$N$7,))</f>
        <v>1.0083301294373959</v>
      </c>
      <c r="L21" s="1784">
        <f>INDEX('Seasonality MH'!$C$9:$N$9,MATCH(MONTH('Cash Flow MH'!L$8),'Seasonality MH'!$C$7:$N$7,))</f>
        <v>1.0478021273869025</v>
      </c>
      <c r="M21" s="1784">
        <f>INDEX('Seasonality MH'!$C$9:$N$9,MATCH(MONTH('Cash Flow MH'!M$8),'Seasonality MH'!$C$7:$N$7,))</f>
        <v>1.0993207740612583</v>
      </c>
      <c r="N21" s="1784">
        <f>INDEX('Seasonality MH'!$C$9:$N$9,MATCH(MONTH('Cash Flow MH'!N$8),'Seasonality MH'!$C$7:$N$7,))</f>
        <v>0.97859797513776758</v>
      </c>
      <c r="O21" s="1784">
        <f>INDEX('Seasonality MH'!$C$9:$N$9,MATCH(MONTH('Cash Flow MH'!O$8),'Seasonality MH'!$C$7:$N$7,))</f>
        <v>0.84147122901448168</v>
      </c>
      <c r="P21" s="1784">
        <f>INDEX('Seasonality MH'!$C$9:$N$9,MATCH(MONTH('Cash Flow MH'!P$8),'Seasonality MH'!$C$7:$N$7,))</f>
        <v>0.78405741381519933</v>
      </c>
      <c r="Q21" s="1784">
        <f>INDEX('Seasonality MH'!$C$9:$N$9,MATCH(MONTH('Cash Flow MH'!Q$8),'Seasonality MH'!$C$7:$N$7,))</f>
        <v>0.95399205433807499</v>
      </c>
      <c r="R21" s="1784">
        <f>INDEX('Seasonality MH'!$C$9:$N$9,MATCH(MONTH('Cash Flow MH'!R$8),'Seasonality MH'!$C$7:$N$7,))</f>
        <v>1.0660002563116751</v>
      </c>
      <c r="S21" s="1784">
        <f>INDEX('Seasonality MH'!$C$9:$N$9,MATCH(MONTH('Cash Flow MH'!S$8),'Seasonality MH'!$C$7:$N$7,))</f>
        <v>1.0713828014866076</v>
      </c>
      <c r="T21" s="1784">
        <f>INDEX('Seasonality MH'!$C$9:$N$9,MATCH(MONTH('Cash Flow MH'!T$8),'Seasonality MH'!$C$7:$N$7,))</f>
        <v>1.0662565679866716</v>
      </c>
      <c r="U21" s="1784">
        <f>INDEX('Seasonality MH'!$C$9:$N$9,MATCH(MONTH('Cash Flow MH'!U$8),'Seasonality MH'!$C$7:$N$7,))</f>
        <v>1.0598487761117519</v>
      </c>
      <c r="V21" s="1784">
        <f>INDEX('Seasonality MH'!$C$9:$N$9,MATCH(MONTH('Cash Flow MH'!V$8),'Seasonality MH'!$C$7:$N$7,))</f>
        <v>1.0229398949122133</v>
      </c>
      <c r="W21" s="1784">
        <f>INDEX('Seasonality MH'!$C$9:$N$9,MATCH(MONTH('Cash Flow MH'!W$8),'Seasonality MH'!$C$7:$N$7,))</f>
        <v>1.0083301294373959</v>
      </c>
      <c r="X21" s="1784">
        <f>INDEX('Seasonality MH'!$C$9:$N$9,MATCH(MONTH('Cash Flow MH'!X$8),'Seasonality MH'!$C$7:$N$7,))</f>
        <v>1.0478021273869025</v>
      </c>
      <c r="Y21" s="1784">
        <f>INDEX('Seasonality MH'!$C$9:$N$9,MATCH(MONTH('Cash Flow MH'!Y$8),'Seasonality MH'!$C$7:$N$7,))</f>
        <v>1.0993207740612583</v>
      </c>
      <c r="Z21" s="1784">
        <f>INDEX('Seasonality MH'!$C$9:$N$9,MATCH(MONTH('Cash Flow MH'!Z$8),'Seasonality MH'!$C$7:$N$7,))</f>
        <v>0.97859797513776758</v>
      </c>
      <c r="AA21" s="1784">
        <f>INDEX('Seasonality MH'!$C$9:$N$9,MATCH(MONTH('Cash Flow MH'!AA$8),'Seasonality MH'!$C$7:$N$7,))</f>
        <v>0.84147122901448168</v>
      </c>
      <c r="AB21" s="1784">
        <f>INDEX('Seasonality MH'!$C$9:$N$9,MATCH(MONTH('Cash Flow MH'!AB$8),'Seasonality MH'!$C$7:$N$7,))</f>
        <v>0.78405741381519933</v>
      </c>
      <c r="AC21" s="1784">
        <f>INDEX('Seasonality MH'!$C$9:$N$9,MATCH(MONTH('Cash Flow MH'!AC$8),'Seasonality MH'!$C$7:$N$7,))</f>
        <v>0.95399205433807499</v>
      </c>
      <c r="AD21" s="1784">
        <f>INDEX('Seasonality MH'!$C$9:$N$9,MATCH(MONTH('Cash Flow MH'!AD$8),'Seasonality MH'!$C$7:$N$7,))</f>
        <v>1.0660002563116751</v>
      </c>
      <c r="AE21" s="1784">
        <f>INDEX('Seasonality MH'!$C$9:$N$9,MATCH(MONTH('Cash Flow MH'!AE$8),'Seasonality MH'!$C$7:$N$7,))</f>
        <v>1.0713828014866076</v>
      </c>
      <c r="AF21" s="1784">
        <f>INDEX('Seasonality MH'!$C$9:$N$9,MATCH(MONTH('Cash Flow MH'!AF$8),'Seasonality MH'!$C$7:$N$7,))</f>
        <v>1.0662565679866716</v>
      </c>
      <c r="AG21" s="1784">
        <f>INDEX('Seasonality MH'!$C$9:$N$9,MATCH(MONTH('Cash Flow MH'!AG$8),'Seasonality MH'!$C$7:$N$7,))</f>
        <v>1.0598487761117519</v>
      </c>
      <c r="AH21" s="1784">
        <f>INDEX('Seasonality MH'!$C$9:$N$9,MATCH(MONTH('Cash Flow MH'!AH$8),'Seasonality MH'!$C$7:$N$7,))</f>
        <v>1.0229398949122133</v>
      </c>
      <c r="AI21" s="1784">
        <f>INDEX('Seasonality MH'!$C$9:$N$9,MATCH(MONTH('Cash Flow MH'!AI$8),'Seasonality MH'!$C$7:$N$7,))</f>
        <v>1.0083301294373959</v>
      </c>
      <c r="AJ21" s="1784">
        <f>INDEX('Seasonality MH'!$C$9:$N$9,MATCH(MONTH('Cash Flow MH'!AJ$8),'Seasonality MH'!$C$7:$N$7,))</f>
        <v>1.0478021273869025</v>
      </c>
      <c r="AK21" s="1784">
        <f>INDEX('Seasonality MH'!$C$9:$N$9,MATCH(MONTH('Cash Flow MH'!AK$8),'Seasonality MH'!$C$7:$N$7,))</f>
        <v>1.0993207740612583</v>
      </c>
      <c r="AL21" s="1784">
        <f>INDEX('Seasonality MH'!$C$9:$N$9,MATCH(MONTH('Cash Flow MH'!AL$8),'Seasonality MH'!$C$7:$N$7,))</f>
        <v>0.97859797513776758</v>
      </c>
      <c r="AM21" s="1784">
        <f>INDEX('Seasonality MH'!$C$9:$N$9,MATCH(MONTH('Cash Flow MH'!AM$8),'Seasonality MH'!$C$7:$N$7,))</f>
        <v>0.84147122901448168</v>
      </c>
      <c r="AN21" s="1784">
        <f>INDEX('Seasonality MH'!$C$9:$N$9,MATCH(MONTH('Cash Flow MH'!AN$8),'Seasonality MH'!$C$7:$N$7,))</f>
        <v>0.78405741381519933</v>
      </c>
      <c r="AO21" s="1784">
        <f>INDEX('Seasonality MH'!$C$9:$N$9,MATCH(MONTH('Cash Flow MH'!AO$8),'Seasonality MH'!$C$7:$N$7,))</f>
        <v>0.95399205433807499</v>
      </c>
      <c r="AP21" s="1784">
        <f>INDEX('Seasonality MH'!$C$9:$N$9,MATCH(MONTH('Cash Flow MH'!AP$8),'Seasonality MH'!$C$7:$N$7,))</f>
        <v>1.0660002563116751</v>
      </c>
      <c r="AQ21" s="1784">
        <f>INDEX('Seasonality MH'!$C$9:$N$9,MATCH(MONTH('Cash Flow MH'!AQ$8),'Seasonality MH'!$C$7:$N$7,))</f>
        <v>1.0713828014866076</v>
      </c>
      <c r="AR21" s="1784">
        <f>INDEX('Seasonality MH'!$C$9:$N$9,MATCH(MONTH('Cash Flow MH'!AR$8),'Seasonality MH'!$C$7:$N$7,))</f>
        <v>1.0662565679866716</v>
      </c>
      <c r="AS21" s="1784">
        <f>INDEX('Seasonality MH'!$C$9:$N$9,MATCH(MONTH('Cash Flow MH'!AS$8),'Seasonality MH'!$C$7:$N$7,))</f>
        <v>1.0598487761117519</v>
      </c>
      <c r="AT21" s="1784">
        <f>INDEX('Seasonality MH'!$C$9:$N$9,MATCH(MONTH('Cash Flow MH'!AT$8),'Seasonality MH'!$C$7:$N$7,))</f>
        <v>1.0229398949122133</v>
      </c>
      <c r="AU21" s="1784">
        <f>INDEX('Seasonality MH'!$C$9:$N$9,MATCH(MONTH('Cash Flow MH'!AU$8),'Seasonality MH'!$C$7:$N$7,))</f>
        <v>1.0083301294373959</v>
      </c>
      <c r="AV21" s="1784">
        <f>INDEX('Seasonality MH'!$C$9:$N$9,MATCH(MONTH('Cash Flow MH'!AV$8),'Seasonality MH'!$C$7:$N$7,))</f>
        <v>1.0478021273869025</v>
      </c>
      <c r="AW21" s="1784">
        <f>INDEX('Seasonality MH'!$C$9:$N$9,MATCH(MONTH('Cash Flow MH'!AW$8),'Seasonality MH'!$C$7:$N$7,))</f>
        <v>1.0993207740612583</v>
      </c>
      <c r="AX21" s="1784">
        <f>INDEX('Seasonality MH'!$C$9:$N$9,MATCH(MONTH('Cash Flow MH'!AX$8),'Seasonality MH'!$C$7:$N$7,))</f>
        <v>0.97859797513776758</v>
      </c>
      <c r="AY21" s="1784">
        <f>INDEX('Seasonality MH'!$C$9:$N$9,MATCH(MONTH('Cash Flow MH'!AY$8),'Seasonality MH'!$C$7:$N$7,))</f>
        <v>0.84147122901448168</v>
      </c>
      <c r="AZ21" s="1784">
        <f>INDEX('Seasonality MH'!$C$9:$N$9,MATCH(MONTH('Cash Flow MH'!AZ$8),'Seasonality MH'!$C$7:$N$7,))</f>
        <v>0.78405741381519933</v>
      </c>
      <c r="BA21" s="1784">
        <f>INDEX('Seasonality MH'!$C$9:$N$9,MATCH(MONTH('Cash Flow MH'!BA$8),'Seasonality MH'!$C$7:$N$7,))</f>
        <v>0.95399205433807499</v>
      </c>
      <c r="BB21" s="1784">
        <f>INDEX('Seasonality MH'!$C$9:$N$9,MATCH(MONTH('Cash Flow MH'!BB$8),'Seasonality MH'!$C$7:$N$7,))</f>
        <v>1.0660002563116751</v>
      </c>
      <c r="BC21" s="1784">
        <f>INDEX('Seasonality MH'!$C$9:$N$9,MATCH(MONTH('Cash Flow MH'!BC$8),'Seasonality MH'!$C$7:$N$7,))</f>
        <v>1.0713828014866076</v>
      </c>
      <c r="BD21" s="1784">
        <f>INDEX('Seasonality MH'!$C$9:$N$9,MATCH(MONTH('Cash Flow MH'!BD$8),'Seasonality MH'!$C$7:$N$7,))</f>
        <v>1.0662565679866716</v>
      </c>
      <c r="BE21" s="1784">
        <f>INDEX('Seasonality MH'!$C$9:$N$9,MATCH(MONTH('Cash Flow MH'!BE$8),'Seasonality MH'!$C$7:$N$7,))</f>
        <v>1.0598487761117519</v>
      </c>
      <c r="BF21" s="1784">
        <f>INDEX('Seasonality MH'!$C$9:$N$9,MATCH(MONTH('Cash Flow MH'!BF$8),'Seasonality MH'!$C$7:$N$7,))</f>
        <v>1.0229398949122133</v>
      </c>
      <c r="BG21" s="1784">
        <f>INDEX('Seasonality MH'!$C$9:$N$9,MATCH(MONTH('Cash Flow MH'!BG$8),'Seasonality MH'!$C$7:$N$7,))</f>
        <v>1.0083301294373959</v>
      </c>
      <c r="BH21" s="1784">
        <f>INDEX('Seasonality MH'!$C$9:$N$9,MATCH(MONTH('Cash Flow MH'!BH$8),'Seasonality MH'!$C$7:$N$7,))</f>
        <v>1.0478021273869025</v>
      </c>
      <c r="BI21" s="1784">
        <f>INDEX('Seasonality MH'!$C$9:$N$9,MATCH(MONTH('Cash Flow MH'!BI$8),'Seasonality MH'!$C$7:$N$7,))</f>
        <v>1.0993207740612583</v>
      </c>
      <c r="BJ21" s="1784">
        <f>INDEX('Seasonality MH'!$C$9:$N$9,MATCH(MONTH('Cash Flow MH'!BJ$8),'Seasonality MH'!$C$7:$N$7,))</f>
        <v>0.97859797513776758</v>
      </c>
      <c r="BK21" s="1784">
        <f>INDEX('Seasonality MH'!$C$9:$N$9,MATCH(MONTH('Cash Flow MH'!BK$8),'Seasonality MH'!$C$7:$N$7,))</f>
        <v>0.84147122901448168</v>
      </c>
      <c r="BL21" s="1784">
        <f>INDEX('Seasonality MH'!$C$9:$N$9,MATCH(MONTH('Cash Flow MH'!BL$8),'Seasonality MH'!$C$7:$N$7,))</f>
        <v>0.78405741381519933</v>
      </c>
      <c r="BM21" s="1784">
        <f>INDEX('Seasonality MH'!$C$9:$N$9,MATCH(MONTH('Cash Flow MH'!BM$8),'Seasonality MH'!$C$7:$N$7,))</f>
        <v>0.95399205433807499</v>
      </c>
      <c r="BN21" s="1784">
        <f>INDEX('Seasonality MH'!$C$9:$N$9,MATCH(MONTH('Cash Flow MH'!BN$8),'Seasonality MH'!$C$7:$N$7,))</f>
        <v>1.0660002563116751</v>
      </c>
      <c r="BO21" s="1784">
        <f>INDEX('Seasonality MH'!$C$9:$N$9,MATCH(MONTH('Cash Flow MH'!BO$8),'Seasonality MH'!$C$7:$N$7,))</f>
        <v>1.0713828014866076</v>
      </c>
      <c r="BP21" s="1784">
        <f>INDEX('Seasonality MH'!$C$9:$N$9,MATCH(MONTH('Cash Flow MH'!BP$8),'Seasonality MH'!$C$7:$N$7,))</f>
        <v>1.0662565679866716</v>
      </c>
      <c r="BQ21" s="1784">
        <f>INDEX('Seasonality MH'!$C$9:$N$9,MATCH(MONTH('Cash Flow MH'!BQ$8),'Seasonality MH'!$C$7:$N$7,))</f>
        <v>1.0598487761117519</v>
      </c>
      <c r="BR21" s="1784">
        <f>INDEX('Seasonality MH'!$C$9:$N$9,MATCH(MONTH('Cash Flow MH'!BR$8),'Seasonality MH'!$C$7:$N$7,))</f>
        <v>1.0229398949122133</v>
      </c>
      <c r="BS21" s="1784">
        <f>INDEX('Seasonality MH'!$C$9:$N$9,MATCH(MONTH('Cash Flow MH'!BS$8),'Seasonality MH'!$C$7:$N$7,))</f>
        <v>1.0083301294373959</v>
      </c>
      <c r="BT21" s="1784">
        <f>INDEX('Seasonality MH'!$C$9:$N$9,MATCH(MONTH('Cash Flow MH'!BT$8),'Seasonality MH'!$C$7:$N$7,))</f>
        <v>1.0478021273869025</v>
      </c>
      <c r="BU21" s="1784">
        <f>INDEX('Seasonality MH'!$C$9:$N$9,MATCH(MONTH('Cash Flow MH'!BU$8),'Seasonality MH'!$C$7:$N$7,))</f>
        <v>1.0993207740612583</v>
      </c>
      <c r="BV21" s="1784">
        <f>INDEX('Seasonality MH'!$C$9:$N$9,MATCH(MONTH('Cash Flow MH'!BV$8),'Seasonality MH'!$C$7:$N$7,))</f>
        <v>0.97859797513776758</v>
      </c>
      <c r="BW21" s="1784">
        <f>INDEX('Seasonality MH'!$C$9:$N$9,MATCH(MONTH('Cash Flow MH'!BW$8),'Seasonality MH'!$C$7:$N$7,))</f>
        <v>0.84147122901448168</v>
      </c>
      <c r="BX21" s="1784">
        <f>INDEX('Seasonality MH'!$C$9:$N$9,MATCH(MONTH('Cash Flow MH'!BX$8),'Seasonality MH'!$C$7:$N$7,))</f>
        <v>0.78405741381519933</v>
      </c>
      <c r="BY21" s="1784">
        <f>INDEX('Seasonality MH'!$C$9:$N$9,MATCH(MONTH('Cash Flow MH'!BY$8),'Seasonality MH'!$C$7:$N$7,))</f>
        <v>0.95399205433807499</v>
      </c>
      <c r="BZ21" s="1784">
        <f>INDEX('Seasonality MH'!$C$9:$N$9,MATCH(MONTH('Cash Flow MH'!BZ$8),'Seasonality MH'!$C$7:$N$7,))</f>
        <v>1.0660002563116751</v>
      </c>
      <c r="CA21" s="1784">
        <f>INDEX('Seasonality MH'!$C$9:$N$9,MATCH(MONTH('Cash Flow MH'!CA$8),'Seasonality MH'!$C$7:$N$7,))</f>
        <v>1.0713828014866076</v>
      </c>
      <c r="CB21" s="1784">
        <f>INDEX('Seasonality MH'!$C$9:$N$9,MATCH(MONTH('Cash Flow MH'!CB$8),'Seasonality MH'!$C$7:$N$7,))</f>
        <v>1.0662565679866716</v>
      </c>
      <c r="CC21" s="1784">
        <f>INDEX('Seasonality MH'!$C$9:$N$9,MATCH(MONTH('Cash Flow MH'!CC$8),'Seasonality MH'!$C$7:$N$7,))</f>
        <v>1.0598487761117519</v>
      </c>
      <c r="CD21" s="1784">
        <f>INDEX('Seasonality MH'!$C$9:$N$9,MATCH(MONTH('Cash Flow MH'!CD$8),'Seasonality MH'!$C$7:$N$7,))</f>
        <v>1.0229398949122133</v>
      </c>
      <c r="CE21" s="1784">
        <f>INDEX('Seasonality MH'!$C$9:$N$9,MATCH(MONTH('Cash Flow MH'!CE$8),'Seasonality MH'!$C$7:$N$7,))</f>
        <v>1.0083301294373959</v>
      </c>
      <c r="CF21" s="1784">
        <f>INDEX('Seasonality MH'!$C$9:$N$9,MATCH(MONTH('Cash Flow MH'!CF$8),'Seasonality MH'!$C$7:$N$7,))</f>
        <v>1.0478021273869025</v>
      </c>
      <c r="CG21" s="1784">
        <f>INDEX('Seasonality MH'!$C$9:$N$9,MATCH(MONTH('Cash Flow MH'!CG$8),'Seasonality MH'!$C$7:$N$7,))</f>
        <v>1.0993207740612583</v>
      </c>
      <c r="CH21" s="1784">
        <f>INDEX('Seasonality MH'!$C$9:$N$9,MATCH(MONTH('Cash Flow MH'!CH$8),'Seasonality MH'!$C$7:$N$7,))</f>
        <v>0.97859797513776758</v>
      </c>
      <c r="CI21" s="1784">
        <f>INDEX('Seasonality MH'!$C$9:$N$9,MATCH(MONTH('Cash Flow MH'!CI$8),'Seasonality MH'!$C$7:$N$7,))</f>
        <v>0.84147122901448168</v>
      </c>
      <c r="CJ21" s="1784">
        <f>INDEX('Seasonality MH'!$C$9:$N$9,MATCH(MONTH('Cash Flow MH'!CJ$8),'Seasonality MH'!$C$7:$N$7,))</f>
        <v>0.78405741381519933</v>
      </c>
      <c r="CK21" s="1784">
        <f>INDEX('Seasonality MH'!$C$9:$N$9,MATCH(MONTH('Cash Flow MH'!CK$8),'Seasonality MH'!$C$7:$N$7,))</f>
        <v>0.95399205433807499</v>
      </c>
      <c r="CL21" s="1784">
        <f>INDEX('Seasonality MH'!$C$9:$N$9,MATCH(MONTH('Cash Flow MH'!CL$8),'Seasonality MH'!$C$7:$N$7,))</f>
        <v>1.0660002563116751</v>
      </c>
      <c r="CM21" s="1784">
        <f>INDEX('Seasonality MH'!$C$9:$N$9,MATCH(MONTH('Cash Flow MH'!CM$8),'Seasonality MH'!$C$7:$N$7,))</f>
        <v>1.0713828014866076</v>
      </c>
      <c r="CN21" s="1784">
        <f>INDEX('Seasonality MH'!$C$9:$N$9,MATCH(MONTH('Cash Flow MH'!CN$8),'Seasonality MH'!$C$7:$N$7,))</f>
        <v>1.0662565679866716</v>
      </c>
      <c r="CO21" s="1784">
        <f>INDEX('Seasonality MH'!$C$9:$N$9,MATCH(MONTH('Cash Flow MH'!CO$8),'Seasonality MH'!$C$7:$N$7,))</f>
        <v>1.0598487761117519</v>
      </c>
      <c r="CP21" s="1784">
        <f>INDEX('Seasonality MH'!$C$9:$N$9,MATCH(MONTH('Cash Flow MH'!CP$8),'Seasonality MH'!$C$7:$N$7,))</f>
        <v>1.0229398949122133</v>
      </c>
      <c r="CQ21" s="1784">
        <f>INDEX('Seasonality MH'!$C$9:$N$9,MATCH(MONTH('Cash Flow MH'!CQ$8),'Seasonality MH'!$C$7:$N$7,))</f>
        <v>1.0083301294373959</v>
      </c>
      <c r="CR21" s="1784">
        <f>INDEX('Seasonality MH'!$C$9:$N$9,MATCH(MONTH('Cash Flow MH'!CR$8),'Seasonality MH'!$C$7:$N$7,))</f>
        <v>1.0478021273869025</v>
      </c>
      <c r="CS21" s="1784">
        <f>INDEX('Seasonality MH'!$C$9:$N$9,MATCH(MONTH('Cash Flow MH'!CS$8),'Seasonality MH'!$C$7:$N$7,))</f>
        <v>1.0993207740612583</v>
      </c>
      <c r="CT21" s="1784">
        <f>INDEX('Seasonality MH'!$C$9:$N$9,MATCH(MONTH('Cash Flow MH'!CT$8),'Seasonality MH'!$C$7:$N$7,))</f>
        <v>0.97859797513776758</v>
      </c>
      <c r="CU21" s="1784">
        <f>INDEX('Seasonality MH'!$C$9:$N$9,MATCH(MONTH('Cash Flow MH'!CU$8),'Seasonality MH'!$C$7:$N$7,))</f>
        <v>0.84147122901448168</v>
      </c>
      <c r="CV21" s="1784">
        <f>INDEX('Seasonality MH'!$C$9:$N$9,MATCH(MONTH('Cash Flow MH'!CV$8),'Seasonality MH'!$C$7:$N$7,))</f>
        <v>0.78405741381519933</v>
      </c>
      <c r="CW21" s="1784">
        <f>INDEX('Seasonality MH'!$C$9:$N$9,MATCH(MONTH('Cash Flow MH'!CW$8),'Seasonality MH'!$C$7:$N$7,))</f>
        <v>0.95399205433807499</v>
      </c>
      <c r="CX21" s="1784">
        <f>INDEX('Seasonality MH'!$C$9:$N$9,MATCH(MONTH('Cash Flow MH'!CX$8),'Seasonality MH'!$C$7:$N$7,))</f>
        <v>1.0660002563116751</v>
      </c>
      <c r="CY21" s="1784">
        <f>INDEX('Seasonality MH'!$C$9:$N$9,MATCH(MONTH('Cash Flow MH'!CY$8),'Seasonality MH'!$C$7:$N$7,))</f>
        <v>1.0713828014866076</v>
      </c>
      <c r="CZ21" s="1784">
        <f>INDEX('Seasonality MH'!$C$9:$N$9,MATCH(MONTH('Cash Flow MH'!CZ$8),'Seasonality MH'!$C$7:$N$7,))</f>
        <v>1.0662565679866716</v>
      </c>
      <c r="DA21" s="1784">
        <f>INDEX('Seasonality MH'!$C$9:$N$9,MATCH(MONTH('Cash Flow MH'!DA$8),'Seasonality MH'!$C$7:$N$7,))</f>
        <v>1.0598487761117519</v>
      </c>
      <c r="DB21" s="1784">
        <f>INDEX('Seasonality MH'!$C$9:$N$9,MATCH(MONTH('Cash Flow MH'!DB$8),'Seasonality MH'!$C$7:$N$7,))</f>
        <v>1.0229398949122133</v>
      </c>
      <c r="DC21" s="1784">
        <f>INDEX('Seasonality MH'!$C$9:$N$9,MATCH(MONTH('Cash Flow MH'!DC$8),'Seasonality MH'!$C$7:$N$7,))</f>
        <v>1.0083301294373959</v>
      </c>
      <c r="DD21" s="1784">
        <f>INDEX('Seasonality MH'!$C$9:$N$9,MATCH(MONTH('Cash Flow MH'!DD$8),'Seasonality MH'!$C$7:$N$7,))</f>
        <v>1.0478021273869025</v>
      </c>
      <c r="DE21" s="1784">
        <f>INDEX('Seasonality MH'!$C$9:$N$9,MATCH(MONTH('Cash Flow MH'!DE$8),'Seasonality MH'!$C$7:$N$7,))</f>
        <v>1.0993207740612583</v>
      </c>
      <c r="DF21" s="1784">
        <f>INDEX('Seasonality MH'!$C$9:$N$9,MATCH(MONTH('Cash Flow MH'!DF$8),'Seasonality MH'!$C$7:$N$7,))</f>
        <v>0.97859797513776758</v>
      </c>
      <c r="DG21" s="1784">
        <f>INDEX('Seasonality MH'!$C$9:$N$9,MATCH(MONTH('Cash Flow MH'!DG$8),'Seasonality MH'!$C$7:$N$7,))</f>
        <v>0.84147122901448168</v>
      </c>
      <c r="DH21" s="1784">
        <f>INDEX('Seasonality MH'!$C$9:$N$9,MATCH(MONTH('Cash Flow MH'!DH$8),'Seasonality MH'!$C$7:$N$7,))</f>
        <v>0.78405741381519933</v>
      </c>
      <c r="DI21" s="1784">
        <f>INDEX('Seasonality MH'!$C$9:$N$9,MATCH(MONTH('Cash Flow MH'!DI$8),'Seasonality MH'!$C$7:$N$7,))</f>
        <v>0.95399205433807499</v>
      </c>
      <c r="DJ21" s="1784">
        <f>INDEX('Seasonality MH'!$C$9:$N$9,MATCH(MONTH('Cash Flow MH'!DJ$8),'Seasonality MH'!$C$7:$N$7,))</f>
        <v>1.0660002563116751</v>
      </c>
      <c r="DK21" s="1784">
        <f>INDEX('Seasonality MH'!$C$9:$N$9,MATCH(MONTH('Cash Flow MH'!DK$8),'Seasonality MH'!$C$7:$N$7,))</f>
        <v>1.0713828014866076</v>
      </c>
      <c r="DL21" s="1784">
        <f>INDEX('Seasonality MH'!$C$9:$N$9,MATCH(MONTH('Cash Flow MH'!DL$8),'Seasonality MH'!$C$7:$N$7,))</f>
        <v>1.0662565679866716</v>
      </c>
      <c r="DM21" s="1784">
        <f>INDEX('Seasonality MH'!$C$9:$N$9,MATCH(MONTH('Cash Flow MH'!DM$8),'Seasonality MH'!$C$7:$N$7,))</f>
        <v>1.0598487761117519</v>
      </c>
      <c r="DN21" s="1784">
        <f>INDEX('Seasonality MH'!$C$9:$N$9,MATCH(MONTH('Cash Flow MH'!DN$8),'Seasonality MH'!$C$7:$N$7,))</f>
        <v>1.0229398949122133</v>
      </c>
      <c r="DO21" s="1784">
        <f>INDEX('Seasonality MH'!$C$9:$N$9,MATCH(MONTH('Cash Flow MH'!DO$8),'Seasonality MH'!$C$7:$N$7,))</f>
        <v>1.0083301294373959</v>
      </c>
      <c r="DP21" s="1784">
        <f>INDEX('Seasonality MH'!$C$9:$N$9,MATCH(MONTH('Cash Flow MH'!DP$8),'Seasonality MH'!$C$7:$N$7,))</f>
        <v>1.0478021273869025</v>
      </c>
      <c r="DQ21" s="1784">
        <f>INDEX('Seasonality MH'!$C$9:$N$9,MATCH(MONTH('Cash Flow MH'!DQ$8),'Seasonality MH'!$C$7:$N$7,))</f>
        <v>1.0993207740612583</v>
      </c>
      <c r="DR21" s="1784">
        <f>INDEX('Seasonality MH'!$C$9:$N$9,MATCH(MONTH('Cash Flow MH'!DR$8),'Seasonality MH'!$C$7:$N$7,))</f>
        <v>0.97859797513776758</v>
      </c>
      <c r="DS21" s="1784">
        <f>INDEX('Seasonality MH'!$C$9:$N$9,MATCH(MONTH('Cash Flow MH'!DS$8),'Seasonality MH'!$C$7:$N$7,))</f>
        <v>0.84147122901448168</v>
      </c>
      <c r="DT21" s="1485" t="s">
        <v>65</v>
      </c>
    </row>
    <row r="22" spans="1:124" outlineLevel="1">
      <c r="B22" s="1724" t="s">
        <v>1120</v>
      </c>
      <c r="D22" s="1785">
        <f>+'Assumptions MH'!$O$8*(1+D15)^(D5-1)</f>
        <v>271</v>
      </c>
      <c r="E22" s="1785">
        <f>+'Assumptions MH'!$O$8*(1+E15)^(E5-1)</f>
        <v>271</v>
      </c>
      <c r="F22" s="1785">
        <f>+'Assumptions MH'!$O$8*(1+F15)^(F5-1)</f>
        <v>271</v>
      </c>
      <c r="G22" s="1785">
        <f>+'Assumptions MH'!$O$8*(1+G15)^(G5-1)</f>
        <v>271</v>
      </c>
      <c r="H22" s="1785">
        <f>+'Assumptions MH'!$O$8*(1+H15)^(H5-1)</f>
        <v>271</v>
      </c>
      <c r="I22" s="1785">
        <f>+'Assumptions MH'!$O$8*(1+I15)^(I5-1)</f>
        <v>271</v>
      </c>
      <c r="J22" s="1785">
        <f>+'Assumptions MH'!$O$8*(1+J15)^(J5-1)</f>
        <v>271</v>
      </c>
      <c r="K22" s="1785">
        <f>+'Assumptions MH'!$O$8*(1+K15)^(K5-1)</f>
        <v>271</v>
      </c>
      <c r="L22" s="1785">
        <f>+'Assumptions MH'!$O$8*(1+L15)^(L5-1)</f>
        <v>271</v>
      </c>
      <c r="M22" s="1785">
        <f>+'Assumptions MH'!$O$8*(1+M15)^(M5-1)</f>
        <v>271</v>
      </c>
      <c r="N22" s="1785">
        <f>+'Assumptions MH'!$O$8*(1+N15)^(N5-1)</f>
        <v>271</v>
      </c>
      <c r="O22" s="1785">
        <f>+'Assumptions MH'!$O$8*(1+O15)^(O5-1)</f>
        <v>271</v>
      </c>
      <c r="P22" s="1785">
        <f>+'Assumptions MH'!$O$8*(1+P15)^(P5-1)</f>
        <v>279.13</v>
      </c>
      <c r="Q22" s="1785">
        <f>+'Assumptions MH'!$O$8*(1+Q15)^(Q5-1)</f>
        <v>279.13</v>
      </c>
      <c r="R22" s="1785">
        <f>+'Assumptions MH'!$O$8*(1+R15)^(R5-1)</f>
        <v>279.13</v>
      </c>
      <c r="S22" s="1785">
        <f>+'Assumptions MH'!$O$8*(1+S15)^(S5-1)</f>
        <v>279.13</v>
      </c>
      <c r="T22" s="1785">
        <f>+'Assumptions MH'!$O$8*(1+T15)^(T5-1)</f>
        <v>279.13</v>
      </c>
      <c r="U22" s="1785">
        <f>+'Assumptions MH'!$O$8*(1+U15)^(U5-1)</f>
        <v>279.13</v>
      </c>
      <c r="V22" s="1785">
        <f>+'Assumptions MH'!$O$8*(1+V15)^(V5-1)</f>
        <v>279.13</v>
      </c>
      <c r="W22" s="1785">
        <f>+'Assumptions MH'!$O$8*(1+W15)^(W5-1)</f>
        <v>279.13</v>
      </c>
      <c r="X22" s="1785">
        <f>+'Assumptions MH'!$O$8*(1+X15)^(X5-1)</f>
        <v>279.13</v>
      </c>
      <c r="Y22" s="1785">
        <f>+'Assumptions MH'!$O$8*(1+Y15)^(Y5-1)</f>
        <v>279.13</v>
      </c>
      <c r="Z22" s="1785">
        <f>+'Assumptions MH'!$O$8*(1+Z15)^(Z5-1)</f>
        <v>279.13</v>
      </c>
      <c r="AA22" s="1785">
        <f>+'Assumptions MH'!$O$8*(1+AA15)^(AA5-1)</f>
        <v>279.13</v>
      </c>
      <c r="AB22" s="1785">
        <f>+'Assumptions MH'!$O$8*(1+AB15)^(AB5-1)</f>
        <v>287.50389999999999</v>
      </c>
      <c r="AC22" s="1785">
        <f>+'Assumptions MH'!$O$8*(1+AC15)^(AC5-1)</f>
        <v>287.50389999999999</v>
      </c>
      <c r="AD22" s="1785">
        <f>+'Assumptions MH'!$O$8*(1+AD15)^(AD5-1)</f>
        <v>287.50389999999999</v>
      </c>
      <c r="AE22" s="1785">
        <f>+'Assumptions MH'!$O$8*(1+AE15)^(AE5-1)</f>
        <v>287.50389999999999</v>
      </c>
      <c r="AF22" s="1785">
        <f>+'Assumptions MH'!$O$8*(1+AF15)^(AF5-1)</f>
        <v>287.50389999999999</v>
      </c>
      <c r="AG22" s="1785">
        <f>+'Assumptions MH'!$O$8*(1+AG15)^(AG5-1)</f>
        <v>287.50389999999999</v>
      </c>
      <c r="AH22" s="1785">
        <f>+'Assumptions MH'!$O$8*(1+AH15)^(AH5-1)</f>
        <v>287.50389999999999</v>
      </c>
      <c r="AI22" s="1785">
        <f>+'Assumptions MH'!$O$8*(1+AI15)^(AI5-1)</f>
        <v>287.50389999999999</v>
      </c>
      <c r="AJ22" s="1785">
        <f>+'Assumptions MH'!$O$8*(1+AJ15)^(AJ5-1)</f>
        <v>287.50389999999999</v>
      </c>
      <c r="AK22" s="1785">
        <f>+'Assumptions MH'!$O$8*(1+AK15)^(AK5-1)</f>
        <v>287.50389999999999</v>
      </c>
      <c r="AL22" s="1785">
        <f>+'Assumptions MH'!$O$8*(1+AL15)^(AL5-1)</f>
        <v>287.50389999999999</v>
      </c>
      <c r="AM22" s="1785">
        <f>+'Assumptions MH'!$O$8*(1+AM15)^(AM5-1)</f>
        <v>287.50389999999999</v>
      </c>
      <c r="AN22" s="1785">
        <f>+'Assumptions MH'!$O$8*(1+AN15)^(AN5-1)</f>
        <v>296.12901699999998</v>
      </c>
      <c r="AO22" s="1785">
        <f>+'Assumptions MH'!$O$8*(1+AO15)^(AO5-1)</f>
        <v>296.12901699999998</v>
      </c>
      <c r="AP22" s="1785">
        <f>+'Assumptions MH'!$O$8*(1+AP15)^(AP5-1)</f>
        <v>296.12901699999998</v>
      </c>
      <c r="AQ22" s="1785">
        <f>+'Assumptions MH'!$O$8*(1+AQ15)^(AQ5-1)</f>
        <v>296.12901699999998</v>
      </c>
      <c r="AR22" s="1785">
        <f>+'Assumptions MH'!$O$8*(1+AR15)^(AR5-1)</f>
        <v>296.12901699999998</v>
      </c>
      <c r="AS22" s="1785">
        <f>+'Assumptions MH'!$O$8*(1+AS15)^(AS5-1)</f>
        <v>296.12901699999998</v>
      </c>
      <c r="AT22" s="1785">
        <f>+'Assumptions MH'!$O$8*(1+AT15)^(AT5-1)</f>
        <v>296.12901699999998</v>
      </c>
      <c r="AU22" s="1785">
        <f>+'Assumptions MH'!$O$8*(1+AU15)^(AU5-1)</f>
        <v>296.12901699999998</v>
      </c>
      <c r="AV22" s="1785">
        <f>+'Assumptions MH'!$O$8*(1+AV15)^(AV5-1)</f>
        <v>296.12901699999998</v>
      </c>
      <c r="AW22" s="1785">
        <f>+'Assumptions MH'!$O$8*(1+AW15)^(AW5-1)</f>
        <v>296.12901699999998</v>
      </c>
      <c r="AX22" s="1785">
        <f>+'Assumptions MH'!$O$8*(1+AX15)^(AX5-1)</f>
        <v>296.12901699999998</v>
      </c>
      <c r="AY22" s="1785">
        <f>+'Assumptions MH'!$O$8*(1+AY15)^(AY5-1)</f>
        <v>296.12901699999998</v>
      </c>
      <c r="AZ22" s="1785">
        <f>+'Assumptions MH'!$O$8*(1+AZ15)^(AZ5-1)</f>
        <v>305.01288750999998</v>
      </c>
      <c r="BA22" s="1785">
        <f>+'Assumptions MH'!$O$8*(1+BA15)^(BA5-1)</f>
        <v>305.01288750999998</v>
      </c>
      <c r="BB22" s="1785">
        <f>+'Assumptions MH'!$O$8*(1+BB15)^(BB5-1)</f>
        <v>305.01288750999998</v>
      </c>
      <c r="BC22" s="1785">
        <f>+'Assumptions MH'!$O$8*(1+BC15)^(BC5-1)</f>
        <v>305.01288750999998</v>
      </c>
      <c r="BD22" s="1785">
        <f>+'Assumptions MH'!$O$8*(1+BD15)^(BD5-1)</f>
        <v>305.01288750999998</v>
      </c>
      <c r="BE22" s="1785">
        <f>+'Assumptions MH'!$O$8*(1+BE15)^(BE5-1)</f>
        <v>305.01288750999998</v>
      </c>
      <c r="BF22" s="1785">
        <f>+'Assumptions MH'!$O$8*(1+BF15)^(BF5-1)</f>
        <v>305.01288750999998</v>
      </c>
      <c r="BG22" s="1785">
        <f>+'Assumptions MH'!$O$8*(1+BG15)^(BG5-1)</f>
        <v>305.01288750999998</v>
      </c>
      <c r="BH22" s="1785">
        <f>+'Assumptions MH'!$O$8*(1+BH15)^(BH5-1)</f>
        <v>305.01288750999998</v>
      </c>
      <c r="BI22" s="1785">
        <f>+'Assumptions MH'!$O$8*(1+BI15)^(BI5-1)</f>
        <v>305.01288750999998</v>
      </c>
      <c r="BJ22" s="1785">
        <f>+'Assumptions MH'!$O$8*(1+BJ15)^(BJ5-1)</f>
        <v>305.01288750999998</v>
      </c>
      <c r="BK22" s="1785">
        <f>+'Assumptions MH'!$O$8*(1+BK15)^(BK5-1)</f>
        <v>305.01288750999998</v>
      </c>
      <c r="BL22" s="1785">
        <f>+'Assumptions MH'!$O$8*(1+BL15)^(BL5-1)</f>
        <v>314.16327413529996</v>
      </c>
      <c r="BM22" s="1785">
        <f>+'Assumptions MH'!$O$8*(1+BM15)^(BM5-1)</f>
        <v>314.16327413529996</v>
      </c>
      <c r="BN22" s="1785">
        <f>+'Assumptions MH'!$O$8*(1+BN15)^(BN5-1)</f>
        <v>314.16327413529996</v>
      </c>
      <c r="BO22" s="1785">
        <f>+'Assumptions MH'!$O$8*(1+BO15)^(BO5-1)</f>
        <v>314.16327413529996</v>
      </c>
      <c r="BP22" s="1785">
        <f>+'Assumptions MH'!$O$8*(1+BP15)^(BP5-1)</f>
        <v>314.16327413529996</v>
      </c>
      <c r="BQ22" s="1785">
        <f>+'Assumptions MH'!$O$8*(1+BQ15)^(BQ5-1)</f>
        <v>314.16327413529996</v>
      </c>
      <c r="BR22" s="1785">
        <f>+'Assumptions MH'!$O$8*(1+BR15)^(BR5-1)</f>
        <v>314.16327413529996</v>
      </c>
      <c r="BS22" s="1785">
        <f>+'Assumptions MH'!$O$8*(1+BS15)^(BS5-1)</f>
        <v>314.16327413529996</v>
      </c>
      <c r="BT22" s="1785">
        <f>+'Assumptions MH'!$O$8*(1+BT15)^(BT5-1)</f>
        <v>314.16327413529996</v>
      </c>
      <c r="BU22" s="1785">
        <f>+'Assumptions MH'!$O$8*(1+BU15)^(BU5-1)</f>
        <v>314.16327413529996</v>
      </c>
      <c r="BV22" s="1785">
        <f>+'Assumptions MH'!$O$8*(1+BV15)^(BV5-1)</f>
        <v>314.16327413529996</v>
      </c>
      <c r="BW22" s="1785">
        <f>+'Assumptions MH'!$O$8*(1+BW15)^(BW5-1)</f>
        <v>314.16327413529996</v>
      </c>
      <c r="BX22" s="1785">
        <f>+'Assumptions MH'!$O$8*(1+BX15)^(BX5-1)</f>
        <v>323.58817235935896</v>
      </c>
      <c r="BY22" s="1785">
        <f>+'Assumptions MH'!$O$8*(1+BY15)^(BY5-1)</f>
        <v>323.58817235935896</v>
      </c>
      <c r="BZ22" s="1785">
        <f>+'Assumptions MH'!$O$8*(1+BZ15)^(BZ5-1)</f>
        <v>323.58817235935896</v>
      </c>
      <c r="CA22" s="1785">
        <f>+'Assumptions MH'!$O$8*(1+CA15)^(CA5-1)</f>
        <v>323.58817235935896</v>
      </c>
      <c r="CB22" s="1785">
        <f>+'Assumptions MH'!$O$8*(1+CB15)^(CB5-1)</f>
        <v>323.58817235935896</v>
      </c>
      <c r="CC22" s="1785">
        <f>+'Assumptions MH'!$O$8*(1+CC15)^(CC5-1)</f>
        <v>323.58817235935896</v>
      </c>
      <c r="CD22" s="1785">
        <f>+'Assumptions MH'!$O$8*(1+CD15)^(CD5-1)</f>
        <v>323.58817235935896</v>
      </c>
      <c r="CE22" s="1785">
        <f>+'Assumptions MH'!$O$8*(1+CE15)^(CE5-1)</f>
        <v>323.58817235935896</v>
      </c>
      <c r="CF22" s="1785">
        <f>+'Assumptions MH'!$O$8*(1+CF15)^(CF5-1)</f>
        <v>323.58817235935896</v>
      </c>
      <c r="CG22" s="1785">
        <f>+'Assumptions MH'!$O$8*(1+CG15)^(CG5-1)</f>
        <v>323.58817235935896</v>
      </c>
      <c r="CH22" s="1785">
        <f>+'Assumptions MH'!$O$8*(1+CH15)^(CH5-1)</f>
        <v>323.58817235935896</v>
      </c>
      <c r="CI22" s="1785">
        <f>+'Assumptions MH'!$O$8*(1+CI15)^(CI5-1)</f>
        <v>323.58817235935896</v>
      </c>
      <c r="CJ22" s="1785">
        <f>+'Assumptions MH'!$O$8*(1+CJ15)^(CJ5-1)</f>
        <v>333.29581753013974</v>
      </c>
      <c r="CK22" s="1785">
        <f>+'Assumptions MH'!$O$8*(1+CK15)^(CK5-1)</f>
        <v>333.29581753013974</v>
      </c>
      <c r="CL22" s="1785">
        <f>+'Assumptions MH'!$O$8*(1+CL15)^(CL5-1)</f>
        <v>333.29581753013974</v>
      </c>
      <c r="CM22" s="1785">
        <f>+'Assumptions MH'!$O$8*(1+CM15)^(CM5-1)</f>
        <v>333.29581753013974</v>
      </c>
      <c r="CN22" s="1785">
        <f>+'Assumptions MH'!$O$8*(1+CN15)^(CN5-1)</f>
        <v>333.29581753013974</v>
      </c>
      <c r="CO22" s="1785">
        <f>+'Assumptions MH'!$O$8*(1+CO15)^(CO5-1)</f>
        <v>333.29581753013974</v>
      </c>
      <c r="CP22" s="1785">
        <f>+'Assumptions MH'!$O$8*(1+CP15)^(CP5-1)</f>
        <v>333.29581753013974</v>
      </c>
      <c r="CQ22" s="1785">
        <f>+'Assumptions MH'!$O$8*(1+CQ15)^(CQ5-1)</f>
        <v>333.29581753013974</v>
      </c>
      <c r="CR22" s="1785">
        <f>+'Assumptions MH'!$O$8*(1+CR15)^(CR5-1)</f>
        <v>333.29581753013974</v>
      </c>
      <c r="CS22" s="1785">
        <f>+'Assumptions MH'!$O$8*(1+CS15)^(CS5-1)</f>
        <v>333.29581753013974</v>
      </c>
      <c r="CT22" s="1785">
        <f>+'Assumptions MH'!$O$8*(1+CT15)^(CT5-1)</f>
        <v>333.29581753013974</v>
      </c>
      <c r="CU22" s="1785">
        <f>+'Assumptions MH'!$O$8*(1+CU15)^(CU5-1)</f>
        <v>333.29581753013974</v>
      </c>
      <c r="CV22" s="1785">
        <f>+'Assumptions MH'!$O$8*(1+CV15)^(CV5-1)</f>
        <v>343.29469205604391</v>
      </c>
      <c r="CW22" s="1785">
        <f>+'Assumptions MH'!$O$8*(1+CW15)^(CW5-1)</f>
        <v>343.29469205604391</v>
      </c>
      <c r="CX22" s="1785">
        <f>+'Assumptions MH'!$O$8*(1+CX15)^(CX5-1)</f>
        <v>343.29469205604391</v>
      </c>
      <c r="CY22" s="1785">
        <f>+'Assumptions MH'!$O$8*(1+CY15)^(CY5-1)</f>
        <v>343.29469205604391</v>
      </c>
      <c r="CZ22" s="1785">
        <f>+'Assumptions MH'!$O$8*(1+CZ15)^(CZ5-1)</f>
        <v>343.29469205604391</v>
      </c>
      <c r="DA22" s="1785">
        <f>+'Assumptions MH'!$O$8*(1+DA15)^(DA5-1)</f>
        <v>343.29469205604391</v>
      </c>
      <c r="DB22" s="1785">
        <f>+'Assumptions MH'!$O$8*(1+DB15)^(DB5-1)</f>
        <v>343.29469205604391</v>
      </c>
      <c r="DC22" s="1785">
        <f>+'Assumptions MH'!$O$8*(1+DC15)^(DC5-1)</f>
        <v>343.29469205604391</v>
      </c>
      <c r="DD22" s="1785">
        <f>+'Assumptions MH'!$O$8*(1+DD15)^(DD5-1)</f>
        <v>343.29469205604391</v>
      </c>
      <c r="DE22" s="1785">
        <f>+'Assumptions MH'!$O$8*(1+DE15)^(DE5-1)</f>
        <v>343.29469205604391</v>
      </c>
      <c r="DF22" s="1785">
        <f>+'Assumptions MH'!$O$8*(1+DF15)^(DF5-1)</f>
        <v>343.29469205604391</v>
      </c>
      <c r="DG22" s="1785">
        <f>+'Assumptions MH'!$O$8*(1+DG15)^(DG5-1)</f>
        <v>343.29469205604391</v>
      </c>
      <c r="DH22" s="1785">
        <f>+'Assumptions MH'!$O$8*(1+DH15)^(DH5-1)</f>
        <v>353.59353281772525</v>
      </c>
      <c r="DI22" s="1785">
        <f>+'Assumptions MH'!$O$8*(1+DI15)^(DI5-1)</f>
        <v>353.59353281772525</v>
      </c>
      <c r="DJ22" s="1785">
        <f>+'Assumptions MH'!$O$8*(1+DJ15)^(DJ5-1)</f>
        <v>353.59353281772525</v>
      </c>
      <c r="DK22" s="1785">
        <f>+'Assumptions MH'!$O$8*(1+DK15)^(DK5-1)</f>
        <v>353.59353281772525</v>
      </c>
      <c r="DL22" s="1785">
        <f>+'Assumptions MH'!$O$8*(1+DL15)^(DL5-1)</f>
        <v>353.59353281772525</v>
      </c>
      <c r="DM22" s="1785">
        <f>+'Assumptions MH'!$O$8*(1+DM15)^(DM5-1)</f>
        <v>353.59353281772525</v>
      </c>
      <c r="DN22" s="1785">
        <f>+'Assumptions MH'!$O$8*(1+DN15)^(DN5-1)</f>
        <v>353.59353281772525</v>
      </c>
      <c r="DO22" s="1785">
        <f>+'Assumptions MH'!$O$8*(1+DO15)^(DO5-1)</f>
        <v>353.59353281772525</v>
      </c>
      <c r="DP22" s="1785">
        <f>+'Assumptions MH'!$O$8*(1+DP15)^(DP5-1)</f>
        <v>353.59353281772525</v>
      </c>
      <c r="DQ22" s="1785">
        <f>+'Assumptions MH'!$O$8*(1+DQ15)^(DQ5-1)</f>
        <v>353.59353281772525</v>
      </c>
      <c r="DR22" s="1785">
        <f>+'Assumptions MH'!$O$8*(1+DR15)^(DR5-1)</f>
        <v>353.59353281772525</v>
      </c>
      <c r="DS22" s="1785">
        <f>+'Assumptions MH'!$O$8*(1+DS15)^(DS5-1)</f>
        <v>353.59353281772525</v>
      </c>
      <c r="DT22" s="1485" t="s">
        <v>65</v>
      </c>
    </row>
    <row r="23" spans="1:124" outlineLevel="1">
      <c r="B23" s="1724" t="s">
        <v>1121</v>
      </c>
      <c r="D23" s="1784">
        <f>INDEX('Seasonality MH'!$C$15:$N$15,MATCH(MONTH('Cash Flow MH'!D$8),'Seasonality MH'!$C$13:$N$13,))</f>
        <v>0.88111218437382199</v>
      </c>
      <c r="E23" s="1784">
        <f>INDEX('Seasonality MH'!$C$15:$N$15,MATCH(MONTH('Cash Flow MH'!E$8),'Seasonality MH'!$C$13:$N$13,))</f>
        <v>0.96163584978463856</v>
      </c>
      <c r="F23" s="1784">
        <f>INDEX('Seasonality MH'!$C$15:$N$15,MATCH(MONTH('Cash Flow MH'!F$8),'Seasonality MH'!$C$13:$N$13,))</f>
        <v>1.016255392926722</v>
      </c>
      <c r="G23" s="1784">
        <f>INDEX('Seasonality MH'!$C$15:$N$15,MATCH(MONTH('Cash Flow MH'!G$8),'Seasonality MH'!$C$13:$N$13,))</f>
        <v>1.034366023998937</v>
      </c>
      <c r="H23" s="1784">
        <f>INDEX('Seasonality MH'!$C$15:$N$15,MATCH(MONTH('Cash Flow MH'!H$8),'Seasonality MH'!$C$13:$N$13,))</f>
        <v>1.0278752034314205</v>
      </c>
      <c r="I23" s="1784">
        <f>INDEX('Seasonality MH'!$C$15:$N$15,MATCH(MONTH('Cash Flow MH'!I$8),'Seasonality MH'!$C$13:$N$13,))</f>
        <v>1.0840335777912908</v>
      </c>
      <c r="J23" s="1784">
        <f>INDEX('Seasonality MH'!$C$15:$N$15,MATCH(MONTH('Cash Flow MH'!J$8),'Seasonality MH'!$C$13:$N$13,))</f>
        <v>0.95598678878226329</v>
      </c>
      <c r="K23" s="1784">
        <f>INDEX('Seasonality MH'!$C$15:$N$15,MATCH(MONTH('Cash Flow MH'!K$8),'Seasonality MH'!$C$13:$N$13,))</f>
        <v>0.96444177892398109</v>
      </c>
      <c r="L23" s="1784">
        <f>INDEX('Seasonality MH'!$C$15:$N$15,MATCH(MONTH('Cash Flow MH'!L$8),'Seasonality MH'!$C$13:$N$13,))</f>
        <v>1.0276244685797471</v>
      </c>
      <c r="M23" s="1784">
        <f>INDEX('Seasonality MH'!$C$15:$N$15,MATCH(MONTH('Cash Flow MH'!M$8),'Seasonality MH'!$C$13:$N$13,))</f>
        <v>1.1094693100981017</v>
      </c>
      <c r="N23" s="1784">
        <f>INDEX('Seasonality MH'!$C$15:$N$15,MATCH(MONTH('Cash Flow MH'!N$8),'Seasonality MH'!$C$13:$N$13,))</f>
        <v>1.0038820355006832</v>
      </c>
      <c r="O23" s="1784">
        <f>INDEX('Seasonality MH'!$C$15:$N$15,MATCH(MONTH('Cash Flow MH'!O$8),'Seasonality MH'!$C$13:$N$13,))</f>
        <v>0.93331738580839285</v>
      </c>
      <c r="P23" s="1784">
        <f>INDEX('Seasonality MH'!$C$15:$N$15,MATCH(MONTH('Cash Flow MH'!P$8),'Seasonality MH'!$C$13:$N$13,))</f>
        <v>0.88111218437382199</v>
      </c>
      <c r="Q23" s="1784">
        <f>INDEX('Seasonality MH'!$C$15:$N$15,MATCH(MONTH('Cash Flow MH'!Q$8),'Seasonality MH'!$C$13:$N$13,))</f>
        <v>0.96163584978463856</v>
      </c>
      <c r="R23" s="1784">
        <f>INDEX('Seasonality MH'!$C$15:$N$15,MATCH(MONTH('Cash Flow MH'!R$8),'Seasonality MH'!$C$13:$N$13,))</f>
        <v>1.016255392926722</v>
      </c>
      <c r="S23" s="1784">
        <f>INDEX('Seasonality MH'!$C$15:$N$15,MATCH(MONTH('Cash Flow MH'!S$8),'Seasonality MH'!$C$13:$N$13,))</f>
        <v>1.034366023998937</v>
      </c>
      <c r="T23" s="1784">
        <f>INDEX('Seasonality MH'!$C$15:$N$15,MATCH(MONTH('Cash Flow MH'!T$8),'Seasonality MH'!$C$13:$N$13,))</f>
        <v>1.0278752034314205</v>
      </c>
      <c r="U23" s="1784">
        <f>INDEX('Seasonality MH'!$C$15:$N$15,MATCH(MONTH('Cash Flow MH'!U$8),'Seasonality MH'!$C$13:$N$13,))</f>
        <v>1.0840335777912908</v>
      </c>
      <c r="V23" s="1784">
        <f>INDEX('Seasonality MH'!$C$15:$N$15,MATCH(MONTH('Cash Flow MH'!V$8),'Seasonality MH'!$C$13:$N$13,))</f>
        <v>0.95598678878226329</v>
      </c>
      <c r="W23" s="1784">
        <f>INDEX('Seasonality MH'!$C$15:$N$15,MATCH(MONTH('Cash Flow MH'!W$8),'Seasonality MH'!$C$13:$N$13,))</f>
        <v>0.96444177892398109</v>
      </c>
      <c r="X23" s="1784">
        <f>INDEX('Seasonality MH'!$C$15:$N$15,MATCH(MONTH('Cash Flow MH'!X$8),'Seasonality MH'!$C$13:$N$13,))</f>
        <v>1.0276244685797471</v>
      </c>
      <c r="Y23" s="1784">
        <f>INDEX('Seasonality MH'!$C$15:$N$15,MATCH(MONTH('Cash Flow MH'!Y$8),'Seasonality MH'!$C$13:$N$13,))</f>
        <v>1.1094693100981017</v>
      </c>
      <c r="Z23" s="1784">
        <f>INDEX('Seasonality MH'!$C$15:$N$15,MATCH(MONTH('Cash Flow MH'!Z$8),'Seasonality MH'!$C$13:$N$13,))</f>
        <v>1.0038820355006832</v>
      </c>
      <c r="AA23" s="1784">
        <f>INDEX('Seasonality MH'!$C$15:$N$15,MATCH(MONTH('Cash Flow MH'!AA$8),'Seasonality MH'!$C$13:$N$13,))</f>
        <v>0.93331738580839285</v>
      </c>
      <c r="AB23" s="1784">
        <f>INDEX('Seasonality MH'!$C$15:$N$15,MATCH(MONTH('Cash Flow MH'!AB$8),'Seasonality MH'!$C$13:$N$13,))</f>
        <v>0.88111218437382199</v>
      </c>
      <c r="AC23" s="1784">
        <f>INDEX('Seasonality MH'!$C$15:$N$15,MATCH(MONTH('Cash Flow MH'!AC$8),'Seasonality MH'!$C$13:$N$13,))</f>
        <v>0.96163584978463856</v>
      </c>
      <c r="AD23" s="1784">
        <f>INDEX('Seasonality MH'!$C$15:$N$15,MATCH(MONTH('Cash Flow MH'!AD$8),'Seasonality MH'!$C$13:$N$13,))</f>
        <v>1.016255392926722</v>
      </c>
      <c r="AE23" s="1784">
        <f>INDEX('Seasonality MH'!$C$15:$N$15,MATCH(MONTH('Cash Flow MH'!AE$8),'Seasonality MH'!$C$13:$N$13,))</f>
        <v>1.034366023998937</v>
      </c>
      <c r="AF23" s="1784">
        <f>INDEX('Seasonality MH'!$C$15:$N$15,MATCH(MONTH('Cash Flow MH'!AF$8),'Seasonality MH'!$C$13:$N$13,))</f>
        <v>1.0278752034314205</v>
      </c>
      <c r="AG23" s="1784">
        <f>INDEX('Seasonality MH'!$C$15:$N$15,MATCH(MONTH('Cash Flow MH'!AG$8),'Seasonality MH'!$C$13:$N$13,))</f>
        <v>1.0840335777912908</v>
      </c>
      <c r="AH23" s="1784">
        <f>INDEX('Seasonality MH'!$C$15:$N$15,MATCH(MONTH('Cash Flow MH'!AH$8),'Seasonality MH'!$C$13:$N$13,))</f>
        <v>0.95598678878226329</v>
      </c>
      <c r="AI23" s="1784">
        <f>INDEX('Seasonality MH'!$C$15:$N$15,MATCH(MONTH('Cash Flow MH'!AI$8),'Seasonality MH'!$C$13:$N$13,))</f>
        <v>0.96444177892398109</v>
      </c>
      <c r="AJ23" s="1784">
        <f>INDEX('Seasonality MH'!$C$15:$N$15,MATCH(MONTH('Cash Flow MH'!AJ$8),'Seasonality MH'!$C$13:$N$13,))</f>
        <v>1.0276244685797471</v>
      </c>
      <c r="AK23" s="1784">
        <f>INDEX('Seasonality MH'!$C$15:$N$15,MATCH(MONTH('Cash Flow MH'!AK$8),'Seasonality MH'!$C$13:$N$13,))</f>
        <v>1.1094693100981017</v>
      </c>
      <c r="AL23" s="1784">
        <f>INDEX('Seasonality MH'!$C$15:$N$15,MATCH(MONTH('Cash Flow MH'!AL$8),'Seasonality MH'!$C$13:$N$13,))</f>
        <v>1.0038820355006832</v>
      </c>
      <c r="AM23" s="1784">
        <f>INDEX('Seasonality MH'!$C$15:$N$15,MATCH(MONTH('Cash Flow MH'!AM$8),'Seasonality MH'!$C$13:$N$13,))</f>
        <v>0.93331738580839285</v>
      </c>
      <c r="AN23" s="1784">
        <f>INDEX('Seasonality MH'!$C$15:$N$15,MATCH(MONTH('Cash Flow MH'!AN$8),'Seasonality MH'!$C$13:$N$13,))</f>
        <v>0.88111218437382199</v>
      </c>
      <c r="AO23" s="1784">
        <f>INDEX('Seasonality MH'!$C$15:$N$15,MATCH(MONTH('Cash Flow MH'!AO$8),'Seasonality MH'!$C$13:$N$13,))</f>
        <v>0.96163584978463856</v>
      </c>
      <c r="AP23" s="1784">
        <f>INDEX('Seasonality MH'!$C$15:$N$15,MATCH(MONTH('Cash Flow MH'!AP$8),'Seasonality MH'!$C$13:$N$13,))</f>
        <v>1.016255392926722</v>
      </c>
      <c r="AQ23" s="1784">
        <f>INDEX('Seasonality MH'!$C$15:$N$15,MATCH(MONTH('Cash Flow MH'!AQ$8),'Seasonality MH'!$C$13:$N$13,))</f>
        <v>1.034366023998937</v>
      </c>
      <c r="AR23" s="1784">
        <f>INDEX('Seasonality MH'!$C$15:$N$15,MATCH(MONTH('Cash Flow MH'!AR$8),'Seasonality MH'!$C$13:$N$13,))</f>
        <v>1.0278752034314205</v>
      </c>
      <c r="AS23" s="1784">
        <f>INDEX('Seasonality MH'!$C$15:$N$15,MATCH(MONTH('Cash Flow MH'!AS$8),'Seasonality MH'!$C$13:$N$13,))</f>
        <v>1.0840335777912908</v>
      </c>
      <c r="AT23" s="1784">
        <f>INDEX('Seasonality MH'!$C$15:$N$15,MATCH(MONTH('Cash Flow MH'!AT$8),'Seasonality MH'!$C$13:$N$13,))</f>
        <v>0.95598678878226329</v>
      </c>
      <c r="AU23" s="1784">
        <f>INDEX('Seasonality MH'!$C$15:$N$15,MATCH(MONTH('Cash Flow MH'!AU$8),'Seasonality MH'!$C$13:$N$13,))</f>
        <v>0.96444177892398109</v>
      </c>
      <c r="AV23" s="1784">
        <f>INDEX('Seasonality MH'!$C$15:$N$15,MATCH(MONTH('Cash Flow MH'!AV$8),'Seasonality MH'!$C$13:$N$13,))</f>
        <v>1.0276244685797471</v>
      </c>
      <c r="AW23" s="1784">
        <f>INDEX('Seasonality MH'!$C$15:$N$15,MATCH(MONTH('Cash Flow MH'!AW$8),'Seasonality MH'!$C$13:$N$13,))</f>
        <v>1.1094693100981017</v>
      </c>
      <c r="AX23" s="1784">
        <f>INDEX('Seasonality MH'!$C$15:$N$15,MATCH(MONTH('Cash Flow MH'!AX$8),'Seasonality MH'!$C$13:$N$13,))</f>
        <v>1.0038820355006832</v>
      </c>
      <c r="AY23" s="1784">
        <f>INDEX('Seasonality MH'!$C$15:$N$15,MATCH(MONTH('Cash Flow MH'!AY$8),'Seasonality MH'!$C$13:$N$13,))</f>
        <v>0.93331738580839285</v>
      </c>
      <c r="AZ23" s="1784">
        <f>INDEX('Seasonality MH'!$C$15:$N$15,MATCH(MONTH('Cash Flow MH'!AZ$8),'Seasonality MH'!$C$13:$N$13,))</f>
        <v>0.88111218437382199</v>
      </c>
      <c r="BA23" s="1784">
        <f>INDEX('Seasonality MH'!$C$15:$N$15,MATCH(MONTH('Cash Flow MH'!BA$8),'Seasonality MH'!$C$13:$N$13,))</f>
        <v>0.96163584978463856</v>
      </c>
      <c r="BB23" s="1784">
        <f>INDEX('Seasonality MH'!$C$15:$N$15,MATCH(MONTH('Cash Flow MH'!BB$8),'Seasonality MH'!$C$13:$N$13,))</f>
        <v>1.016255392926722</v>
      </c>
      <c r="BC23" s="1784">
        <f>INDEX('Seasonality MH'!$C$15:$N$15,MATCH(MONTH('Cash Flow MH'!BC$8),'Seasonality MH'!$C$13:$N$13,))</f>
        <v>1.034366023998937</v>
      </c>
      <c r="BD23" s="1784">
        <f>INDEX('Seasonality MH'!$C$15:$N$15,MATCH(MONTH('Cash Flow MH'!BD$8),'Seasonality MH'!$C$13:$N$13,))</f>
        <v>1.0278752034314205</v>
      </c>
      <c r="BE23" s="1784">
        <f>INDEX('Seasonality MH'!$C$15:$N$15,MATCH(MONTH('Cash Flow MH'!BE$8),'Seasonality MH'!$C$13:$N$13,))</f>
        <v>1.0840335777912908</v>
      </c>
      <c r="BF23" s="1784">
        <f>INDEX('Seasonality MH'!$C$15:$N$15,MATCH(MONTH('Cash Flow MH'!BF$8),'Seasonality MH'!$C$13:$N$13,))</f>
        <v>0.95598678878226329</v>
      </c>
      <c r="BG23" s="1784">
        <f>INDEX('Seasonality MH'!$C$15:$N$15,MATCH(MONTH('Cash Flow MH'!BG$8),'Seasonality MH'!$C$13:$N$13,))</f>
        <v>0.96444177892398109</v>
      </c>
      <c r="BH23" s="1784">
        <f>INDEX('Seasonality MH'!$C$15:$N$15,MATCH(MONTH('Cash Flow MH'!BH$8),'Seasonality MH'!$C$13:$N$13,))</f>
        <v>1.0276244685797471</v>
      </c>
      <c r="BI23" s="1784">
        <f>INDEX('Seasonality MH'!$C$15:$N$15,MATCH(MONTH('Cash Flow MH'!BI$8),'Seasonality MH'!$C$13:$N$13,))</f>
        <v>1.1094693100981017</v>
      </c>
      <c r="BJ23" s="1784">
        <f>INDEX('Seasonality MH'!$C$15:$N$15,MATCH(MONTH('Cash Flow MH'!BJ$8),'Seasonality MH'!$C$13:$N$13,))</f>
        <v>1.0038820355006832</v>
      </c>
      <c r="BK23" s="1784">
        <f>INDEX('Seasonality MH'!$C$15:$N$15,MATCH(MONTH('Cash Flow MH'!BK$8),'Seasonality MH'!$C$13:$N$13,))</f>
        <v>0.93331738580839285</v>
      </c>
      <c r="BL23" s="1784">
        <f>INDEX('Seasonality MH'!$C$15:$N$15,MATCH(MONTH('Cash Flow MH'!BL$8),'Seasonality MH'!$C$13:$N$13,))</f>
        <v>0.88111218437382199</v>
      </c>
      <c r="BM23" s="1784">
        <f>INDEX('Seasonality MH'!$C$15:$N$15,MATCH(MONTH('Cash Flow MH'!BM$8),'Seasonality MH'!$C$13:$N$13,))</f>
        <v>0.96163584978463856</v>
      </c>
      <c r="BN23" s="1784">
        <f>INDEX('Seasonality MH'!$C$15:$N$15,MATCH(MONTH('Cash Flow MH'!BN$8),'Seasonality MH'!$C$13:$N$13,))</f>
        <v>1.016255392926722</v>
      </c>
      <c r="BO23" s="1784">
        <f>INDEX('Seasonality MH'!$C$15:$N$15,MATCH(MONTH('Cash Flow MH'!BO$8),'Seasonality MH'!$C$13:$N$13,))</f>
        <v>1.034366023998937</v>
      </c>
      <c r="BP23" s="1784">
        <f>INDEX('Seasonality MH'!$C$15:$N$15,MATCH(MONTH('Cash Flow MH'!BP$8),'Seasonality MH'!$C$13:$N$13,))</f>
        <v>1.0278752034314205</v>
      </c>
      <c r="BQ23" s="1784">
        <f>INDEX('Seasonality MH'!$C$15:$N$15,MATCH(MONTH('Cash Flow MH'!BQ$8),'Seasonality MH'!$C$13:$N$13,))</f>
        <v>1.0840335777912908</v>
      </c>
      <c r="BR23" s="1784">
        <f>INDEX('Seasonality MH'!$C$15:$N$15,MATCH(MONTH('Cash Flow MH'!BR$8),'Seasonality MH'!$C$13:$N$13,))</f>
        <v>0.95598678878226329</v>
      </c>
      <c r="BS23" s="1784">
        <f>INDEX('Seasonality MH'!$C$15:$N$15,MATCH(MONTH('Cash Flow MH'!BS$8),'Seasonality MH'!$C$13:$N$13,))</f>
        <v>0.96444177892398109</v>
      </c>
      <c r="BT23" s="1784">
        <f>INDEX('Seasonality MH'!$C$15:$N$15,MATCH(MONTH('Cash Flow MH'!BT$8),'Seasonality MH'!$C$13:$N$13,))</f>
        <v>1.0276244685797471</v>
      </c>
      <c r="BU23" s="1784">
        <f>INDEX('Seasonality MH'!$C$15:$N$15,MATCH(MONTH('Cash Flow MH'!BU$8),'Seasonality MH'!$C$13:$N$13,))</f>
        <v>1.1094693100981017</v>
      </c>
      <c r="BV23" s="1784">
        <f>INDEX('Seasonality MH'!$C$15:$N$15,MATCH(MONTH('Cash Flow MH'!BV$8),'Seasonality MH'!$C$13:$N$13,))</f>
        <v>1.0038820355006832</v>
      </c>
      <c r="BW23" s="1784">
        <f>INDEX('Seasonality MH'!$C$15:$N$15,MATCH(MONTH('Cash Flow MH'!BW$8),'Seasonality MH'!$C$13:$N$13,))</f>
        <v>0.93331738580839285</v>
      </c>
      <c r="BX23" s="1784">
        <f>INDEX('Seasonality MH'!$C$15:$N$15,MATCH(MONTH('Cash Flow MH'!BX$8),'Seasonality MH'!$C$13:$N$13,))</f>
        <v>0.88111218437382199</v>
      </c>
      <c r="BY23" s="1784">
        <f>INDEX('Seasonality MH'!$C$15:$N$15,MATCH(MONTH('Cash Flow MH'!BY$8),'Seasonality MH'!$C$13:$N$13,))</f>
        <v>0.96163584978463856</v>
      </c>
      <c r="BZ23" s="1784">
        <f>INDEX('Seasonality MH'!$C$15:$N$15,MATCH(MONTH('Cash Flow MH'!BZ$8),'Seasonality MH'!$C$13:$N$13,))</f>
        <v>1.016255392926722</v>
      </c>
      <c r="CA23" s="1784">
        <f>INDEX('Seasonality MH'!$C$15:$N$15,MATCH(MONTH('Cash Flow MH'!CA$8),'Seasonality MH'!$C$13:$N$13,))</f>
        <v>1.034366023998937</v>
      </c>
      <c r="CB23" s="1784">
        <f>INDEX('Seasonality MH'!$C$15:$N$15,MATCH(MONTH('Cash Flow MH'!CB$8),'Seasonality MH'!$C$13:$N$13,))</f>
        <v>1.0278752034314205</v>
      </c>
      <c r="CC23" s="1784">
        <f>INDEX('Seasonality MH'!$C$15:$N$15,MATCH(MONTH('Cash Flow MH'!CC$8),'Seasonality MH'!$C$13:$N$13,))</f>
        <v>1.0840335777912908</v>
      </c>
      <c r="CD23" s="1784">
        <f>INDEX('Seasonality MH'!$C$15:$N$15,MATCH(MONTH('Cash Flow MH'!CD$8),'Seasonality MH'!$C$13:$N$13,))</f>
        <v>0.95598678878226329</v>
      </c>
      <c r="CE23" s="1784">
        <f>INDEX('Seasonality MH'!$C$15:$N$15,MATCH(MONTH('Cash Flow MH'!CE$8),'Seasonality MH'!$C$13:$N$13,))</f>
        <v>0.96444177892398109</v>
      </c>
      <c r="CF23" s="1784">
        <f>INDEX('Seasonality MH'!$C$15:$N$15,MATCH(MONTH('Cash Flow MH'!CF$8),'Seasonality MH'!$C$13:$N$13,))</f>
        <v>1.0276244685797471</v>
      </c>
      <c r="CG23" s="1784">
        <f>INDEX('Seasonality MH'!$C$15:$N$15,MATCH(MONTH('Cash Flow MH'!CG$8),'Seasonality MH'!$C$13:$N$13,))</f>
        <v>1.1094693100981017</v>
      </c>
      <c r="CH23" s="1784">
        <f>INDEX('Seasonality MH'!$C$15:$N$15,MATCH(MONTH('Cash Flow MH'!CH$8),'Seasonality MH'!$C$13:$N$13,))</f>
        <v>1.0038820355006832</v>
      </c>
      <c r="CI23" s="1784">
        <f>INDEX('Seasonality MH'!$C$15:$N$15,MATCH(MONTH('Cash Flow MH'!CI$8),'Seasonality MH'!$C$13:$N$13,))</f>
        <v>0.93331738580839285</v>
      </c>
      <c r="CJ23" s="1784">
        <f>INDEX('Seasonality MH'!$C$15:$N$15,MATCH(MONTH('Cash Flow MH'!CJ$8),'Seasonality MH'!$C$13:$N$13,))</f>
        <v>0.88111218437382199</v>
      </c>
      <c r="CK23" s="1784">
        <f>INDEX('Seasonality MH'!$C$15:$N$15,MATCH(MONTH('Cash Flow MH'!CK$8),'Seasonality MH'!$C$13:$N$13,))</f>
        <v>0.96163584978463856</v>
      </c>
      <c r="CL23" s="1784">
        <f>INDEX('Seasonality MH'!$C$15:$N$15,MATCH(MONTH('Cash Flow MH'!CL$8),'Seasonality MH'!$C$13:$N$13,))</f>
        <v>1.016255392926722</v>
      </c>
      <c r="CM23" s="1784">
        <f>INDEX('Seasonality MH'!$C$15:$N$15,MATCH(MONTH('Cash Flow MH'!CM$8),'Seasonality MH'!$C$13:$N$13,))</f>
        <v>1.034366023998937</v>
      </c>
      <c r="CN23" s="1784">
        <f>INDEX('Seasonality MH'!$C$15:$N$15,MATCH(MONTH('Cash Flow MH'!CN$8),'Seasonality MH'!$C$13:$N$13,))</f>
        <v>1.0278752034314205</v>
      </c>
      <c r="CO23" s="1784">
        <f>INDEX('Seasonality MH'!$C$15:$N$15,MATCH(MONTH('Cash Flow MH'!CO$8),'Seasonality MH'!$C$13:$N$13,))</f>
        <v>1.0840335777912908</v>
      </c>
      <c r="CP23" s="1784">
        <f>INDEX('Seasonality MH'!$C$15:$N$15,MATCH(MONTH('Cash Flow MH'!CP$8),'Seasonality MH'!$C$13:$N$13,))</f>
        <v>0.95598678878226329</v>
      </c>
      <c r="CQ23" s="1784">
        <f>INDEX('Seasonality MH'!$C$15:$N$15,MATCH(MONTH('Cash Flow MH'!CQ$8),'Seasonality MH'!$C$13:$N$13,))</f>
        <v>0.96444177892398109</v>
      </c>
      <c r="CR23" s="1784">
        <f>INDEX('Seasonality MH'!$C$15:$N$15,MATCH(MONTH('Cash Flow MH'!CR$8),'Seasonality MH'!$C$13:$N$13,))</f>
        <v>1.0276244685797471</v>
      </c>
      <c r="CS23" s="1784">
        <f>INDEX('Seasonality MH'!$C$15:$N$15,MATCH(MONTH('Cash Flow MH'!CS$8),'Seasonality MH'!$C$13:$N$13,))</f>
        <v>1.1094693100981017</v>
      </c>
      <c r="CT23" s="1784">
        <f>INDEX('Seasonality MH'!$C$15:$N$15,MATCH(MONTH('Cash Flow MH'!CT$8),'Seasonality MH'!$C$13:$N$13,))</f>
        <v>1.0038820355006832</v>
      </c>
      <c r="CU23" s="1784">
        <f>INDEX('Seasonality MH'!$C$15:$N$15,MATCH(MONTH('Cash Flow MH'!CU$8),'Seasonality MH'!$C$13:$N$13,))</f>
        <v>0.93331738580839285</v>
      </c>
      <c r="CV23" s="1784">
        <f>INDEX('Seasonality MH'!$C$15:$N$15,MATCH(MONTH('Cash Flow MH'!CV$8),'Seasonality MH'!$C$13:$N$13,))</f>
        <v>0.88111218437382199</v>
      </c>
      <c r="CW23" s="1784">
        <f>INDEX('Seasonality MH'!$C$15:$N$15,MATCH(MONTH('Cash Flow MH'!CW$8),'Seasonality MH'!$C$13:$N$13,))</f>
        <v>0.96163584978463856</v>
      </c>
      <c r="CX23" s="1784">
        <f>INDEX('Seasonality MH'!$C$15:$N$15,MATCH(MONTH('Cash Flow MH'!CX$8),'Seasonality MH'!$C$13:$N$13,))</f>
        <v>1.016255392926722</v>
      </c>
      <c r="CY23" s="1784">
        <f>INDEX('Seasonality MH'!$C$15:$N$15,MATCH(MONTH('Cash Flow MH'!CY$8),'Seasonality MH'!$C$13:$N$13,))</f>
        <v>1.034366023998937</v>
      </c>
      <c r="CZ23" s="1784">
        <f>INDEX('Seasonality MH'!$C$15:$N$15,MATCH(MONTH('Cash Flow MH'!CZ$8),'Seasonality MH'!$C$13:$N$13,))</f>
        <v>1.0278752034314205</v>
      </c>
      <c r="DA23" s="1784">
        <f>INDEX('Seasonality MH'!$C$15:$N$15,MATCH(MONTH('Cash Flow MH'!DA$8),'Seasonality MH'!$C$13:$N$13,))</f>
        <v>1.0840335777912908</v>
      </c>
      <c r="DB23" s="1784">
        <f>INDEX('Seasonality MH'!$C$15:$N$15,MATCH(MONTH('Cash Flow MH'!DB$8),'Seasonality MH'!$C$13:$N$13,))</f>
        <v>0.95598678878226329</v>
      </c>
      <c r="DC23" s="1784">
        <f>INDEX('Seasonality MH'!$C$15:$N$15,MATCH(MONTH('Cash Flow MH'!DC$8),'Seasonality MH'!$C$13:$N$13,))</f>
        <v>0.96444177892398109</v>
      </c>
      <c r="DD23" s="1784">
        <f>INDEX('Seasonality MH'!$C$15:$N$15,MATCH(MONTH('Cash Flow MH'!DD$8),'Seasonality MH'!$C$13:$N$13,))</f>
        <v>1.0276244685797471</v>
      </c>
      <c r="DE23" s="1784">
        <f>INDEX('Seasonality MH'!$C$15:$N$15,MATCH(MONTH('Cash Flow MH'!DE$8),'Seasonality MH'!$C$13:$N$13,))</f>
        <v>1.1094693100981017</v>
      </c>
      <c r="DF23" s="1784">
        <f>INDEX('Seasonality MH'!$C$15:$N$15,MATCH(MONTH('Cash Flow MH'!DF$8),'Seasonality MH'!$C$13:$N$13,))</f>
        <v>1.0038820355006832</v>
      </c>
      <c r="DG23" s="1784">
        <f>INDEX('Seasonality MH'!$C$15:$N$15,MATCH(MONTH('Cash Flow MH'!DG$8),'Seasonality MH'!$C$13:$N$13,))</f>
        <v>0.93331738580839285</v>
      </c>
      <c r="DH23" s="1784">
        <f>INDEX('Seasonality MH'!$C$15:$N$15,MATCH(MONTH('Cash Flow MH'!DH$8),'Seasonality MH'!$C$13:$N$13,))</f>
        <v>0.88111218437382199</v>
      </c>
      <c r="DI23" s="1784">
        <f>INDEX('Seasonality MH'!$C$15:$N$15,MATCH(MONTH('Cash Flow MH'!DI$8),'Seasonality MH'!$C$13:$N$13,))</f>
        <v>0.96163584978463856</v>
      </c>
      <c r="DJ23" s="1784">
        <f>INDEX('Seasonality MH'!$C$15:$N$15,MATCH(MONTH('Cash Flow MH'!DJ$8),'Seasonality MH'!$C$13:$N$13,))</f>
        <v>1.016255392926722</v>
      </c>
      <c r="DK23" s="1784">
        <f>INDEX('Seasonality MH'!$C$15:$N$15,MATCH(MONTH('Cash Flow MH'!DK$8),'Seasonality MH'!$C$13:$N$13,))</f>
        <v>1.034366023998937</v>
      </c>
      <c r="DL23" s="1784">
        <f>INDEX('Seasonality MH'!$C$15:$N$15,MATCH(MONTH('Cash Flow MH'!DL$8),'Seasonality MH'!$C$13:$N$13,))</f>
        <v>1.0278752034314205</v>
      </c>
      <c r="DM23" s="1784">
        <f>INDEX('Seasonality MH'!$C$15:$N$15,MATCH(MONTH('Cash Flow MH'!DM$8),'Seasonality MH'!$C$13:$N$13,))</f>
        <v>1.0840335777912908</v>
      </c>
      <c r="DN23" s="1784">
        <f>INDEX('Seasonality MH'!$C$15:$N$15,MATCH(MONTH('Cash Flow MH'!DN$8),'Seasonality MH'!$C$13:$N$13,))</f>
        <v>0.95598678878226329</v>
      </c>
      <c r="DO23" s="1784">
        <f>INDEX('Seasonality MH'!$C$15:$N$15,MATCH(MONTH('Cash Flow MH'!DO$8),'Seasonality MH'!$C$13:$N$13,))</f>
        <v>0.96444177892398109</v>
      </c>
      <c r="DP23" s="1784">
        <f>INDEX('Seasonality MH'!$C$15:$N$15,MATCH(MONTH('Cash Flow MH'!DP$8),'Seasonality MH'!$C$13:$N$13,))</f>
        <v>1.0276244685797471</v>
      </c>
      <c r="DQ23" s="1784">
        <f>INDEX('Seasonality MH'!$C$15:$N$15,MATCH(MONTH('Cash Flow MH'!DQ$8),'Seasonality MH'!$C$13:$N$13,))</f>
        <v>1.1094693100981017</v>
      </c>
      <c r="DR23" s="1784">
        <f>INDEX('Seasonality MH'!$C$15:$N$15,MATCH(MONTH('Cash Flow MH'!DR$8),'Seasonality MH'!$C$13:$N$13,))</f>
        <v>1.0038820355006832</v>
      </c>
      <c r="DS23" s="1784">
        <f>INDEX('Seasonality MH'!$C$15:$N$15,MATCH(MONTH('Cash Flow MH'!DS$8),'Seasonality MH'!$C$13:$N$13,))</f>
        <v>0.93331738580839285</v>
      </c>
      <c r="DT23" s="1485" t="s">
        <v>65</v>
      </c>
    </row>
    <row r="24" spans="1:124" outlineLevel="1">
      <c r="B24" s="1724" t="s">
        <v>1122</v>
      </c>
      <c r="D24" s="1786">
        <f>+'Assumptions MH'!$G31*(D$7=1)</f>
        <v>131</v>
      </c>
      <c r="E24" s="1786">
        <f>+'Assumptions MH'!$G31*(E$7=1)</f>
        <v>0</v>
      </c>
      <c r="F24" s="1786">
        <f>+'Assumptions MH'!$G31*(F$7=1)</f>
        <v>0</v>
      </c>
      <c r="G24" s="1786">
        <f>+'Assumptions MH'!$G31*(G$7=1)</f>
        <v>0</v>
      </c>
      <c r="H24" s="1786">
        <f>+'Assumptions MH'!$G31*(H$7=1)</f>
        <v>0</v>
      </c>
      <c r="I24" s="1786">
        <f>+'Assumptions MH'!$G31*(I$7=1)</f>
        <v>0</v>
      </c>
      <c r="J24" s="1786">
        <f>+'Assumptions MH'!$G31*(J$7=1)</f>
        <v>0</v>
      </c>
      <c r="K24" s="1786">
        <f>+'Assumptions MH'!$G31*(K$7=1)</f>
        <v>0</v>
      </c>
      <c r="L24" s="1786">
        <f>+'Assumptions MH'!$G31*(L$7=1)</f>
        <v>0</v>
      </c>
      <c r="M24" s="1786">
        <f>+'Assumptions MH'!$G31*(M$7=1)</f>
        <v>0</v>
      </c>
      <c r="N24" s="1786">
        <f>+'Assumptions MH'!$G31*(N$7=1)</f>
        <v>0</v>
      </c>
      <c r="O24" s="1786">
        <f>+'Assumptions MH'!$G31*(O$7=1)</f>
        <v>0</v>
      </c>
      <c r="P24" s="1786">
        <f>+'Assumptions MH'!$G31*(P$7=1)</f>
        <v>0</v>
      </c>
      <c r="Q24" s="1786">
        <f>+'Assumptions MH'!$G31*(Q$7=1)</f>
        <v>0</v>
      </c>
      <c r="R24" s="1786">
        <f>+'Assumptions MH'!$G31*(R$7=1)</f>
        <v>0</v>
      </c>
      <c r="S24" s="1786">
        <f>+'Assumptions MH'!$G31*(S$7=1)</f>
        <v>0</v>
      </c>
      <c r="T24" s="1786">
        <f>+'Assumptions MH'!$G31*(T$7=1)</f>
        <v>0</v>
      </c>
      <c r="U24" s="1786">
        <f>+'Assumptions MH'!$G31*(U$7=1)</f>
        <v>0</v>
      </c>
      <c r="V24" s="1786">
        <f>+'Assumptions MH'!$G31*(V$7=1)</f>
        <v>0</v>
      </c>
      <c r="W24" s="1786">
        <f>+'Assumptions MH'!$G31*(W$7=1)</f>
        <v>0</v>
      </c>
      <c r="X24" s="1786">
        <f>+'Assumptions MH'!$G31*(X$7=1)</f>
        <v>0</v>
      </c>
      <c r="Y24" s="1786">
        <f>+'Assumptions MH'!$G31*(Y$7=1)</f>
        <v>0</v>
      </c>
      <c r="Z24" s="1786">
        <f>+'Assumptions MH'!$G31*(Z$7=1)</f>
        <v>0</v>
      </c>
      <c r="AA24" s="1786">
        <f>+'Assumptions MH'!$G31*(AA$7=1)</f>
        <v>0</v>
      </c>
      <c r="AB24" s="1786">
        <f>+'Assumptions MH'!$G31*(AB$7=1)</f>
        <v>0</v>
      </c>
      <c r="AC24" s="1786">
        <f>+'Assumptions MH'!$G31*(AC$7=1)</f>
        <v>0</v>
      </c>
      <c r="AD24" s="1786">
        <f>+'Assumptions MH'!$G31*(AD$7=1)</f>
        <v>0</v>
      </c>
      <c r="AE24" s="1786">
        <f>+'Assumptions MH'!$G31*(AE$7=1)</f>
        <v>0</v>
      </c>
      <c r="AF24" s="1786">
        <f>+'Assumptions MH'!$G31*(AF$7=1)</f>
        <v>0</v>
      </c>
      <c r="AG24" s="1786">
        <f>+'Assumptions MH'!$G31*(AG$7=1)</f>
        <v>0</v>
      </c>
      <c r="AH24" s="1786">
        <f>+'Assumptions MH'!$G31*(AH$7=1)</f>
        <v>0</v>
      </c>
      <c r="AI24" s="1786">
        <f>+'Assumptions MH'!$G31*(AI$7=1)</f>
        <v>0</v>
      </c>
      <c r="AJ24" s="1786">
        <f>+'Assumptions MH'!$G31*(AJ$7=1)</f>
        <v>0</v>
      </c>
      <c r="AK24" s="1786">
        <f>+'Assumptions MH'!$G31*(AK$7=1)</f>
        <v>0</v>
      </c>
      <c r="AL24" s="1786">
        <f>+'Assumptions MH'!$G31*(AL$7=1)</f>
        <v>0</v>
      </c>
      <c r="AM24" s="1786">
        <f>+'Assumptions MH'!$G31*(AM$7=1)</f>
        <v>0</v>
      </c>
      <c r="AN24" s="1786">
        <f>+'Assumptions MH'!$G31*(AN$7=1)</f>
        <v>0</v>
      </c>
      <c r="AO24" s="1786">
        <f>+'Assumptions MH'!$G31*(AO$7=1)</f>
        <v>0</v>
      </c>
      <c r="AP24" s="1786">
        <f>+'Assumptions MH'!$G31*(AP$7=1)</f>
        <v>0</v>
      </c>
      <c r="AQ24" s="1786">
        <f>+'Assumptions MH'!$G31*(AQ$7=1)</f>
        <v>0</v>
      </c>
      <c r="AR24" s="1786">
        <f>+'Assumptions MH'!$G31*(AR$7=1)</f>
        <v>0</v>
      </c>
      <c r="AS24" s="1786">
        <f>+'Assumptions MH'!$G31*(AS$7=1)</f>
        <v>0</v>
      </c>
      <c r="AT24" s="1786">
        <f>+'Assumptions MH'!$G31*(AT$7=1)</f>
        <v>0</v>
      </c>
      <c r="AU24" s="1786">
        <f>+'Assumptions MH'!$G31*(AU$7=1)</f>
        <v>0</v>
      </c>
      <c r="AV24" s="1786">
        <f>+'Assumptions MH'!$G31*(AV$7=1)</f>
        <v>0</v>
      </c>
      <c r="AW24" s="1786">
        <f>+'Assumptions MH'!$G31*(AW$7=1)</f>
        <v>0</v>
      </c>
      <c r="AX24" s="1786">
        <f>+'Assumptions MH'!$G31*(AX$7=1)</f>
        <v>0</v>
      </c>
      <c r="AY24" s="1786">
        <f>+'Assumptions MH'!$G31*(AY$7=1)</f>
        <v>0</v>
      </c>
      <c r="AZ24" s="1786">
        <f>+'Assumptions MH'!$G31*(AZ$7=1)</f>
        <v>0</v>
      </c>
      <c r="BA24" s="1786">
        <f>+'Assumptions MH'!$G31*(BA$7=1)</f>
        <v>0</v>
      </c>
      <c r="BB24" s="1786">
        <f>+'Assumptions MH'!$G31*(BB$7=1)</f>
        <v>0</v>
      </c>
      <c r="BC24" s="1786">
        <f>+'Assumptions MH'!$G31*(BC$7=1)</f>
        <v>0</v>
      </c>
      <c r="BD24" s="1786">
        <f>+'Assumptions MH'!$G31*(BD$7=1)</f>
        <v>0</v>
      </c>
      <c r="BE24" s="1786">
        <f>+'Assumptions MH'!$G31*(BE$7=1)</f>
        <v>0</v>
      </c>
      <c r="BF24" s="1786">
        <f>+'Assumptions MH'!$G31*(BF$7=1)</f>
        <v>0</v>
      </c>
      <c r="BG24" s="1786">
        <f>+'Assumptions MH'!$G31*(BG$7=1)</f>
        <v>0</v>
      </c>
      <c r="BH24" s="1786">
        <f>+'Assumptions MH'!$G31*(BH$7=1)</f>
        <v>0</v>
      </c>
      <c r="BI24" s="1786">
        <f>+'Assumptions MH'!$G31*(BI$7=1)</f>
        <v>0</v>
      </c>
      <c r="BJ24" s="1786">
        <f>+'Assumptions MH'!$G31*(BJ$7=1)</f>
        <v>0</v>
      </c>
      <c r="BK24" s="1786">
        <f>+'Assumptions MH'!$G31*(BK$7=1)</f>
        <v>0</v>
      </c>
      <c r="BL24" s="1786">
        <f>+'Assumptions MH'!$G31*(BL$7=1)</f>
        <v>0</v>
      </c>
      <c r="BM24" s="1786">
        <f>+'Assumptions MH'!$G31*(BM$7=1)</f>
        <v>0</v>
      </c>
      <c r="BN24" s="1786">
        <f>+'Assumptions MH'!$G31*(BN$7=1)</f>
        <v>0</v>
      </c>
      <c r="BO24" s="1786">
        <f>+'Assumptions MH'!$G31*(BO$7=1)</f>
        <v>0</v>
      </c>
      <c r="BP24" s="1786">
        <f>+'Assumptions MH'!$G31*(BP$7=1)</f>
        <v>0</v>
      </c>
      <c r="BQ24" s="1786">
        <f>+'Assumptions MH'!$G31*(BQ$7=1)</f>
        <v>0</v>
      </c>
      <c r="BR24" s="1786">
        <f>+'Assumptions MH'!$G31*(BR$7=1)</f>
        <v>0</v>
      </c>
      <c r="BS24" s="1786">
        <f>+'Assumptions MH'!$G31*(BS$7=1)</f>
        <v>0</v>
      </c>
      <c r="BT24" s="1786">
        <f>+'Assumptions MH'!$G31*(BT$7=1)</f>
        <v>0</v>
      </c>
      <c r="BU24" s="1786">
        <f>+'Assumptions MH'!$G31*(BU$7=1)</f>
        <v>0</v>
      </c>
      <c r="BV24" s="1786">
        <f>+'Assumptions MH'!$G31*(BV$7=1)</f>
        <v>0</v>
      </c>
      <c r="BW24" s="1786">
        <f>+'Assumptions MH'!$G31*(BW$7=1)</f>
        <v>0</v>
      </c>
      <c r="BX24" s="1786">
        <f>+'Assumptions MH'!$G31*(BX$7=1)</f>
        <v>0</v>
      </c>
      <c r="BY24" s="1786">
        <f>+'Assumptions MH'!$G31*(BY$7=1)</f>
        <v>0</v>
      </c>
      <c r="BZ24" s="1786">
        <f>+'Assumptions MH'!$G31*(BZ$7=1)</f>
        <v>0</v>
      </c>
      <c r="CA24" s="1786">
        <f>+'Assumptions MH'!$G31*(CA$7=1)</f>
        <v>0</v>
      </c>
      <c r="CB24" s="1786">
        <f>+'Assumptions MH'!$G31*(CB$7=1)</f>
        <v>0</v>
      </c>
      <c r="CC24" s="1786">
        <f>+'Assumptions MH'!$G31*(CC$7=1)</f>
        <v>0</v>
      </c>
      <c r="CD24" s="1786">
        <f>+'Assumptions MH'!$G31*(CD$7=1)</f>
        <v>0</v>
      </c>
      <c r="CE24" s="1786">
        <f>+'Assumptions MH'!$G31*(CE$7=1)</f>
        <v>0</v>
      </c>
      <c r="CF24" s="1786">
        <f>+'Assumptions MH'!$G31*(CF$7=1)</f>
        <v>0</v>
      </c>
      <c r="CG24" s="1786">
        <f>+'Assumptions MH'!$G31*(CG$7=1)</f>
        <v>0</v>
      </c>
      <c r="CH24" s="1786">
        <f>+'Assumptions MH'!$G31*(CH$7=1)</f>
        <v>0</v>
      </c>
      <c r="CI24" s="1786">
        <f>+'Assumptions MH'!$G31*(CI$7=1)</f>
        <v>0</v>
      </c>
      <c r="CJ24" s="1786">
        <f>+'Assumptions MH'!$G31*(CJ$7=1)</f>
        <v>0</v>
      </c>
      <c r="CK24" s="1786">
        <f>+'Assumptions MH'!$G31*(CK$7=1)</f>
        <v>0</v>
      </c>
      <c r="CL24" s="1786">
        <f>+'Assumptions MH'!$G31*(CL$7=1)</f>
        <v>0</v>
      </c>
      <c r="CM24" s="1786">
        <f>+'Assumptions MH'!$G31*(CM$7=1)</f>
        <v>0</v>
      </c>
      <c r="CN24" s="1786">
        <f>+'Assumptions MH'!$G31*(CN$7=1)</f>
        <v>0</v>
      </c>
      <c r="CO24" s="1786">
        <f>+'Assumptions MH'!$G31*(CO$7=1)</f>
        <v>0</v>
      </c>
      <c r="CP24" s="1786">
        <f>+'Assumptions MH'!$G31*(CP$7=1)</f>
        <v>0</v>
      </c>
      <c r="CQ24" s="1786">
        <f>+'Assumptions MH'!$G31*(CQ$7=1)</f>
        <v>0</v>
      </c>
      <c r="CR24" s="1786">
        <f>+'Assumptions MH'!$G31*(CR$7=1)</f>
        <v>0</v>
      </c>
      <c r="CS24" s="1786">
        <f>+'Assumptions MH'!$G31*(CS$7=1)</f>
        <v>0</v>
      </c>
      <c r="CT24" s="1786">
        <f>+'Assumptions MH'!$G31*(CT$7=1)</f>
        <v>0</v>
      </c>
      <c r="CU24" s="1786">
        <f>+'Assumptions MH'!$G31*(CU$7=1)</f>
        <v>0</v>
      </c>
      <c r="CV24" s="1786">
        <f>+'Assumptions MH'!$G31*(CV$7=1)</f>
        <v>0</v>
      </c>
      <c r="CW24" s="1786">
        <f>+'Assumptions MH'!$G31*(CW$7=1)</f>
        <v>0</v>
      </c>
      <c r="CX24" s="1786">
        <f>+'Assumptions MH'!$G31*(CX$7=1)</f>
        <v>0</v>
      </c>
      <c r="CY24" s="1786">
        <f>+'Assumptions MH'!$G31*(CY$7=1)</f>
        <v>0</v>
      </c>
      <c r="CZ24" s="1786">
        <f>+'Assumptions MH'!$G31*(CZ$7=1)</f>
        <v>0</v>
      </c>
      <c r="DA24" s="1786">
        <f>+'Assumptions MH'!$G31*(DA$7=1)</f>
        <v>0</v>
      </c>
      <c r="DB24" s="1786">
        <f>+'Assumptions MH'!$G31*(DB$7=1)</f>
        <v>0</v>
      </c>
      <c r="DC24" s="1786">
        <f>+'Assumptions MH'!$G31*(DC$7=1)</f>
        <v>0</v>
      </c>
      <c r="DD24" s="1786">
        <f>+'Assumptions MH'!$G31*(DD$7=1)</f>
        <v>0</v>
      </c>
      <c r="DE24" s="1786">
        <f>+'Assumptions MH'!$G31*(DE$7=1)</f>
        <v>0</v>
      </c>
      <c r="DF24" s="1786">
        <f>+'Assumptions MH'!$G31*(DF$7=1)</f>
        <v>0</v>
      </c>
      <c r="DG24" s="1786">
        <f>+'Assumptions MH'!$G31*(DG$7=1)</f>
        <v>0</v>
      </c>
      <c r="DH24" s="1786">
        <f>+'Assumptions MH'!$G31*(DH$7=1)</f>
        <v>0</v>
      </c>
      <c r="DI24" s="1786">
        <f>+'Assumptions MH'!$G31*(DI$7=1)</f>
        <v>0</v>
      </c>
      <c r="DJ24" s="1786">
        <f>+'Assumptions MH'!$G31*(DJ$7=1)</f>
        <v>0</v>
      </c>
      <c r="DK24" s="1786">
        <f>+'Assumptions MH'!$G31*(DK$7=1)</f>
        <v>0</v>
      </c>
      <c r="DL24" s="1786">
        <f>+'Assumptions MH'!$G31*(DL$7=1)</f>
        <v>0</v>
      </c>
      <c r="DM24" s="1786">
        <f>+'Assumptions MH'!$G31*(DM$7=1)</f>
        <v>0</v>
      </c>
      <c r="DN24" s="1786">
        <f>+'Assumptions MH'!$G31*(DN$7=1)</f>
        <v>0</v>
      </c>
      <c r="DO24" s="1786">
        <f>+'Assumptions MH'!$G31*(DO$7=1)</f>
        <v>0</v>
      </c>
      <c r="DP24" s="1786">
        <f>+'Assumptions MH'!$G31*(DP$7=1)</f>
        <v>0</v>
      </c>
      <c r="DQ24" s="1786">
        <f>+'Assumptions MH'!$G31*(DQ$7=1)</f>
        <v>0</v>
      </c>
      <c r="DR24" s="1786">
        <f>+'Assumptions MH'!$G31*(DR$7=1)</f>
        <v>0</v>
      </c>
      <c r="DS24" s="1786">
        <f>+'Assumptions MH'!$G31*(DS$7=1)</f>
        <v>0</v>
      </c>
      <c r="DT24" s="1485" t="s">
        <v>65</v>
      </c>
    </row>
    <row r="25" spans="1:124" outlineLevel="1">
      <c r="DT25" s="1485" t="s">
        <v>65</v>
      </c>
    </row>
    <row r="26" spans="1:124">
      <c r="A26" s="1487" t="s">
        <v>65</v>
      </c>
      <c r="B26" s="1503" t="s">
        <v>1123</v>
      </c>
      <c r="DT26" s="1485" t="s">
        <v>65</v>
      </c>
    </row>
    <row r="27" spans="1:124">
      <c r="B27" s="1787" t="s">
        <v>143</v>
      </c>
      <c r="D27" s="1788">
        <f>SUM($D24:D24)</f>
        <v>131</v>
      </c>
      <c r="E27" s="1788">
        <f>SUM($D24:E24)</f>
        <v>131</v>
      </c>
      <c r="F27" s="1788">
        <f>SUM($D24:F24)</f>
        <v>131</v>
      </c>
      <c r="G27" s="1788">
        <f>SUM($D24:G24)</f>
        <v>131</v>
      </c>
      <c r="H27" s="1788">
        <f>SUM($D24:H24)</f>
        <v>131</v>
      </c>
      <c r="I27" s="1788">
        <f>SUM($D24:I24)</f>
        <v>131</v>
      </c>
      <c r="J27" s="1788">
        <f>SUM($D24:J24)</f>
        <v>131</v>
      </c>
      <c r="K27" s="1788">
        <f>SUM($D24:K24)</f>
        <v>131</v>
      </c>
      <c r="L27" s="1788">
        <f>SUM($D24:L24)</f>
        <v>131</v>
      </c>
      <c r="M27" s="1788">
        <f>SUM($D24:M24)</f>
        <v>131</v>
      </c>
      <c r="N27" s="1788">
        <f>SUM($D24:N24)</f>
        <v>131</v>
      </c>
      <c r="O27" s="1788">
        <f>SUM($D24:O24)</f>
        <v>131</v>
      </c>
      <c r="P27" s="1788">
        <f>SUM($D24:P24)</f>
        <v>131</v>
      </c>
      <c r="Q27" s="1788">
        <f>SUM($D24:Q24)</f>
        <v>131</v>
      </c>
      <c r="R27" s="1788">
        <f>SUM($D24:R24)</f>
        <v>131</v>
      </c>
      <c r="S27" s="1788">
        <f>SUM($D24:S24)</f>
        <v>131</v>
      </c>
      <c r="T27" s="1788">
        <f>SUM($D24:T24)</f>
        <v>131</v>
      </c>
      <c r="U27" s="1788">
        <f>SUM($D24:U24)</f>
        <v>131</v>
      </c>
      <c r="V27" s="1788">
        <f>SUM($D24:V24)</f>
        <v>131</v>
      </c>
      <c r="W27" s="1788">
        <f>SUM($D24:W24)</f>
        <v>131</v>
      </c>
      <c r="X27" s="1788">
        <f>SUM($D24:X24)</f>
        <v>131</v>
      </c>
      <c r="Y27" s="1788">
        <f>SUM($D24:Y24)</f>
        <v>131</v>
      </c>
      <c r="Z27" s="1788">
        <f>SUM($D24:Z24)</f>
        <v>131</v>
      </c>
      <c r="AA27" s="1788">
        <f>SUM($D24:AA24)</f>
        <v>131</v>
      </c>
      <c r="AB27" s="1788">
        <f>SUM($D24:AB24)</f>
        <v>131</v>
      </c>
      <c r="AC27" s="1788">
        <f>SUM($D24:AC24)</f>
        <v>131</v>
      </c>
      <c r="AD27" s="1788">
        <f>SUM($D24:AD24)</f>
        <v>131</v>
      </c>
      <c r="AE27" s="1788">
        <f>SUM($D24:AE24)</f>
        <v>131</v>
      </c>
      <c r="AF27" s="1788">
        <f>SUM($D24:AF24)</f>
        <v>131</v>
      </c>
      <c r="AG27" s="1788">
        <f>SUM($D24:AG24)</f>
        <v>131</v>
      </c>
      <c r="AH27" s="1788">
        <f>SUM($D24:AH24)</f>
        <v>131</v>
      </c>
      <c r="AI27" s="1788">
        <f>SUM($D24:AI24)</f>
        <v>131</v>
      </c>
      <c r="AJ27" s="1788">
        <f>SUM($D24:AJ24)</f>
        <v>131</v>
      </c>
      <c r="AK27" s="1788">
        <f>SUM($D24:AK24)</f>
        <v>131</v>
      </c>
      <c r="AL27" s="1788">
        <f>SUM($D24:AL24)</f>
        <v>131</v>
      </c>
      <c r="AM27" s="1788">
        <f>SUM($D24:AM24)</f>
        <v>131</v>
      </c>
      <c r="AN27" s="1788">
        <f>SUM($D24:AN24)</f>
        <v>131</v>
      </c>
      <c r="AO27" s="1788">
        <f>SUM($D24:AO24)</f>
        <v>131</v>
      </c>
      <c r="AP27" s="1788">
        <f>SUM($D24:AP24)</f>
        <v>131</v>
      </c>
      <c r="AQ27" s="1788">
        <f>SUM($D24:AQ24)</f>
        <v>131</v>
      </c>
      <c r="AR27" s="1788">
        <f>SUM($D24:AR24)</f>
        <v>131</v>
      </c>
      <c r="AS27" s="1788">
        <f>SUM($D24:AS24)</f>
        <v>131</v>
      </c>
      <c r="AT27" s="1788">
        <f>SUM($D24:AT24)</f>
        <v>131</v>
      </c>
      <c r="AU27" s="1788">
        <f>SUM($D24:AU24)</f>
        <v>131</v>
      </c>
      <c r="AV27" s="1788">
        <f>SUM($D24:AV24)</f>
        <v>131</v>
      </c>
      <c r="AW27" s="1788">
        <f>SUM($D24:AW24)</f>
        <v>131</v>
      </c>
      <c r="AX27" s="1788">
        <f>SUM($D24:AX24)</f>
        <v>131</v>
      </c>
      <c r="AY27" s="1788">
        <f>SUM($D24:AY24)</f>
        <v>131</v>
      </c>
      <c r="AZ27" s="1788">
        <f>SUM($D24:AZ24)</f>
        <v>131</v>
      </c>
      <c r="BA27" s="1788">
        <f>SUM($D24:BA24)</f>
        <v>131</v>
      </c>
      <c r="BB27" s="1788">
        <f>SUM($D24:BB24)</f>
        <v>131</v>
      </c>
      <c r="BC27" s="1788">
        <f>SUM($D24:BC24)</f>
        <v>131</v>
      </c>
      <c r="BD27" s="1788">
        <f>SUM($D24:BD24)</f>
        <v>131</v>
      </c>
      <c r="BE27" s="1788">
        <f>SUM($D24:BE24)</f>
        <v>131</v>
      </c>
      <c r="BF27" s="1788">
        <f>SUM($D24:BF24)</f>
        <v>131</v>
      </c>
      <c r="BG27" s="1788">
        <f>SUM($D24:BG24)</f>
        <v>131</v>
      </c>
      <c r="BH27" s="1788">
        <f>SUM($D24:BH24)</f>
        <v>131</v>
      </c>
      <c r="BI27" s="1788">
        <f>SUM($D24:BI24)</f>
        <v>131</v>
      </c>
      <c r="BJ27" s="1788">
        <f>SUM($D24:BJ24)</f>
        <v>131</v>
      </c>
      <c r="BK27" s="1788">
        <f>SUM($D24:BK24)</f>
        <v>131</v>
      </c>
      <c r="BL27" s="1788">
        <f>SUM($D24:BL24)</f>
        <v>131</v>
      </c>
      <c r="BM27" s="1788">
        <f>SUM($D24:BM24)</f>
        <v>131</v>
      </c>
      <c r="BN27" s="1788">
        <f>SUM($D24:BN24)</f>
        <v>131</v>
      </c>
      <c r="BO27" s="1788">
        <f>SUM($D24:BO24)</f>
        <v>131</v>
      </c>
      <c r="BP27" s="1788">
        <f>SUM($D24:BP24)</f>
        <v>131</v>
      </c>
      <c r="BQ27" s="1788">
        <f>SUM($D24:BQ24)</f>
        <v>131</v>
      </c>
      <c r="BR27" s="1788">
        <f>SUM($D24:BR24)</f>
        <v>131</v>
      </c>
      <c r="BS27" s="1788">
        <f>SUM($D24:BS24)</f>
        <v>131</v>
      </c>
      <c r="BT27" s="1788">
        <f>SUM($D24:BT24)</f>
        <v>131</v>
      </c>
      <c r="BU27" s="1788">
        <f>SUM($D24:BU24)</f>
        <v>131</v>
      </c>
      <c r="BV27" s="1788">
        <f>SUM($D24:BV24)</f>
        <v>131</v>
      </c>
      <c r="BW27" s="1788">
        <f>SUM($D24:BW24)</f>
        <v>131</v>
      </c>
      <c r="BX27" s="1788">
        <f>SUM($D24:BX24)</f>
        <v>131</v>
      </c>
      <c r="BY27" s="1788">
        <f>SUM($D24:BY24)</f>
        <v>131</v>
      </c>
      <c r="BZ27" s="1788">
        <f>SUM($D24:BZ24)</f>
        <v>131</v>
      </c>
      <c r="CA27" s="1788">
        <f>SUM($D24:CA24)</f>
        <v>131</v>
      </c>
      <c r="CB27" s="1788">
        <f>SUM($D24:CB24)</f>
        <v>131</v>
      </c>
      <c r="CC27" s="1788">
        <f>SUM($D24:CC24)</f>
        <v>131</v>
      </c>
      <c r="CD27" s="1788">
        <f>SUM($D24:CD24)</f>
        <v>131</v>
      </c>
      <c r="CE27" s="1788">
        <f>SUM($D24:CE24)</f>
        <v>131</v>
      </c>
      <c r="CF27" s="1788">
        <f>SUM($D24:CF24)</f>
        <v>131</v>
      </c>
      <c r="CG27" s="1788">
        <f>SUM($D24:CG24)</f>
        <v>131</v>
      </c>
      <c r="CH27" s="1788">
        <f>SUM($D24:CH24)</f>
        <v>131</v>
      </c>
      <c r="CI27" s="1788">
        <f>SUM($D24:CI24)</f>
        <v>131</v>
      </c>
      <c r="CJ27" s="1788">
        <f>SUM($D24:CJ24)</f>
        <v>131</v>
      </c>
      <c r="CK27" s="1788">
        <f>SUM($D24:CK24)</f>
        <v>131</v>
      </c>
      <c r="CL27" s="1788">
        <f>SUM($D24:CL24)</f>
        <v>131</v>
      </c>
      <c r="CM27" s="1788">
        <f>SUM($D24:CM24)</f>
        <v>131</v>
      </c>
      <c r="CN27" s="1788">
        <f>SUM($D24:CN24)</f>
        <v>131</v>
      </c>
      <c r="CO27" s="1788">
        <f>SUM($D24:CO24)</f>
        <v>131</v>
      </c>
      <c r="CP27" s="1788">
        <f>SUM($D24:CP24)</f>
        <v>131</v>
      </c>
      <c r="CQ27" s="1788">
        <f>SUM($D24:CQ24)</f>
        <v>131</v>
      </c>
      <c r="CR27" s="1788">
        <f>SUM($D24:CR24)</f>
        <v>131</v>
      </c>
      <c r="CS27" s="1788">
        <f>SUM($D24:CS24)</f>
        <v>131</v>
      </c>
      <c r="CT27" s="1788">
        <f>SUM($D24:CT24)</f>
        <v>131</v>
      </c>
      <c r="CU27" s="1788">
        <f>SUM($D24:CU24)</f>
        <v>131</v>
      </c>
      <c r="CV27" s="1788">
        <f>SUM($D24:CV24)</f>
        <v>131</v>
      </c>
      <c r="CW27" s="1788">
        <f>SUM($D24:CW24)</f>
        <v>131</v>
      </c>
      <c r="CX27" s="1788">
        <f>SUM($D24:CX24)</f>
        <v>131</v>
      </c>
      <c r="CY27" s="1788">
        <f>SUM($D24:CY24)</f>
        <v>131</v>
      </c>
      <c r="CZ27" s="1788">
        <f>SUM($D24:CZ24)</f>
        <v>131</v>
      </c>
      <c r="DA27" s="1788">
        <f>SUM($D24:DA24)</f>
        <v>131</v>
      </c>
      <c r="DB27" s="1788">
        <f>SUM($D24:DB24)</f>
        <v>131</v>
      </c>
      <c r="DC27" s="1788">
        <f>SUM($D24:DC24)</f>
        <v>131</v>
      </c>
      <c r="DD27" s="1788">
        <f>SUM($D24:DD24)</f>
        <v>131</v>
      </c>
      <c r="DE27" s="1788">
        <f>SUM($D24:DE24)</f>
        <v>131</v>
      </c>
      <c r="DF27" s="1788">
        <f>SUM($D24:DF24)</f>
        <v>131</v>
      </c>
      <c r="DG27" s="1788">
        <f>SUM($D24:DG24)</f>
        <v>131</v>
      </c>
      <c r="DH27" s="1788">
        <f>SUM($D24:DH24)</f>
        <v>131</v>
      </c>
      <c r="DI27" s="1788">
        <f>SUM($D24:DI24)</f>
        <v>131</v>
      </c>
      <c r="DJ27" s="1788">
        <f>SUM($D24:DJ24)</f>
        <v>131</v>
      </c>
      <c r="DK27" s="1788">
        <f>SUM($D24:DK24)</f>
        <v>131</v>
      </c>
      <c r="DL27" s="1788">
        <f>SUM($D24:DL24)</f>
        <v>131</v>
      </c>
      <c r="DM27" s="1788">
        <f>SUM($D24:DM24)</f>
        <v>131</v>
      </c>
      <c r="DN27" s="1788">
        <f>SUM($D24:DN24)</f>
        <v>131</v>
      </c>
      <c r="DO27" s="1788">
        <f>SUM($D24:DO24)</f>
        <v>131</v>
      </c>
      <c r="DP27" s="1788">
        <f>SUM($D24:DP24)</f>
        <v>131</v>
      </c>
      <c r="DQ27" s="1788">
        <f>SUM($D24:DQ24)</f>
        <v>131</v>
      </c>
      <c r="DR27" s="1788">
        <f>SUM($D24:DR24)</f>
        <v>131</v>
      </c>
      <c r="DS27" s="1788">
        <f>SUM($D24:DS24)</f>
        <v>131</v>
      </c>
      <c r="DT27" s="1485" t="s">
        <v>65</v>
      </c>
    </row>
    <row r="28" spans="1:124">
      <c r="B28" s="1787" t="s">
        <v>1124</v>
      </c>
      <c r="D28" s="1789">
        <f>+_xlfn.DAYS(D8,'Assumptions MH'!$G$20-1)</f>
        <v>31</v>
      </c>
      <c r="E28" s="1789">
        <f>+_xlfn.DAYS(E8,D8)</f>
        <v>28</v>
      </c>
      <c r="F28" s="1789">
        <f t="shared" ref="F28:BQ28" si="6">+_xlfn.DAYS(F8,E8)</f>
        <v>31</v>
      </c>
      <c r="G28" s="1789">
        <f t="shared" si="6"/>
        <v>30</v>
      </c>
      <c r="H28" s="1789">
        <f t="shared" si="6"/>
        <v>31</v>
      </c>
      <c r="I28" s="1789">
        <f t="shared" si="6"/>
        <v>30</v>
      </c>
      <c r="J28" s="1789">
        <f t="shared" si="6"/>
        <v>31</v>
      </c>
      <c r="K28" s="1789">
        <f t="shared" si="6"/>
        <v>31</v>
      </c>
      <c r="L28" s="1789">
        <f t="shared" si="6"/>
        <v>30</v>
      </c>
      <c r="M28" s="1789">
        <f t="shared" si="6"/>
        <v>31</v>
      </c>
      <c r="N28" s="1789">
        <f t="shared" si="6"/>
        <v>30</v>
      </c>
      <c r="O28" s="1789">
        <f t="shared" si="6"/>
        <v>31</v>
      </c>
      <c r="P28" s="1789">
        <f t="shared" si="6"/>
        <v>31</v>
      </c>
      <c r="Q28" s="1789">
        <f t="shared" si="6"/>
        <v>28</v>
      </c>
      <c r="R28" s="1789">
        <f t="shared" si="6"/>
        <v>31</v>
      </c>
      <c r="S28" s="1789">
        <f t="shared" si="6"/>
        <v>30</v>
      </c>
      <c r="T28" s="1789">
        <f t="shared" si="6"/>
        <v>31</v>
      </c>
      <c r="U28" s="1789">
        <f t="shared" si="6"/>
        <v>30</v>
      </c>
      <c r="V28" s="1789">
        <f t="shared" si="6"/>
        <v>31</v>
      </c>
      <c r="W28" s="1789">
        <f t="shared" si="6"/>
        <v>31</v>
      </c>
      <c r="X28" s="1789">
        <f t="shared" si="6"/>
        <v>30</v>
      </c>
      <c r="Y28" s="1789">
        <f t="shared" si="6"/>
        <v>31</v>
      </c>
      <c r="Z28" s="1789">
        <f t="shared" si="6"/>
        <v>30</v>
      </c>
      <c r="AA28" s="1789">
        <f t="shared" si="6"/>
        <v>31</v>
      </c>
      <c r="AB28" s="1789">
        <f t="shared" si="6"/>
        <v>31</v>
      </c>
      <c r="AC28" s="1789">
        <f t="shared" si="6"/>
        <v>28</v>
      </c>
      <c r="AD28" s="1789">
        <f t="shared" si="6"/>
        <v>31</v>
      </c>
      <c r="AE28" s="1789">
        <f t="shared" si="6"/>
        <v>30</v>
      </c>
      <c r="AF28" s="1789">
        <f t="shared" si="6"/>
        <v>31</v>
      </c>
      <c r="AG28" s="1789">
        <f t="shared" si="6"/>
        <v>30</v>
      </c>
      <c r="AH28" s="1789">
        <f t="shared" si="6"/>
        <v>31</v>
      </c>
      <c r="AI28" s="1789">
        <f t="shared" si="6"/>
        <v>31</v>
      </c>
      <c r="AJ28" s="1789">
        <f t="shared" si="6"/>
        <v>30</v>
      </c>
      <c r="AK28" s="1789">
        <f t="shared" si="6"/>
        <v>31</v>
      </c>
      <c r="AL28" s="1789">
        <f t="shared" si="6"/>
        <v>30</v>
      </c>
      <c r="AM28" s="1789">
        <f t="shared" si="6"/>
        <v>31</v>
      </c>
      <c r="AN28" s="1789">
        <f t="shared" si="6"/>
        <v>31</v>
      </c>
      <c r="AO28" s="1789">
        <f t="shared" si="6"/>
        <v>29</v>
      </c>
      <c r="AP28" s="1789">
        <f t="shared" si="6"/>
        <v>31</v>
      </c>
      <c r="AQ28" s="1789">
        <f t="shared" si="6"/>
        <v>30</v>
      </c>
      <c r="AR28" s="1789">
        <f t="shared" si="6"/>
        <v>31</v>
      </c>
      <c r="AS28" s="1789">
        <f t="shared" si="6"/>
        <v>30</v>
      </c>
      <c r="AT28" s="1789">
        <f t="shared" si="6"/>
        <v>31</v>
      </c>
      <c r="AU28" s="1789">
        <f t="shared" si="6"/>
        <v>31</v>
      </c>
      <c r="AV28" s="1789">
        <f t="shared" si="6"/>
        <v>30</v>
      </c>
      <c r="AW28" s="1789">
        <f t="shared" si="6"/>
        <v>31</v>
      </c>
      <c r="AX28" s="1789">
        <f t="shared" si="6"/>
        <v>30</v>
      </c>
      <c r="AY28" s="1789">
        <f t="shared" si="6"/>
        <v>31</v>
      </c>
      <c r="AZ28" s="1789">
        <f t="shared" si="6"/>
        <v>31</v>
      </c>
      <c r="BA28" s="1789">
        <f t="shared" si="6"/>
        <v>28</v>
      </c>
      <c r="BB28" s="1789">
        <f t="shared" si="6"/>
        <v>31</v>
      </c>
      <c r="BC28" s="1789">
        <f t="shared" si="6"/>
        <v>30</v>
      </c>
      <c r="BD28" s="1789">
        <f t="shared" si="6"/>
        <v>31</v>
      </c>
      <c r="BE28" s="1789">
        <f t="shared" si="6"/>
        <v>30</v>
      </c>
      <c r="BF28" s="1789">
        <f t="shared" si="6"/>
        <v>31</v>
      </c>
      <c r="BG28" s="1789">
        <f t="shared" si="6"/>
        <v>31</v>
      </c>
      <c r="BH28" s="1789">
        <f t="shared" si="6"/>
        <v>30</v>
      </c>
      <c r="BI28" s="1789">
        <f t="shared" si="6"/>
        <v>31</v>
      </c>
      <c r="BJ28" s="1789">
        <f t="shared" si="6"/>
        <v>30</v>
      </c>
      <c r="BK28" s="1789">
        <f t="shared" si="6"/>
        <v>31</v>
      </c>
      <c r="BL28" s="1789">
        <f t="shared" si="6"/>
        <v>31</v>
      </c>
      <c r="BM28" s="1789">
        <f t="shared" si="6"/>
        <v>28</v>
      </c>
      <c r="BN28" s="1789">
        <f t="shared" si="6"/>
        <v>31</v>
      </c>
      <c r="BO28" s="1789">
        <f t="shared" si="6"/>
        <v>30</v>
      </c>
      <c r="BP28" s="1789">
        <f t="shared" si="6"/>
        <v>31</v>
      </c>
      <c r="BQ28" s="1789">
        <f t="shared" si="6"/>
        <v>30</v>
      </c>
      <c r="BR28" s="1789">
        <f t="shared" ref="BR28:DS28" si="7">+_xlfn.DAYS(BR8,BQ8)</f>
        <v>31</v>
      </c>
      <c r="BS28" s="1789">
        <f t="shared" si="7"/>
        <v>31</v>
      </c>
      <c r="BT28" s="1789">
        <f t="shared" si="7"/>
        <v>30</v>
      </c>
      <c r="BU28" s="1789">
        <f t="shared" si="7"/>
        <v>31</v>
      </c>
      <c r="BV28" s="1789">
        <f t="shared" si="7"/>
        <v>30</v>
      </c>
      <c r="BW28" s="1789">
        <f t="shared" si="7"/>
        <v>31</v>
      </c>
      <c r="BX28" s="1789">
        <f t="shared" si="7"/>
        <v>31</v>
      </c>
      <c r="BY28" s="1789">
        <f t="shared" si="7"/>
        <v>28</v>
      </c>
      <c r="BZ28" s="1789">
        <f t="shared" si="7"/>
        <v>31</v>
      </c>
      <c r="CA28" s="1789">
        <f t="shared" si="7"/>
        <v>30</v>
      </c>
      <c r="CB28" s="1789">
        <f t="shared" si="7"/>
        <v>31</v>
      </c>
      <c r="CC28" s="1789">
        <f t="shared" si="7"/>
        <v>30</v>
      </c>
      <c r="CD28" s="1789">
        <f t="shared" si="7"/>
        <v>31</v>
      </c>
      <c r="CE28" s="1789">
        <f t="shared" si="7"/>
        <v>31</v>
      </c>
      <c r="CF28" s="1789">
        <f t="shared" si="7"/>
        <v>30</v>
      </c>
      <c r="CG28" s="1789">
        <f t="shared" si="7"/>
        <v>31</v>
      </c>
      <c r="CH28" s="1789">
        <f t="shared" si="7"/>
        <v>30</v>
      </c>
      <c r="CI28" s="1789">
        <f t="shared" si="7"/>
        <v>31</v>
      </c>
      <c r="CJ28" s="1789">
        <f t="shared" si="7"/>
        <v>31</v>
      </c>
      <c r="CK28" s="1789">
        <f t="shared" si="7"/>
        <v>29</v>
      </c>
      <c r="CL28" s="1789">
        <f t="shared" si="7"/>
        <v>31</v>
      </c>
      <c r="CM28" s="1789">
        <f t="shared" si="7"/>
        <v>30</v>
      </c>
      <c r="CN28" s="1789">
        <f t="shared" si="7"/>
        <v>31</v>
      </c>
      <c r="CO28" s="1789">
        <f t="shared" si="7"/>
        <v>30</v>
      </c>
      <c r="CP28" s="1789">
        <f t="shared" si="7"/>
        <v>31</v>
      </c>
      <c r="CQ28" s="1789">
        <f t="shared" si="7"/>
        <v>31</v>
      </c>
      <c r="CR28" s="1789">
        <f t="shared" si="7"/>
        <v>30</v>
      </c>
      <c r="CS28" s="1789">
        <f t="shared" si="7"/>
        <v>31</v>
      </c>
      <c r="CT28" s="1789">
        <f t="shared" si="7"/>
        <v>30</v>
      </c>
      <c r="CU28" s="1789">
        <f t="shared" si="7"/>
        <v>31</v>
      </c>
      <c r="CV28" s="1789">
        <f t="shared" si="7"/>
        <v>31</v>
      </c>
      <c r="CW28" s="1789">
        <f t="shared" si="7"/>
        <v>28</v>
      </c>
      <c r="CX28" s="1789">
        <f t="shared" si="7"/>
        <v>31</v>
      </c>
      <c r="CY28" s="1789">
        <f t="shared" si="7"/>
        <v>30</v>
      </c>
      <c r="CZ28" s="1789">
        <f t="shared" si="7"/>
        <v>31</v>
      </c>
      <c r="DA28" s="1789">
        <f t="shared" si="7"/>
        <v>30</v>
      </c>
      <c r="DB28" s="1789">
        <f t="shared" si="7"/>
        <v>31</v>
      </c>
      <c r="DC28" s="1789">
        <f t="shared" si="7"/>
        <v>31</v>
      </c>
      <c r="DD28" s="1789">
        <f t="shared" si="7"/>
        <v>30</v>
      </c>
      <c r="DE28" s="1789">
        <f t="shared" si="7"/>
        <v>31</v>
      </c>
      <c r="DF28" s="1789">
        <f t="shared" si="7"/>
        <v>30</v>
      </c>
      <c r="DG28" s="1789">
        <f t="shared" si="7"/>
        <v>31</v>
      </c>
      <c r="DH28" s="1789">
        <f t="shared" si="7"/>
        <v>31</v>
      </c>
      <c r="DI28" s="1789">
        <f t="shared" si="7"/>
        <v>28</v>
      </c>
      <c r="DJ28" s="1789">
        <f t="shared" si="7"/>
        <v>31</v>
      </c>
      <c r="DK28" s="1789">
        <f t="shared" si="7"/>
        <v>30</v>
      </c>
      <c r="DL28" s="1789">
        <f t="shared" si="7"/>
        <v>31</v>
      </c>
      <c r="DM28" s="1789">
        <f t="shared" si="7"/>
        <v>30</v>
      </c>
      <c r="DN28" s="1789">
        <f t="shared" si="7"/>
        <v>31</v>
      </c>
      <c r="DO28" s="1789">
        <f t="shared" si="7"/>
        <v>31</v>
      </c>
      <c r="DP28" s="1789">
        <f t="shared" si="7"/>
        <v>30</v>
      </c>
      <c r="DQ28" s="1789">
        <f t="shared" si="7"/>
        <v>31</v>
      </c>
      <c r="DR28" s="1789">
        <f t="shared" si="7"/>
        <v>30</v>
      </c>
      <c r="DS28" s="1789">
        <f t="shared" si="7"/>
        <v>31</v>
      </c>
      <c r="DT28" s="1485" t="s">
        <v>65</v>
      </c>
    </row>
    <row r="29" spans="1:124">
      <c r="B29" s="1787" t="s">
        <v>1125</v>
      </c>
      <c r="D29" s="1719">
        <f>D28*D27</f>
        <v>4061</v>
      </c>
      <c r="E29" s="1719">
        <f>E28*E27</f>
        <v>3668</v>
      </c>
      <c r="F29" s="1719">
        <f t="shared" ref="F29:BQ29" si="8">+_xlfn.DAYS(F8,E8)*F27</f>
        <v>4061</v>
      </c>
      <c r="G29" s="1719">
        <f t="shared" si="8"/>
        <v>3930</v>
      </c>
      <c r="H29" s="1719">
        <f t="shared" si="8"/>
        <v>4061</v>
      </c>
      <c r="I29" s="1719">
        <f t="shared" si="8"/>
        <v>3930</v>
      </c>
      <c r="J29" s="1719">
        <f t="shared" si="8"/>
        <v>4061</v>
      </c>
      <c r="K29" s="1719">
        <f t="shared" si="8"/>
        <v>4061</v>
      </c>
      <c r="L29" s="1719">
        <f t="shared" si="8"/>
        <v>3930</v>
      </c>
      <c r="M29" s="1719">
        <f t="shared" si="8"/>
        <v>4061</v>
      </c>
      <c r="N29" s="1719">
        <f t="shared" si="8"/>
        <v>3930</v>
      </c>
      <c r="O29" s="1719">
        <f t="shared" si="8"/>
        <v>4061</v>
      </c>
      <c r="P29" s="1719">
        <f t="shared" si="8"/>
        <v>4061</v>
      </c>
      <c r="Q29" s="1719">
        <f t="shared" si="8"/>
        <v>3668</v>
      </c>
      <c r="R29" s="1719">
        <f t="shared" si="8"/>
        <v>4061</v>
      </c>
      <c r="S29" s="1719">
        <f t="shared" si="8"/>
        <v>3930</v>
      </c>
      <c r="T29" s="1719">
        <f t="shared" si="8"/>
        <v>4061</v>
      </c>
      <c r="U29" s="1719">
        <f t="shared" si="8"/>
        <v>3930</v>
      </c>
      <c r="V29" s="1719">
        <f t="shared" si="8"/>
        <v>4061</v>
      </c>
      <c r="W29" s="1719">
        <f t="shared" si="8"/>
        <v>4061</v>
      </c>
      <c r="X29" s="1719">
        <f t="shared" si="8"/>
        <v>3930</v>
      </c>
      <c r="Y29" s="1719">
        <f t="shared" si="8"/>
        <v>4061</v>
      </c>
      <c r="Z29" s="1719">
        <f t="shared" si="8"/>
        <v>3930</v>
      </c>
      <c r="AA29" s="1719">
        <f t="shared" si="8"/>
        <v>4061</v>
      </c>
      <c r="AB29" s="1719">
        <f t="shared" si="8"/>
        <v>4061</v>
      </c>
      <c r="AC29" s="1719">
        <f t="shared" si="8"/>
        <v>3668</v>
      </c>
      <c r="AD29" s="1719">
        <f t="shared" si="8"/>
        <v>4061</v>
      </c>
      <c r="AE29" s="1719">
        <f t="shared" si="8"/>
        <v>3930</v>
      </c>
      <c r="AF29" s="1719">
        <f t="shared" si="8"/>
        <v>4061</v>
      </c>
      <c r="AG29" s="1719">
        <f t="shared" si="8"/>
        <v>3930</v>
      </c>
      <c r="AH29" s="1719">
        <f t="shared" si="8"/>
        <v>4061</v>
      </c>
      <c r="AI29" s="1719">
        <f t="shared" si="8"/>
        <v>4061</v>
      </c>
      <c r="AJ29" s="1719">
        <f t="shared" si="8"/>
        <v>3930</v>
      </c>
      <c r="AK29" s="1719">
        <f t="shared" si="8"/>
        <v>4061</v>
      </c>
      <c r="AL29" s="1719">
        <f t="shared" si="8"/>
        <v>3930</v>
      </c>
      <c r="AM29" s="1719">
        <f t="shared" si="8"/>
        <v>4061</v>
      </c>
      <c r="AN29" s="1719">
        <f t="shared" si="8"/>
        <v>4061</v>
      </c>
      <c r="AO29" s="1719">
        <f t="shared" si="8"/>
        <v>3799</v>
      </c>
      <c r="AP29" s="1719">
        <f t="shared" si="8"/>
        <v>4061</v>
      </c>
      <c r="AQ29" s="1719">
        <f t="shared" si="8"/>
        <v>3930</v>
      </c>
      <c r="AR29" s="1719">
        <f t="shared" si="8"/>
        <v>4061</v>
      </c>
      <c r="AS29" s="1719">
        <f t="shared" si="8"/>
        <v>3930</v>
      </c>
      <c r="AT29" s="1719">
        <f t="shared" si="8"/>
        <v>4061</v>
      </c>
      <c r="AU29" s="1719">
        <f t="shared" si="8"/>
        <v>4061</v>
      </c>
      <c r="AV29" s="1719">
        <f t="shared" si="8"/>
        <v>3930</v>
      </c>
      <c r="AW29" s="1719">
        <f t="shared" si="8"/>
        <v>4061</v>
      </c>
      <c r="AX29" s="1719">
        <f t="shared" si="8"/>
        <v>3930</v>
      </c>
      <c r="AY29" s="1719">
        <f t="shared" si="8"/>
        <v>4061</v>
      </c>
      <c r="AZ29" s="1719">
        <f t="shared" si="8"/>
        <v>4061</v>
      </c>
      <c r="BA29" s="1719">
        <f t="shared" si="8"/>
        <v>3668</v>
      </c>
      <c r="BB29" s="1719">
        <f t="shared" si="8"/>
        <v>4061</v>
      </c>
      <c r="BC29" s="1719">
        <f t="shared" si="8"/>
        <v>3930</v>
      </c>
      <c r="BD29" s="1719">
        <f t="shared" si="8"/>
        <v>4061</v>
      </c>
      <c r="BE29" s="1719">
        <f t="shared" si="8"/>
        <v>3930</v>
      </c>
      <c r="BF29" s="1719">
        <f t="shared" si="8"/>
        <v>4061</v>
      </c>
      <c r="BG29" s="1719">
        <f t="shared" si="8"/>
        <v>4061</v>
      </c>
      <c r="BH29" s="1719">
        <f t="shared" si="8"/>
        <v>3930</v>
      </c>
      <c r="BI29" s="1719">
        <f t="shared" si="8"/>
        <v>4061</v>
      </c>
      <c r="BJ29" s="1719">
        <f t="shared" si="8"/>
        <v>3930</v>
      </c>
      <c r="BK29" s="1719">
        <f t="shared" si="8"/>
        <v>4061</v>
      </c>
      <c r="BL29" s="1719">
        <f t="shared" si="8"/>
        <v>4061</v>
      </c>
      <c r="BM29" s="1719">
        <f t="shared" si="8"/>
        <v>3668</v>
      </c>
      <c r="BN29" s="1719">
        <f t="shared" si="8"/>
        <v>4061</v>
      </c>
      <c r="BO29" s="1719">
        <f t="shared" si="8"/>
        <v>3930</v>
      </c>
      <c r="BP29" s="1719">
        <f t="shared" si="8"/>
        <v>4061</v>
      </c>
      <c r="BQ29" s="1719">
        <f t="shared" si="8"/>
        <v>3930</v>
      </c>
      <c r="BR29" s="1719">
        <f t="shared" ref="BR29:DS29" si="9">+_xlfn.DAYS(BR8,BQ8)*BR27</f>
        <v>4061</v>
      </c>
      <c r="BS29" s="1719">
        <f t="shared" si="9"/>
        <v>4061</v>
      </c>
      <c r="BT29" s="1719">
        <f t="shared" si="9"/>
        <v>3930</v>
      </c>
      <c r="BU29" s="1719">
        <f t="shared" si="9"/>
        <v>4061</v>
      </c>
      <c r="BV29" s="1719">
        <f t="shared" si="9"/>
        <v>3930</v>
      </c>
      <c r="BW29" s="1719">
        <f t="shared" si="9"/>
        <v>4061</v>
      </c>
      <c r="BX29" s="1719">
        <f t="shared" si="9"/>
        <v>4061</v>
      </c>
      <c r="BY29" s="1719">
        <f t="shared" si="9"/>
        <v>3668</v>
      </c>
      <c r="BZ29" s="1719">
        <f t="shared" si="9"/>
        <v>4061</v>
      </c>
      <c r="CA29" s="1719">
        <f t="shared" si="9"/>
        <v>3930</v>
      </c>
      <c r="CB29" s="1719">
        <f t="shared" si="9"/>
        <v>4061</v>
      </c>
      <c r="CC29" s="1719">
        <f t="shared" si="9"/>
        <v>3930</v>
      </c>
      <c r="CD29" s="1719">
        <f t="shared" si="9"/>
        <v>4061</v>
      </c>
      <c r="CE29" s="1719">
        <f t="shared" si="9"/>
        <v>4061</v>
      </c>
      <c r="CF29" s="1719">
        <f t="shared" si="9"/>
        <v>3930</v>
      </c>
      <c r="CG29" s="1719">
        <f t="shared" si="9"/>
        <v>4061</v>
      </c>
      <c r="CH29" s="1719">
        <f t="shared" si="9"/>
        <v>3930</v>
      </c>
      <c r="CI29" s="1719">
        <f t="shared" si="9"/>
        <v>4061</v>
      </c>
      <c r="CJ29" s="1719">
        <f t="shared" si="9"/>
        <v>4061</v>
      </c>
      <c r="CK29" s="1719">
        <f t="shared" si="9"/>
        <v>3799</v>
      </c>
      <c r="CL29" s="1719">
        <f t="shared" si="9"/>
        <v>4061</v>
      </c>
      <c r="CM29" s="1719">
        <f t="shared" si="9"/>
        <v>3930</v>
      </c>
      <c r="CN29" s="1719">
        <f t="shared" si="9"/>
        <v>4061</v>
      </c>
      <c r="CO29" s="1719">
        <f t="shared" si="9"/>
        <v>3930</v>
      </c>
      <c r="CP29" s="1719">
        <f t="shared" si="9"/>
        <v>4061</v>
      </c>
      <c r="CQ29" s="1719">
        <f t="shared" si="9"/>
        <v>4061</v>
      </c>
      <c r="CR29" s="1719">
        <f t="shared" si="9"/>
        <v>3930</v>
      </c>
      <c r="CS29" s="1719">
        <f t="shared" si="9"/>
        <v>4061</v>
      </c>
      <c r="CT29" s="1719">
        <f t="shared" si="9"/>
        <v>3930</v>
      </c>
      <c r="CU29" s="1719">
        <f t="shared" si="9"/>
        <v>4061</v>
      </c>
      <c r="CV29" s="1719">
        <f t="shared" si="9"/>
        <v>4061</v>
      </c>
      <c r="CW29" s="1719">
        <f t="shared" si="9"/>
        <v>3668</v>
      </c>
      <c r="CX29" s="1719">
        <f t="shared" si="9"/>
        <v>4061</v>
      </c>
      <c r="CY29" s="1719">
        <f t="shared" si="9"/>
        <v>3930</v>
      </c>
      <c r="CZ29" s="1719">
        <f t="shared" si="9"/>
        <v>4061</v>
      </c>
      <c r="DA29" s="1719">
        <f t="shared" si="9"/>
        <v>3930</v>
      </c>
      <c r="DB29" s="1719">
        <f t="shared" si="9"/>
        <v>4061</v>
      </c>
      <c r="DC29" s="1719">
        <f t="shared" si="9"/>
        <v>4061</v>
      </c>
      <c r="DD29" s="1719">
        <f t="shared" si="9"/>
        <v>3930</v>
      </c>
      <c r="DE29" s="1719">
        <f t="shared" si="9"/>
        <v>4061</v>
      </c>
      <c r="DF29" s="1719">
        <f t="shared" si="9"/>
        <v>3930</v>
      </c>
      <c r="DG29" s="1719">
        <f t="shared" si="9"/>
        <v>4061</v>
      </c>
      <c r="DH29" s="1719">
        <f t="shared" si="9"/>
        <v>4061</v>
      </c>
      <c r="DI29" s="1719">
        <f t="shared" si="9"/>
        <v>3668</v>
      </c>
      <c r="DJ29" s="1719">
        <f t="shared" si="9"/>
        <v>4061</v>
      </c>
      <c r="DK29" s="1719">
        <f t="shared" si="9"/>
        <v>3930</v>
      </c>
      <c r="DL29" s="1719">
        <f t="shared" si="9"/>
        <v>4061</v>
      </c>
      <c r="DM29" s="1719">
        <f t="shared" si="9"/>
        <v>3930</v>
      </c>
      <c r="DN29" s="1719">
        <f t="shared" si="9"/>
        <v>4061</v>
      </c>
      <c r="DO29" s="1719">
        <f t="shared" si="9"/>
        <v>4061</v>
      </c>
      <c r="DP29" s="1719">
        <f t="shared" si="9"/>
        <v>3930</v>
      </c>
      <c r="DQ29" s="1719">
        <f t="shared" si="9"/>
        <v>4061</v>
      </c>
      <c r="DR29" s="1719">
        <f t="shared" si="9"/>
        <v>3930</v>
      </c>
      <c r="DS29" s="1719">
        <f t="shared" si="9"/>
        <v>4061</v>
      </c>
      <c r="DT29" s="1485" t="s">
        <v>65</v>
      </c>
    </row>
    <row r="30" spans="1:124">
      <c r="B30" s="1787" t="s">
        <v>1126</v>
      </c>
      <c r="D30" s="1726">
        <f>MIN(D29,D19*D20*D21*D29)</f>
        <v>780.09400358836342</v>
      </c>
      <c r="E30" s="1726">
        <f t="shared" ref="E30:BP30" si="10">MIN(E29,E19*E20*E21*E29)</f>
        <v>1010.4063744713569</v>
      </c>
      <c r="F30" s="1726">
        <f t="shared" si="10"/>
        <v>1439.4014910931694</v>
      </c>
      <c r="G30" s="1726">
        <f t="shared" si="10"/>
        <v>1584.2135717031908</v>
      </c>
      <c r="H30" s="1726">
        <f t="shared" si="10"/>
        <v>1818.6285274894267</v>
      </c>
      <c r="I30" s="1726">
        <f t="shared" si="10"/>
        <v>1931.6141387927717</v>
      </c>
      <c r="J30" s="1726">
        <f t="shared" si="10"/>
        <v>2108.2356484685374</v>
      </c>
      <c r="K30" s="1726">
        <f t="shared" si="10"/>
        <v>2257.2742964244517</v>
      </c>
      <c r="L30" s="1726">
        <f t="shared" si="10"/>
        <v>2331.2248289119566</v>
      </c>
      <c r="M30" s="1726">
        <f t="shared" si="10"/>
        <v>2593.7825064718691</v>
      </c>
      <c r="N30" s="1726">
        <f t="shared" si="10"/>
        <v>2291.6697289504036</v>
      </c>
      <c r="O30" s="1726">
        <f t="shared" si="10"/>
        <v>2087.0638542227348</v>
      </c>
      <c r="P30" s="1726">
        <f t="shared" si="10"/>
        <v>1992.0257591631423</v>
      </c>
      <c r="Q30" s="1726">
        <f t="shared" si="10"/>
        <v>2241.2650488273739</v>
      </c>
      <c r="R30" s="1726">
        <f t="shared" si="10"/>
        <v>2837.1360969178518</v>
      </c>
      <c r="S30" s="1726">
        <f t="shared" si="10"/>
        <v>2822.1106881968467</v>
      </c>
      <c r="T30" s="1726">
        <f t="shared" si="10"/>
        <v>2966.6377854671268</v>
      </c>
      <c r="U30" s="1726">
        <f t="shared" si="10"/>
        <v>2915.6439830834288</v>
      </c>
      <c r="V30" s="1726">
        <f t="shared" si="10"/>
        <v>2907.9112392669485</v>
      </c>
      <c r="W30" s="1726">
        <f t="shared" si="10"/>
        <v>2866.3800589516854</v>
      </c>
      <c r="X30" s="1726">
        <f t="shared" si="10"/>
        <v>2882.5036524413686</v>
      </c>
      <c r="Y30" s="1726">
        <f t="shared" si="10"/>
        <v>3125.0391644239389</v>
      </c>
      <c r="Z30" s="1726">
        <f t="shared" si="10"/>
        <v>2692.1230296039985</v>
      </c>
      <c r="AA30" s="1726">
        <f t="shared" si="10"/>
        <v>2392.0502627194669</v>
      </c>
      <c r="AB30" s="1726">
        <f t="shared" si="10"/>
        <v>2228.840010252467</v>
      </c>
      <c r="AC30" s="1726">
        <f t="shared" si="10"/>
        <v>2449.4699987184413</v>
      </c>
      <c r="AD30" s="1726">
        <f t="shared" si="10"/>
        <v>3030.3189286171987</v>
      </c>
      <c r="AE30" s="1726">
        <f t="shared" si="10"/>
        <v>2947.3740868896571</v>
      </c>
      <c r="AF30" s="1726">
        <f t="shared" si="10"/>
        <v>3031.0475458157111</v>
      </c>
      <c r="AG30" s="1726">
        <f t="shared" si="10"/>
        <v>2915.6439830834292</v>
      </c>
      <c r="AH30" s="1726">
        <f t="shared" si="10"/>
        <v>2907.9112392669485</v>
      </c>
      <c r="AI30" s="1726">
        <f t="shared" si="10"/>
        <v>2866.3800589516854</v>
      </c>
      <c r="AJ30" s="1726">
        <f t="shared" si="10"/>
        <v>2882.5036524413686</v>
      </c>
      <c r="AK30" s="1726">
        <f t="shared" si="10"/>
        <v>3125.0391644239389</v>
      </c>
      <c r="AL30" s="1726">
        <f t="shared" si="10"/>
        <v>2692.1230296039985</v>
      </c>
      <c r="AM30" s="1726">
        <f t="shared" si="10"/>
        <v>2392.0502627194669</v>
      </c>
      <c r="AN30" s="1726">
        <f t="shared" si="10"/>
        <v>2228.840010252467</v>
      </c>
      <c r="AO30" s="1726">
        <f t="shared" si="10"/>
        <v>2536.9510701012427</v>
      </c>
      <c r="AP30" s="1726">
        <f t="shared" si="10"/>
        <v>3030.3189286171987</v>
      </c>
      <c r="AQ30" s="1726">
        <f t="shared" si="10"/>
        <v>2947.3740868896571</v>
      </c>
      <c r="AR30" s="1726">
        <f t="shared" si="10"/>
        <v>3031.0475458157111</v>
      </c>
      <c r="AS30" s="1726">
        <f t="shared" si="10"/>
        <v>2915.6439830834292</v>
      </c>
      <c r="AT30" s="1726">
        <f t="shared" si="10"/>
        <v>2907.9112392669485</v>
      </c>
      <c r="AU30" s="1726">
        <f t="shared" si="10"/>
        <v>2866.3800589516854</v>
      </c>
      <c r="AV30" s="1726">
        <f t="shared" si="10"/>
        <v>2882.5036524413686</v>
      </c>
      <c r="AW30" s="1726">
        <f t="shared" si="10"/>
        <v>3125.0391644239389</v>
      </c>
      <c r="AX30" s="1726">
        <f t="shared" si="10"/>
        <v>2692.1230296039985</v>
      </c>
      <c r="AY30" s="1726">
        <f t="shared" si="10"/>
        <v>2392.0502627194669</v>
      </c>
      <c r="AZ30" s="1726">
        <f t="shared" si="10"/>
        <v>2228.840010252467</v>
      </c>
      <c r="BA30" s="1726">
        <f t="shared" si="10"/>
        <v>2449.4699987184413</v>
      </c>
      <c r="BB30" s="1726">
        <f t="shared" si="10"/>
        <v>3030.3189286171987</v>
      </c>
      <c r="BC30" s="1726">
        <f t="shared" si="10"/>
        <v>2947.3740868896571</v>
      </c>
      <c r="BD30" s="1726">
        <f t="shared" si="10"/>
        <v>3031.0475458157111</v>
      </c>
      <c r="BE30" s="1726">
        <f t="shared" si="10"/>
        <v>2915.6439830834292</v>
      </c>
      <c r="BF30" s="1726">
        <f t="shared" si="10"/>
        <v>2907.9112392669485</v>
      </c>
      <c r="BG30" s="1726">
        <f t="shared" si="10"/>
        <v>2866.3800589516854</v>
      </c>
      <c r="BH30" s="1726">
        <f t="shared" si="10"/>
        <v>2882.5036524413686</v>
      </c>
      <c r="BI30" s="1726">
        <f t="shared" si="10"/>
        <v>3125.0391644239389</v>
      </c>
      <c r="BJ30" s="1726">
        <f t="shared" si="10"/>
        <v>2692.1230296039985</v>
      </c>
      <c r="BK30" s="1726">
        <f t="shared" si="10"/>
        <v>2392.0502627194669</v>
      </c>
      <c r="BL30" s="1726">
        <f t="shared" si="10"/>
        <v>2228.840010252467</v>
      </c>
      <c r="BM30" s="1726">
        <f t="shared" si="10"/>
        <v>2449.4699987184413</v>
      </c>
      <c r="BN30" s="1726">
        <f t="shared" si="10"/>
        <v>3030.3189286171987</v>
      </c>
      <c r="BO30" s="1726">
        <f t="shared" si="10"/>
        <v>2947.3740868896571</v>
      </c>
      <c r="BP30" s="1726">
        <f t="shared" si="10"/>
        <v>3031.0475458157111</v>
      </c>
      <c r="BQ30" s="1726">
        <f t="shared" ref="BQ30:DS30" si="11">MIN(BQ29,BQ19*BQ20*BQ21*BQ29)</f>
        <v>2915.6439830834292</v>
      </c>
      <c r="BR30" s="1726">
        <f t="shared" si="11"/>
        <v>2907.9112392669485</v>
      </c>
      <c r="BS30" s="1726">
        <f t="shared" si="11"/>
        <v>2866.3800589516854</v>
      </c>
      <c r="BT30" s="1726">
        <f t="shared" si="11"/>
        <v>2882.5036524413686</v>
      </c>
      <c r="BU30" s="1726">
        <f t="shared" si="11"/>
        <v>3125.0391644239389</v>
      </c>
      <c r="BV30" s="1726">
        <f t="shared" si="11"/>
        <v>2692.1230296039985</v>
      </c>
      <c r="BW30" s="1726">
        <f t="shared" si="11"/>
        <v>2392.0502627194669</v>
      </c>
      <c r="BX30" s="1726">
        <f t="shared" si="11"/>
        <v>2228.840010252467</v>
      </c>
      <c r="BY30" s="1726">
        <f t="shared" si="11"/>
        <v>2449.4699987184413</v>
      </c>
      <c r="BZ30" s="1726">
        <f t="shared" si="11"/>
        <v>3030.3189286171987</v>
      </c>
      <c r="CA30" s="1726">
        <f t="shared" si="11"/>
        <v>2947.3740868896571</v>
      </c>
      <c r="CB30" s="1726">
        <f t="shared" si="11"/>
        <v>3031.0475458157111</v>
      </c>
      <c r="CC30" s="1726">
        <f t="shared" si="11"/>
        <v>2915.6439830834292</v>
      </c>
      <c r="CD30" s="1726">
        <f t="shared" si="11"/>
        <v>2907.9112392669485</v>
      </c>
      <c r="CE30" s="1726">
        <f t="shared" si="11"/>
        <v>2866.3800589516854</v>
      </c>
      <c r="CF30" s="1726">
        <f t="shared" si="11"/>
        <v>2882.5036524413686</v>
      </c>
      <c r="CG30" s="1726">
        <f t="shared" si="11"/>
        <v>3125.0391644239389</v>
      </c>
      <c r="CH30" s="1726">
        <f t="shared" si="11"/>
        <v>2692.1230296039985</v>
      </c>
      <c r="CI30" s="1726">
        <f t="shared" si="11"/>
        <v>2392.0502627194669</v>
      </c>
      <c r="CJ30" s="1726">
        <f t="shared" si="11"/>
        <v>2228.840010252467</v>
      </c>
      <c r="CK30" s="1726">
        <f t="shared" si="11"/>
        <v>2536.9510701012427</v>
      </c>
      <c r="CL30" s="1726">
        <f t="shared" si="11"/>
        <v>3030.3189286171987</v>
      </c>
      <c r="CM30" s="1726">
        <f t="shared" si="11"/>
        <v>2947.3740868896571</v>
      </c>
      <c r="CN30" s="1726">
        <f t="shared" si="11"/>
        <v>3031.0475458157111</v>
      </c>
      <c r="CO30" s="1726">
        <f t="shared" si="11"/>
        <v>2915.6439830834292</v>
      </c>
      <c r="CP30" s="1726">
        <f t="shared" si="11"/>
        <v>2907.9112392669485</v>
      </c>
      <c r="CQ30" s="1726">
        <f t="shared" si="11"/>
        <v>2866.3800589516854</v>
      </c>
      <c r="CR30" s="1726">
        <f t="shared" si="11"/>
        <v>2882.5036524413686</v>
      </c>
      <c r="CS30" s="1726">
        <f t="shared" si="11"/>
        <v>3125.0391644239389</v>
      </c>
      <c r="CT30" s="1726">
        <f t="shared" si="11"/>
        <v>2692.1230296039985</v>
      </c>
      <c r="CU30" s="1726">
        <f t="shared" si="11"/>
        <v>2392.0502627194669</v>
      </c>
      <c r="CV30" s="1726">
        <f t="shared" si="11"/>
        <v>2228.840010252467</v>
      </c>
      <c r="CW30" s="1726">
        <f t="shared" si="11"/>
        <v>2449.4699987184413</v>
      </c>
      <c r="CX30" s="1726">
        <f t="shared" si="11"/>
        <v>3030.3189286171987</v>
      </c>
      <c r="CY30" s="1726">
        <f t="shared" si="11"/>
        <v>2947.3740868896571</v>
      </c>
      <c r="CZ30" s="1726">
        <f t="shared" si="11"/>
        <v>3031.0475458157111</v>
      </c>
      <c r="DA30" s="1726">
        <f t="shared" si="11"/>
        <v>2915.6439830834292</v>
      </c>
      <c r="DB30" s="1726">
        <f t="shared" si="11"/>
        <v>2907.9112392669485</v>
      </c>
      <c r="DC30" s="1726">
        <f t="shared" si="11"/>
        <v>2866.3800589516854</v>
      </c>
      <c r="DD30" s="1726">
        <f t="shared" si="11"/>
        <v>2882.5036524413686</v>
      </c>
      <c r="DE30" s="1726">
        <f t="shared" si="11"/>
        <v>3125.0391644239389</v>
      </c>
      <c r="DF30" s="1726">
        <f t="shared" si="11"/>
        <v>2692.1230296039985</v>
      </c>
      <c r="DG30" s="1726">
        <f t="shared" si="11"/>
        <v>2392.0502627194669</v>
      </c>
      <c r="DH30" s="1726">
        <f t="shared" si="11"/>
        <v>2228.840010252467</v>
      </c>
      <c r="DI30" s="1726">
        <f t="shared" si="11"/>
        <v>2449.4699987184413</v>
      </c>
      <c r="DJ30" s="1726">
        <f t="shared" si="11"/>
        <v>3030.3189286171987</v>
      </c>
      <c r="DK30" s="1726">
        <f t="shared" si="11"/>
        <v>2947.3740868896571</v>
      </c>
      <c r="DL30" s="1726">
        <f t="shared" si="11"/>
        <v>3031.0475458157111</v>
      </c>
      <c r="DM30" s="1726">
        <f t="shared" si="11"/>
        <v>2915.6439830834292</v>
      </c>
      <c r="DN30" s="1726">
        <f t="shared" si="11"/>
        <v>2907.9112392669485</v>
      </c>
      <c r="DO30" s="1726">
        <f t="shared" si="11"/>
        <v>2866.3800589516854</v>
      </c>
      <c r="DP30" s="1726">
        <f t="shared" si="11"/>
        <v>2882.5036524413686</v>
      </c>
      <c r="DQ30" s="1726">
        <f t="shared" si="11"/>
        <v>3125.0391644239389</v>
      </c>
      <c r="DR30" s="1726">
        <f t="shared" si="11"/>
        <v>2692.1230296039985</v>
      </c>
      <c r="DS30" s="1726">
        <f t="shared" si="11"/>
        <v>2392.0502627194669</v>
      </c>
      <c r="DT30" s="1485" t="s">
        <v>65</v>
      </c>
    </row>
    <row r="31" spans="1:124">
      <c r="B31" s="1787" t="s">
        <v>91</v>
      </c>
      <c r="D31" s="1790">
        <f>+D30/D29</f>
        <v>0.19209406638472382</v>
      </c>
      <c r="E31" s="1790">
        <f>+E30/E29</f>
        <v>0.27546520569011912</v>
      </c>
      <c r="F31" s="1790">
        <f t="shared" ref="F31:BQ31" si="12">+F30/F29</f>
        <v>0.35444508522363194</v>
      </c>
      <c r="G31" s="1790">
        <f t="shared" si="12"/>
        <v>0.40310777905933609</v>
      </c>
      <c r="H31" s="1790">
        <f t="shared" si="12"/>
        <v>0.44782775855440204</v>
      </c>
      <c r="I31" s="1790">
        <f t="shared" si="12"/>
        <v>0.49150486992182485</v>
      </c>
      <c r="J31" s="1790">
        <f t="shared" si="12"/>
        <v>0.51914199666794814</v>
      </c>
      <c r="K31" s="1790">
        <f t="shared" si="12"/>
        <v>0.55584198385236439</v>
      </c>
      <c r="L31" s="1790">
        <f t="shared" si="12"/>
        <v>0.59318697936691012</v>
      </c>
      <c r="M31" s="1790">
        <f t="shared" si="12"/>
        <v>0.63870536972959102</v>
      </c>
      <c r="N31" s="1790">
        <f t="shared" si="12"/>
        <v>0.58312206843521719</v>
      </c>
      <c r="O31" s="1790">
        <f t="shared" si="12"/>
        <v>0.5139285531205946</v>
      </c>
      <c r="P31" s="1790">
        <f t="shared" si="12"/>
        <v>0.49052591951813401</v>
      </c>
      <c r="Q31" s="1790">
        <f t="shared" si="12"/>
        <v>0.61103191080353703</v>
      </c>
      <c r="R31" s="1790">
        <f t="shared" si="12"/>
        <v>0.69862991798026397</v>
      </c>
      <c r="S31" s="1790">
        <f t="shared" si="12"/>
        <v>0.71809432269639861</v>
      </c>
      <c r="T31" s="1790">
        <f t="shared" si="12"/>
        <v>0.73051903114186822</v>
      </c>
      <c r="U31" s="1790">
        <f t="shared" si="12"/>
        <v>0.74189414327822611</v>
      </c>
      <c r="V31" s="1790">
        <f t="shared" si="12"/>
        <v>0.71605792643854926</v>
      </c>
      <c r="W31" s="1790">
        <f t="shared" si="12"/>
        <v>0.70583109060617721</v>
      </c>
      <c r="X31" s="1790">
        <f t="shared" si="12"/>
        <v>0.73346148917083165</v>
      </c>
      <c r="Y31" s="1790">
        <f t="shared" si="12"/>
        <v>0.76952454184288077</v>
      </c>
      <c r="Z31" s="1790">
        <f t="shared" si="12"/>
        <v>0.68501858259643722</v>
      </c>
      <c r="AA31" s="1790">
        <f t="shared" si="12"/>
        <v>0.58902986031013715</v>
      </c>
      <c r="AB31" s="1790">
        <f t="shared" si="12"/>
        <v>0.54884018967063952</v>
      </c>
      <c r="AC31" s="1790">
        <f t="shared" si="12"/>
        <v>0.6677944380366525</v>
      </c>
      <c r="AD31" s="1790">
        <f t="shared" si="12"/>
        <v>0.74620017941817252</v>
      </c>
      <c r="AE31" s="1790">
        <f t="shared" si="12"/>
        <v>0.74996796104062524</v>
      </c>
      <c r="AF31" s="1790">
        <f t="shared" si="12"/>
        <v>0.74637959759067007</v>
      </c>
      <c r="AG31" s="1790">
        <f t="shared" si="12"/>
        <v>0.74189414327822623</v>
      </c>
      <c r="AH31" s="1790">
        <f t="shared" si="12"/>
        <v>0.71605792643854926</v>
      </c>
      <c r="AI31" s="1790">
        <f t="shared" si="12"/>
        <v>0.70583109060617721</v>
      </c>
      <c r="AJ31" s="1790">
        <f t="shared" si="12"/>
        <v>0.73346148917083165</v>
      </c>
      <c r="AK31" s="1790">
        <f t="shared" si="12"/>
        <v>0.76952454184288077</v>
      </c>
      <c r="AL31" s="1790">
        <f t="shared" si="12"/>
        <v>0.68501858259643722</v>
      </c>
      <c r="AM31" s="1790">
        <f t="shared" si="12"/>
        <v>0.58902986031013715</v>
      </c>
      <c r="AN31" s="1790">
        <f t="shared" si="12"/>
        <v>0.54884018967063952</v>
      </c>
      <c r="AO31" s="1790">
        <f t="shared" si="12"/>
        <v>0.6677944380366525</v>
      </c>
      <c r="AP31" s="1790">
        <f t="shared" si="12"/>
        <v>0.74620017941817252</v>
      </c>
      <c r="AQ31" s="1790">
        <f t="shared" si="12"/>
        <v>0.74996796104062524</v>
      </c>
      <c r="AR31" s="1790">
        <f t="shared" si="12"/>
        <v>0.74637959759067007</v>
      </c>
      <c r="AS31" s="1790">
        <f t="shared" si="12"/>
        <v>0.74189414327822623</v>
      </c>
      <c r="AT31" s="1790">
        <f t="shared" si="12"/>
        <v>0.71605792643854926</v>
      </c>
      <c r="AU31" s="1790">
        <f t="shared" si="12"/>
        <v>0.70583109060617721</v>
      </c>
      <c r="AV31" s="1790">
        <f t="shared" si="12"/>
        <v>0.73346148917083165</v>
      </c>
      <c r="AW31" s="1790">
        <f t="shared" si="12"/>
        <v>0.76952454184288077</v>
      </c>
      <c r="AX31" s="1790">
        <f t="shared" si="12"/>
        <v>0.68501858259643722</v>
      </c>
      <c r="AY31" s="1790">
        <f t="shared" si="12"/>
        <v>0.58902986031013715</v>
      </c>
      <c r="AZ31" s="1790">
        <f t="shared" si="12"/>
        <v>0.54884018967063952</v>
      </c>
      <c r="BA31" s="1790">
        <f t="shared" si="12"/>
        <v>0.6677944380366525</v>
      </c>
      <c r="BB31" s="1790">
        <f t="shared" si="12"/>
        <v>0.74620017941817252</v>
      </c>
      <c r="BC31" s="1790">
        <f t="shared" si="12"/>
        <v>0.74996796104062524</v>
      </c>
      <c r="BD31" s="1790">
        <f t="shared" si="12"/>
        <v>0.74637959759067007</v>
      </c>
      <c r="BE31" s="1790">
        <f t="shared" si="12"/>
        <v>0.74189414327822623</v>
      </c>
      <c r="BF31" s="1790">
        <f t="shared" si="12"/>
        <v>0.71605792643854926</v>
      </c>
      <c r="BG31" s="1790">
        <f t="shared" si="12"/>
        <v>0.70583109060617721</v>
      </c>
      <c r="BH31" s="1790">
        <f t="shared" si="12"/>
        <v>0.73346148917083165</v>
      </c>
      <c r="BI31" s="1790">
        <f t="shared" si="12"/>
        <v>0.76952454184288077</v>
      </c>
      <c r="BJ31" s="1790">
        <f t="shared" si="12"/>
        <v>0.68501858259643722</v>
      </c>
      <c r="BK31" s="1790">
        <f t="shared" si="12"/>
        <v>0.58902986031013715</v>
      </c>
      <c r="BL31" s="1790">
        <f t="shared" si="12"/>
        <v>0.54884018967063952</v>
      </c>
      <c r="BM31" s="1790">
        <f t="shared" si="12"/>
        <v>0.6677944380366525</v>
      </c>
      <c r="BN31" s="1790">
        <f t="shared" si="12"/>
        <v>0.74620017941817252</v>
      </c>
      <c r="BO31" s="1790">
        <f t="shared" si="12"/>
        <v>0.74996796104062524</v>
      </c>
      <c r="BP31" s="1790">
        <f t="shared" si="12"/>
        <v>0.74637959759067007</v>
      </c>
      <c r="BQ31" s="1790">
        <f t="shared" si="12"/>
        <v>0.74189414327822623</v>
      </c>
      <c r="BR31" s="1790">
        <f t="shared" ref="BR31:DS31" si="13">+BR30/BR29</f>
        <v>0.71605792643854926</v>
      </c>
      <c r="BS31" s="1790">
        <f t="shared" si="13"/>
        <v>0.70583109060617721</v>
      </c>
      <c r="BT31" s="1790">
        <f t="shared" si="13"/>
        <v>0.73346148917083165</v>
      </c>
      <c r="BU31" s="1790">
        <f t="shared" si="13"/>
        <v>0.76952454184288077</v>
      </c>
      <c r="BV31" s="1790">
        <f t="shared" si="13"/>
        <v>0.68501858259643722</v>
      </c>
      <c r="BW31" s="1790">
        <f t="shared" si="13"/>
        <v>0.58902986031013715</v>
      </c>
      <c r="BX31" s="1790">
        <f t="shared" si="13"/>
        <v>0.54884018967063952</v>
      </c>
      <c r="BY31" s="1790">
        <f t="shared" si="13"/>
        <v>0.6677944380366525</v>
      </c>
      <c r="BZ31" s="1790">
        <f t="shared" si="13"/>
        <v>0.74620017941817252</v>
      </c>
      <c r="CA31" s="1790">
        <f t="shared" si="13"/>
        <v>0.74996796104062524</v>
      </c>
      <c r="CB31" s="1790">
        <f t="shared" si="13"/>
        <v>0.74637959759067007</v>
      </c>
      <c r="CC31" s="1790">
        <f t="shared" si="13"/>
        <v>0.74189414327822623</v>
      </c>
      <c r="CD31" s="1790">
        <f t="shared" si="13"/>
        <v>0.71605792643854926</v>
      </c>
      <c r="CE31" s="1790">
        <f t="shared" si="13"/>
        <v>0.70583109060617721</v>
      </c>
      <c r="CF31" s="1790">
        <f t="shared" si="13"/>
        <v>0.73346148917083165</v>
      </c>
      <c r="CG31" s="1790">
        <f t="shared" si="13"/>
        <v>0.76952454184288077</v>
      </c>
      <c r="CH31" s="1790">
        <f t="shared" si="13"/>
        <v>0.68501858259643722</v>
      </c>
      <c r="CI31" s="1790">
        <f t="shared" si="13"/>
        <v>0.58902986031013715</v>
      </c>
      <c r="CJ31" s="1790">
        <f t="shared" si="13"/>
        <v>0.54884018967063952</v>
      </c>
      <c r="CK31" s="1790">
        <f t="shared" si="13"/>
        <v>0.6677944380366525</v>
      </c>
      <c r="CL31" s="1790">
        <f t="shared" si="13"/>
        <v>0.74620017941817252</v>
      </c>
      <c r="CM31" s="1790">
        <f t="shared" si="13"/>
        <v>0.74996796104062524</v>
      </c>
      <c r="CN31" s="1790">
        <f t="shared" si="13"/>
        <v>0.74637959759067007</v>
      </c>
      <c r="CO31" s="1790">
        <f t="shared" si="13"/>
        <v>0.74189414327822623</v>
      </c>
      <c r="CP31" s="1790">
        <f t="shared" si="13"/>
        <v>0.71605792643854926</v>
      </c>
      <c r="CQ31" s="1790">
        <f t="shared" si="13"/>
        <v>0.70583109060617721</v>
      </c>
      <c r="CR31" s="1790">
        <f t="shared" si="13"/>
        <v>0.73346148917083165</v>
      </c>
      <c r="CS31" s="1790">
        <f t="shared" si="13"/>
        <v>0.76952454184288077</v>
      </c>
      <c r="CT31" s="1790">
        <f t="shared" si="13"/>
        <v>0.68501858259643722</v>
      </c>
      <c r="CU31" s="1790">
        <f t="shared" si="13"/>
        <v>0.58902986031013715</v>
      </c>
      <c r="CV31" s="1790">
        <f t="shared" si="13"/>
        <v>0.54884018967063952</v>
      </c>
      <c r="CW31" s="1790">
        <f t="shared" si="13"/>
        <v>0.6677944380366525</v>
      </c>
      <c r="CX31" s="1790">
        <f t="shared" si="13"/>
        <v>0.74620017941817252</v>
      </c>
      <c r="CY31" s="1790">
        <f t="shared" si="13"/>
        <v>0.74996796104062524</v>
      </c>
      <c r="CZ31" s="1790">
        <f t="shared" si="13"/>
        <v>0.74637959759067007</v>
      </c>
      <c r="DA31" s="1790">
        <f t="shared" si="13"/>
        <v>0.74189414327822623</v>
      </c>
      <c r="DB31" s="1790">
        <f t="shared" si="13"/>
        <v>0.71605792643854926</v>
      </c>
      <c r="DC31" s="1790">
        <f t="shared" si="13"/>
        <v>0.70583109060617721</v>
      </c>
      <c r="DD31" s="1790">
        <f t="shared" si="13"/>
        <v>0.73346148917083165</v>
      </c>
      <c r="DE31" s="1790">
        <f t="shared" si="13"/>
        <v>0.76952454184288077</v>
      </c>
      <c r="DF31" s="1790">
        <f t="shared" si="13"/>
        <v>0.68501858259643722</v>
      </c>
      <c r="DG31" s="1790">
        <f t="shared" si="13"/>
        <v>0.58902986031013715</v>
      </c>
      <c r="DH31" s="1790">
        <f t="shared" si="13"/>
        <v>0.54884018967063952</v>
      </c>
      <c r="DI31" s="1790">
        <f t="shared" si="13"/>
        <v>0.6677944380366525</v>
      </c>
      <c r="DJ31" s="1790">
        <f t="shared" si="13"/>
        <v>0.74620017941817252</v>
      </c>
      <c r="DK31" s="1790">
        <f t="shared" si="13"/>
        <v>0.74996796104062524</v>
      </c>
      <c r="DL31" s="1790">
        <f t="shared" si="13"/>
        <v>0.74637959759067007</v>
      </c>
      <c r="DM31" s="1790">
        <f t="shared" si="13"/>
        <v>0.74189414327822623</v>
      </c>
      <c r="DN31" s="1790">
        <f t="shared" si="13"/>
        <v>0.71605792643854926</v>
      </c>
      <c r="DO31" s="1790">
        <f t="shared" si="13"/>
        <v>0.70583109060617721</v>
      </c>
      <c r="DP31" s="1790">
        <f t="shared" si="13"/>
        <v>0.73346148917083165</v>
      </c>
      <c r="DQ31" s="1790">
        <f t="shared" si="13"/>
        <v>0.76952454184288077</v>
      </c>
      <c r="DR31" s="1790">
        <f t="shared" si="13"/>
        <v>0.68501858259643722</v>
      </c>
      <c r="DS31" s="1790">
        <f t="shared" si="13"/>
        <v>0.58902986031013715</v>
      </c>
      <c r="DT31" s="1485" t="s">
        <v>65</v>
      </c>
    </row>
    <row r="32" spans="1:124">
      <c r="B32" s="1787" t="s">
        <v>938</v>
      </c>
      <c r="D32" s="1791">
        <f t="shared" ref="D32:BO32" si="14">+D22*D23</f>
        <v>238.78140196530575</v>
      </c>
      <c r="E32" s="1791">
        <f t="shared" si="14"/>
        <v>260.60331529163705</v>
      </c>
      <c r="F32" s="1791">
        <f t="shared" si="14"/>
        <v>275.40521148314167</v>
      </c>
      <c r="G32" s="1791">
        <f t="shared" si="14"/>
        <v>280.31319250371189</v>
      </c>
      <c r="H32" s="1791">
        <f t="shared" si="14"/>
        <v>278.55418012991493</v>
      </c>
      <c r="I32" s="1791">
        <f t="shared" si="14"/>
        <v>293.77309958143979</v>
      </c>
      <c r="J32" s="1791">
        <f t="shared" si="14"/>
        <v>259.07241975999335</v>
      </c>
      <c r="K32" s="1791">
        <f t="shared" si="14"/>
        <v>261.3637220883989</v>
      </c>
      <c r="L32" s="1791">
        <f t="shared" si="14"/>
        <v>278.48623098511149</v>
      </c>
      <c r="M32" s="1791">
        <f t="shared" si="14"/>
        <v>300.66618303658555</v>
      </c>
      <c r="N32" s="1791">
        <f t="shared" si="14"/>
        <v>272.05203162068517</v>
      </c>
      <c r="O32" s="1791">
        <f t="shared" si="14"/>
        <v>252.92901155407446</v>
      </c>
      <c r="P32" s="1791">
        <f t="shared" si="14"/>
        <v>245.94484402426494</v>
      </c>
      <c r="Q32" s="1791">
        <f t="shared" si="14"/>
        <v>268.42141475038613</v>
      </c>
      <c r="R32" s="1791">
        <f t="shared" si="14"/>
        <v>283.66736782763587</v>
      </c>
      <c r="S32" s="1791">
        <f t="shared" si="14"/>
        <v>288.72258827882325</v>
      </c>
      <c r="T32" s="1791">
        <f t="shared" si="14"/>
        <v>286.91080553381238</v>
      </c>
      <c r="U32" s="1791">
        <f t="shared" si="14"/>
        <v>302.58629256888298</v>
      </c>
      <c r="V32" s="1791">
        <f t="shared" si="14"/>
        <v>266.84459235279314</v>
      </c>
      <c r="W32" s="1791">
        <f t="shared" si="14"/>
        <v>269.20463375105084</v>
      </c>
      <c r="X32" s="1791">
        <f t="shared" si="14"/>
        <v>286.8408179146648</v>
      </c>
      <c r="Y32" s="1791">
        <f t="shared" si="14"/>
        <v>309.68616852768309</v>
      </c>
      <c r="Z32" s="1791">
        <f t="shared" si="14"/>
        <v>280.21359256930572</v>
      </c>
      <c r="AA32" s="1791">
        <f t="shared" si="14"/>
        <v>260.51688190069672</v>
      </c>
      <c r="AB32" s="1791">
        <f t="shared" si="14"/>
        <v>253.32318934499287</v>
      </c>
      <c r="AC32" s="1791">
        <f t="shared" si="14"/>
        <v>276.47405719289776</v>
      </c>
      <c r="AD32" s="1791">
        <f t="shared" si="14"/>
        <v>292.17738886246497</v>
      </c>
      <c r="AE32" s="1791">
        <f t="shared" si="14"/>
        <v>297.38426592718798</v>
      </c>
      <c r="AF32" s="1791">
        <f t="shared" si="14"/>
        <v>295.51812969982677</v>
      </c>
      <c r="AG32" s="1791">
        <f t="shared" si="14"/>
        <v>311.66388134594951</v>
      </c>
      <c r="AH32" s="1791">
        <f t="shared" si="14"/>
        <v>274.84993012337691</v>
      </c>
      <c r="AI32" s="1791">
        <f t="shared" si="14"/>
        <v>277.28077276358238</v>
      </c>
      <c r="AJ32" s="1791">
        <f t="shared" si="14"/>
        <v>295.44604245210473</v>
      </c>
      <c r="AK32" s="1791">
        <f t="shared" si="14"/>
        <v>318.97675358351358</v>
      </c>
      <c r="AL32" s="1791">
        <f t="shared" si="14"/>
        <v>288.62000034638487</v>
      </c>
      <c r="AM32" s="1791">
        <f t="shared" si="14"/>
        <v>268.3323883577176</v>
      </c>
      <c r="AN32" s="1791">
        <f t="shared" si="14"/>
        <v>260.92288502534262</v>
      </c>
      <c r="AO32" s="1791">
        <f t="shared" si="14"/>
        <v>284.76827890868464</v>
      </c>
      <c r="AP32" s="1791">
        <f t="shared" si="14"/>
        <v>300.94271052833892</v>
      </c>
      <c r="AQ32" s="1791">
        <f t="shared" si="14"/>
        <v>306.30579390500361</v>
      </c>
      <c r="AR32" s="1791">
        <f t="shared" si="14"/>
        <v>304.38367359082156</v>
      </c>
      <c r="AS32" s="1791">
        <f t="shared" si="14"/>
        <v>321.01379778632798</v>
      </c>
      <c r="AT32" s="1791">
        <f t="shared" si="14"/>
        <v>283.09542802707824</v>
      </c>
      <c r="AU32" s="1791">
        <f t="shared" si="14"/>
        <v>285.59919594648983</v>
      </c>
      <c r="AV32" s="1791">
        <f t="shared" si="14"/>
        <v>304.30942372566784</v>
      </c>
      <c r="AW32" s="1791">
        <f t="shared" si="14"/>
        <v>328.54605619101898</v>
      </c>
      <c r="AX32" s="1791">
        <f t="shared" si="14"/>
        <v>297.27860035677639</v>
      </c>
      <c r="AY32" s="1791">
        <f t="shared" si="14"/>
        <v>276.3823600084491</v>
      </c>
      <c r="AZ32" s="1791">
        <f t="shared" si="14"/>
        <v>268.75057157610291</v>
      </c>
      <c r="BA32" s="1791">
        <f t="shared" si="14"/>
        <v>293.31132727594519</v>
      </c>
      <c r="BB32" s="1791">
        <f t="shared" si="14"/>
        <v>309.97099184418909</v>
      </c>
      <c r="BC32" s="1791">
        <f t="shared" si="14"/>
        <v>315.49496772215372</v>
      </c>
      <c r="BD32" s="1791">
        <f t="shared" si="14"/>
        <v>313.51518379854622</v>
      </c>
      <c r="BE32" s="1791">
        <f t="shared" si="14"/>
        <v>330.64421171991779</v>
      </c>
      <c r="BF32" s="1791">
        <f t="shared" si="14"/>
        <v>291.58829086789058</v>
      </c>
      <c r="BG32" s="1791">
        <f t="shared" si="14"/>
        <v>294.16717182488452</v>
      </c>
      <c r="BH32" s="1791">
        <f t="shared" si="14"/>
        <v>313.43870643743793</v>
      </c>
      <c r="BI32" s="1791">
        <f t="shared" si="14"/>
        <v>338.40243787674956</v>
      </c>
      <c r="BJ32" s="1791">
        <f t="shared" si="14"/>
        <v>306.19695836747968</v>
      </c>
      <c r="BK32" s="1791">
        <f t="shared" si="14"/>
        <v>284.67383080870258</v>
      </c>
      <c r="BL32" s="1791">
        <f t="shared" si="14"/>
        <v>276.81308872338599</v>
      </c>
      <c r="BM32" s="1791">
        <f t="shared" si="14"/>
        <v>302.11066709422352</v>
      </c>
      <c r="BN32" s="1791">
        <f t="shared" si="14"/>
        <v>319.27012159951471</v>
      </c>
      <c r="BO32" s="1791">
        <f t="shared" si="14"/>
        <v>324.9598167538183</v>
      </c>
      <c r="BP32" s="1791">
        <f t="shared" ref="BP32:DS32" si="15">+BP22*BP23</f>
        <v>322.92063931250254</v>
      </c>
      <c r="BQ32" s="1791">
        <f t="shared" si="15"/>
        <v>340.56353807151532</v>
      </c>
      <c r="BR32" s="1791">
        <f t="shared" si="15"/>
        <v>300.33593959392726</v>
      </c>
      <c r="BS32" s="1791">
        <f t="shared" si="15"/>
        <v>302.99218697963101</v>
      </c>
      <c r="BT32" s="1791">
        <f t="shared" si="15"/>
        <v>322.84186763056101</v>
      </c>
      <c r="BU32" s="1791">
        <f t="shared" si="15"/>
        <v>348.55451101305204</v>
      </c>
      <c r="BV32" s="1791">
        <f t="shared" si="15"/>
        <v>315.38286711850407</v>
      </c>
      <c r="BW32" s="1791">
        <f t="shared" si="15"/>
        <v>293.21404573296365</v>
      </c>
      <c r="BX32" s="1791">
        <f t="shared" si="15"/>
        <v>285.11748138508756</v>
      </c>
      <c r="BY32" s="1791">
        <f t="shared" si="15"/>
        <v>311.17398710705027</v>
      </c>
      <c r="BZ32" s="1791">
        <f t="shared" si="15"/>
        <v>328.84822524750018</v>
      </c>
      <c r="CA32" s="1791">
        <f t="shared" si="15"/>
        <v>334.70861125643285</v>
      </c>
      <c r="CB32" s="1791">
        <f t="shared" si="15"/>
        <v>332.60825849187762</v>
      </c>
      <c r="CC32" s="1791">
        <f t="shared" si="15"/>
        <v>350.78044421366076</v>
      </c>
      <c r="CD32" s="1791">
        <f t="shared" si="15"/>
        <v>309.3460177817451</v>
      </c>
      <c r="CE32" s="1791">
        <f t="shared" si="15"/>
        <v>312.08195258901998</v>
      </c>
      <c r="CF32" s="1791">
        <f t="shared" si="15"/>
        <v>332.52712365947787</v>
      </c>
      <c r="CG32" s="1791">
        <f t="shared" si="15"/>
        <v>359.01114634344361</v>
      </c>
      <c r="CH32" s="1791">
        <f t="shared" si="15"/>
        <v>324.84435313205921</v>
      </c>
      <c r="CI32" s="1791">
        <f t="shared" si="15"/>
        <v>302.01046710495257</v>
      </c>
      <c r="CJ32" s="1791">
        <f t="shared" si="15"/>
        <v>293.67100582664023</v>
      </c>
      <c r="CK32" s="1791">
        <f t="shared" si="15"/>
        <v>320.50920672026177</v>
      </c>
      <c r="CL32" s="1791">
        <f t="shared" si="15"/>
        <v>338.71367200492517</v>
      </c>
      <c r="CM32" s="1791">
        <f t="shared" si="15"/>
        <v>344.74986959412581</v>
      </c>
      <c r="CN32" s="1791">
        <f t="shared" si="15"/>
        <v>342.58650624663397</v>
      </c>
      <c r="CO32" s="1791">
        <f t="shared" si="15"/>
        <v>361.30385754007062</v>
      </c>
      <c r="CP32" s="1791">
        <f t="shared" si="15"/>
        <v>318.62639831519749</v>
      </c>
      <c r="CQ32" s="1791">
        <f t="shared" si="15"/>
        <v>321.4444111666906</v>
      </c>
      <c r="CR32" s="1791">
        <f t="shared" si="15"/>
        <v>342.50293736926221</v>
      </c>
      <c r="CS32" s="1791">
        <f t="shared" si="15"/>
        <v>369.78148073374695</v>
      </c>
      <c r="CT32" s="1791">
        <f t="shared" si="15"/>
        <v>334.58968372602101</v>
      </c>
      <c r="CU32" s="1791">
        <f t="shared" si="15"/>
        <v>311.07078111810114</v>
      </c>
      <c r="CV32" s="1791">
        <f t="shared" si="15"/>
        <v>302.48113600143938</v>
      </c>
      <c r="CW32" s="1791">
        <f t="shared" si="15"/>
        <v>330.12448292186957</v>
      </c>
      <c r="CX32" s="1791">
        <f t="shared" si="15"/>
        <v>348.87508216507291</v>
      </c>
      <c r="CY32" s="1791">
        <f t="shared" si="15"/>
        <v>355.09236568194962</v>
      </c>
      <c r="CZ32" s="1791">
        <f t="shared" si="15"/>
        <v>352.86410143403299</v>
      </c>
      <c r="DA32" s="1791">
        <f t="shared" si="15"/>
        <v>372.14297326627269</v>
      </c>
      <c r="DB32" s="1791">
        <f t="shared" si="15"/>
        <v>328.18519026465339</v>
      </c>
      <c r="DC32" s="1791">
        <f t="shared" si="15"/>
        <v>331.08774350169125</v>
      </c>
      <c r="DD32" s="1791">
        <f t="shared" si="15"/>
        <v>352.77802549034004</v>
      </c>
      <c r="DE32" s="1791">
        <f t="shared" si="15"/>
        <v>380.87492515575929</v>
      </c>
      <c r="DF32" s="1791">
        <f t="shared" si="15"/>
        <v>344.62737423780158</v>
      </c>
      <c r="DG32" s="1791">
        <f t="shared" si="15"/>
        <v>320.40290455164416</v>
      </c>
      <c r="DH32" s="1791">
        <f t="shared" si="15"/>
        <v>311.55557008148259</v>
      </c>
      <c r="DI32" s="1791">
        <f t="shared" si="15"/>
        <v>340.02821740952572</v>
      </c>
      <c r="DJ32" s="1791">
        <f t="shared" si="15"/>
        <v>359.34133463002513</v>
      </c>
      <c r="DK32" s="1791">
        <f t="shared" si="15"/>
        <v>365.74513665240812</v>
      </c>
      <c r="DL32" s="1791">
        <f t="shared" si="15"/>
        <v>363.450024477054</v>
      </c>
      <c r="DM32" s="1791">
        <f t="shared" si="15"/>
        <v>383.30726246426093</v>
      </c>
      <c r="DN32" s="1791">
        <f t="shared" si="15"/>
        <v>338.03074597259297</v>
      </c>
      <c r="DO32" s="1791">
        <f t="shared" si="15"/>
        <v>341.02037580674204</v>
      </c>
      <c r="DP32" s="1791">
        <f t="shared" si="15"/>
        <v>363.36136625505026</v>
      </c>
      <c r="DQ32" s="1791">
        <f t="shared" si="15"/>
        <v>392.30117291043211</v>
      </c>
      <c r="DR32" s="1791">
        <f t="shared" si="15"/>
        <v>354.96619546493565</v>
      </c>
      <c r="DS32" s="1791">
        <f t="shared" si="15"/>
        <v>330.0149916881935</v>
      </c>
      <c r="DT32" s="1485" t="s">
        <v>65</v>
      </c>
    </row>
    <row r="33" spans="1:124">
      <c r="B33" s="1787" t="s">
        <v>960</v>
      </c>
      <c r="D33" s="1792">
        <f>+D31*D32</f>
        <v>45.868490480560865</v>
      </c>
      <c r="E33" s="1792">
        <f>+E31*E32</f>
        <v>71.787145850337765</v>
      </c>
      <c r="F33" s="1792">
        <f t="shared" ref="F33:BQ33" si="16">+F31*F32</f>
        <v>97.61602365517453</v>
      </c>
      <c r="G33" s="1792">
        <f t="shared" si="16"/>
        <v>112.99642847120344</v>
      </c>
      <c r="H33" s="1792">
        <f t="shared" si="16"/>
        <v>124.74429412353895</v>
      </c>
      <c r="I33" s="1792">
        <f t="shared" si="16"/>
        <v>144.39090909630687</v>
      </c>
      <c r="J33" s="1792">
        <f t="shared" si="16"/>
        <v>134.49537327579972</v>
      </c>
      <c r="K33" s="1792">
        <f t="shared" si="16"/>
        <v>145.27692979265368</v>
      </c>
      <c r="L33" s="1792">
        <f t="shared" si="16"/>
        <v>165.19440615333389</v>
      </c>
      <c r="M33" s="1792">
        <f t="shared" si="16"/>
        <v>192.03710560156728</v>
      </c>
      <c r="N33" s="1792">
        <f t="shared" si="16"/>
        <v>158.63954340065706</v>
      </c>
      <c r="O33" s="1792">
        <f t="shared" si="16"/>
        <v>129.98744095020766</v>
      </c>
      <c r="P33" s="1792">
        <f t="shared" si="16"/>
        <v>120.6423207657466</v>
      </c>
      <c r="Q33" s="1792">
        <f t="shared" si="16"/>
        <v>164.01404995551715</v>
      </c>
      <c r="R33" s="1792">
        <f t="shared" si="16"/>
        <v>198.17850991909862</v>
      </c>
      <c r="S33" s="1792">
        <f t="shared" si="16"/>
        <v>207.33005147723273</v>
      </c>
      <c r="T33" s="1792">
        <f t="shared" si="16"/>
        <v>209.59380368269359</v>
      </c>
      <c r="U33" s="1792">
        <f t="shared" si="16"/>
        <v>224.48699829312611</v>
      </c>
      <c r="V33" s="1792">
        <f t="shared" si="16"/>
        <v>191.07618548148102</v>
      </c>
      <c r="W33" s="1792">
        <f t="shared" si="16"/>
        <v>190.01300023674071</v>
      </c>
      <c r="X33" s="1792">
        <f t="shared" si="16"/>
        <v>210.3866934626694</v>
      </c>
      <c r="Y33" s="1792">
        <f t="shared" si="16"/>
        <v>238.31110695134251</v>
      </c>
      <c r="Z33" s="1792">
        <f t="shared" si="16"/>
        <v>191.95151800608136</v>
      </c>
      <c r="AA33" s="1792">
        <f t="shared" si="16"/>
        <v>153.4522225543999</v>
      </c>
      <c r="AB33" s="1792">
        <f t="shared" si="16"/>
        <v>139.03394728807723</v>
      </c>
      <c r="AC33" s="1792">
        <f t="shared" si="16"/>
        <v>184.62783765484448</v>
      </c>
      <c r="AD33" s="1792">
        <f t="shared" si="16"/>
        <v>218.02281999110451</v>
      </c>
      <c r="AE33" s="1792">
        <f t="shared" si="16"/>
        <v>223.02867156297626</v>
      </c>
      <c r="AF33" s="1792">
        <f t="shared" si="16"/>
        <v>220.56870272610416</v>
      </c>
      <c r="AG33" s="1792">
        <f t="shared" si="16"/>
        <v>231.22160824191997</v>
      </c>
      <c r="AH33" s="1792">
        <f t="shared" si="16"/>
        <v>196.80847104592542</v>
      </c>
      <c r="AI33" s="1792">
        <f t="shared" si="16"/>
        <v>195.71339024384295</v>
      </c>
      <c r="AJ33" s="1792">
        <f t="shared" si="16"/>
        <v>216.69829426654948</v>
      </c>
      <c r="AK33" s="1792">
        <f t="shared" si="16"/>
        <v>245.46044015988278</v>
      </c>
      <c r="AL33" s="1792">
        <f t="shared" si="16"/>
        <v>197.7100635462638</v>
      </c>
      <c r="AM33" s="1792">
        <f t="shared" si="16"/>
        <v>158.05578923103187</v>
      </c>
      <c r="AN33" s="1792">
        <f t="shared" si="16"/>
        <v>143.20496570671952</v>
      </c>
      <c r="AO33" s="1792">
        <f t="shared" si="16"/>
        <v>190.16667278448978</v>
      </c>
      <c r="AP33" s="1792">
        <f t="shared" si="16"/>
        <v>224.56350459083765</v>
      </c>
      <c r="AQ33" s="1792">
        <f t="shared" si="16"/>
        <v>229.71953170986552</v>
      </c>
      <c r="AR33" s="1792">
        <f t="shared" si="16"/>
        <v>227.18576380788727</v>
      </c>
      <c r="AS33" s="1792">
        <f t="shared" si="16"/>
        <v>238.15825648917755</v>
      </c>
      <c r="AT33" s="1792">
        <f t="shared" si="16"/>
        <v>202.71272517730321</v>
      </c>
      <c r="AU33" s="1792">
        <f t="shared" si="16"/>
        <v>201.58479195115822</v>
      </c>
      <c r="AV33" s="1792">
        <f t="shared" si="16"/>
        <v>223.19924309454595</v>
      </c>
      <c r="AW33" s="1792">
        <f t="shared" si="16"/>
        <v>252.82425336467924</v>
      </c>
      <c r="AX33" s="1792">
        <f t="shared" si="16"/>
        <v>203.64136545265168</v>
      </c>
      <c r="AY33" s="1792">
        <f t="shared" si="16"/>
        <v>162.7974629079628</v>
      </c>
      <c r="AZ33" s="1792">
        <f t="shared" si="16"/>
        <v>147.50111467792109</v>
      </c>
      <c r="BA33" s="1792">
        <f t="shared" si="16"/>
        <v>195.87167296802448</v>
      </c>
      <c r="BB33" s="1792">
        <f t="shared" si="16"/>
        <v>231.30040972856278</v>
      </c>
      <c r="BC33" s="1792">
        <f t="shared" si="16"/>
        <v>236.6111176611615</v>
      </c>
      <c r="BD33" s="1792">
        <f t="shared" si="16"/>
        <v>234.00133672212388</v>
      </c>
      <c r="BE33" s="1792">
        <f t="shared" si="16"/>
        <v>245.30300418385286</v>
      </c>
      <c r="BF33" s="1792">
        <f t="shared" si="16"/>
        <v>208.7941069326223</v>
      </c>
      <c r="BG33" s="1792">
        <f t="shared" si="16"/>
        <v>207.63233570969297</v>
      </c>
      <c r="BH33" s="1792">
        <f t="shared" si="16"/>
        <v>229.89522038738235</v>
      </c>
      <c r="BI33" s="1792">
        <f t="shared" si="16"/>
        <v>260.40898096561961</v>
      </c>
      <c r="BJ33" s="1792">
        <f t="shared" si="16"/>
        <v>209.75060641623122</v>
      </c>
      <c r="BK33" s="1792">
        <f t="shared" si="16"/>
        <v>167.68138679520169</v>
      </c>
      <c r="BL33" s="1792">
        <f t="shared" si="16"/>
        <v>151.92614811825874</v>
      </c>
      <c r="BM33" s="1792">
        <f t="shared" si="16"/>
        <v>201.7478231570652</v>
      </c>
      <c r="BN33" s="1792">
        <f t="shared" si="16"/>
        <v>238.23942202041962</v>
      </c>
      <c r="BO33" s="1792">
        <f t="shared" si="16"/>
        <v>243.70945119099633</v>
      </c>
      <c r="BP33" s="1792">
        <f t="shared" si="16"/>
        <v>241.02137682378756</v>
      </c>
      <c r="BQ33" s="1792">
        <f t="shared" si="16"/>
        <v>252.66209430936846</v>
      </c>
      <c r="BR33" s="1792">
        <f t="shared" ref="BR33:DS33" si="17">+BR31*BR32</f>
        <v>215.05793014060094</v>
      </c>
      <c r="BS33" s="1792">
        <f t="shared" si="17"/>
        <v>213.86130578098371</v>
      </c>
      <c r="BT33" s="1792">
        <f t="shared" si="17"/>
        <v>236.7920769990038</v>
      </c>
      <c r="BU33" s="1792">
        <f t="shared" si="17"/>
        <v>268.2212503945882</v>
      </c>
      <c r="BV33" s="1792">
        <f t="shared" si="17"/>
        <v>216.04312460871816</v>
      </c>
      <c r="BW33" s="1792">
        <f t="shared" si="17"/>
        <v>172.71182839905774</v>
      </c>
      <c r="BX33" s="1792">
        <f t="shared" si="17"/>
        <v>156.48393256180648</v>
      </c>
      <c r="BY33" s="1792">
        <f t="shared" si="17"/>
        <v>207.80025785177719</v>
      </c>
      <c r="BZ33" s="1792">
        <f t="shared" si="17"/>
        <v>245.38660468103225</v>
      </c>
      <c r="CA33" s="1792">
        <f t="shared" si="17"/>
        <v>251.0207347267262</v>
      </c>
      <c r="CB33" s="1792">
        <f t="shared" si="17"/>
        <v>248.25201812850119</v>
      </c>
      <c r="CC33" s="1792">
        <f t="shared" si="17"/>
        <v>260.24195713864947</v>
      </c>
      <c r="CD33" s="1792">
        <f t="shared" si="17"/>
        <v>221.50966804481899</v>
      </c>
      <c r="CE33" s="1792">
        <f t="shared" si="17"/>
        <v>220.27714495441327</v>
      </c>
      <c r="CF33" s="1792">
        <f t="shared" si="17"/>
        <v>243.89583930897393</v>
      </c>
      <c r="CG33" s="1792">
        <f t="shared" si="17"/>
        <v>276.26788790642587</v>
      </c>
      <c r="CH33" s="1792">
        <f t="shared" si="17"/>
        <v>222.52441834697973</v>
      </c>
      <c r="CI33" s="1792">
        <f t="shared" si="17"/>
        <v>177.89318325102948</v>
      </c>
      <c r="CJ33" s="1792">
        <f t="shared" si="17"/>
        <v>161.17845053866071</v>
      </c>
      <c r="CK33" s="1792">
        <f t="shared" si="17"/>
        <v>214.03426558733051</v>
      </c>
      <c r="CL33" s="1792">
        <f t="shared" si="17"/>
        <v>252.7482028214632</v>
      </c>
      <c r="CM33" s="1792">
        <f t="shared" si="17"/>
        <v>258.55135676852797</v>
      </c>
      <c r="CN33" s="1792">
        <f t="shared" si="17"/>
        <v>255.69957867235624</v>
      </c>
      <c r="CO33" s="1792">
        <f t="shared" si="17"/>
        <v>268.04921585280897</v>
      </c>
      <c r="CP33" s="1792">
        <f t="shared" si="17"/>
        <v>228.15495808616359</v>
      </c>
      <c r="CQ33" s="1792">
        <f t="shared" si="17"/>
        <v>226.88545930304568</v>
      </c>
      <c r="CR33" s="1792">
        <f t="shared" si="17"/>
        <v>251.21271448824314</v>
      </c>
      <c r="CS33" s="1792">
        <f t="shared" si="17"/>
        <v>284.55592454361869</v>
      </c>
      <c r="CT33" s="1792">
        <f t="shared" si="17"/>
        <v>229.20015089738914</v>
      </c>
      <c r="CU33" s="1792">
        <f t="shared" si="17"/>
        <v>183.22997874856037</v>
      </c>
      <c r="CV33" s="1792">
        <f t="shared" si="17"/>
        <v>166.0138040548205</v>
      </c>
      <c r="CW33" s="1792">
        <f t="shared" si="17"/>
        <v>220.45529355495037</v>
      </c>
      <c r="CX33" s="1792">
        <f t="shared" si="17"/>
        <v>260.33064890610706</v>
      </c>
      <c r="CY33" s="1792">
        <f t="shared" si="17"/>
        <v>266.30789747158383</v>
      </c>
      <c r="CZ33" s="1792">
        <f t="shared" si="17"/>
        <v>263.37056603252694</v>
      </c>
      <c r="DA33" s="1792">
        <f t="shared" si="17"/>
        <v>276.09069232839323</v>
      </c>
      <c r="DB33" s="1792">
        <f t="shared" si="17"/>
        <v>234.99960682874845</v>
      </c>
      <c r="DC33" s="1792">
        <f t="shared" si="17"/>
        <v>233.69202308213698</v>
      </c>
      <c r="DD33" s="1792">
        <f t="shared" si="17"/>
        <v>258.74909592289043</v>
      </c>
      <c r="DE33" s="1792">
        <f t="shared" si="17"/>
        <v>293.09260227992718</v>
      </c>
      <c r="DF33" s="1792">
        <f t="shared" si="17"/>
        <v>236.07615542431077</v>
      </c>
      <c r="DG33" s="1792">
        <f t="shared" si="17"/>
        <v>188.72687811101716</v>
      </c>
      <c r="DH33" s="1792">
        <f t="shared" si="17"/>
        <v>170.99421817646513</v>
      </c>
      <c r="DI33" s="1792">
        <f t="shared" si="17"/>
        <v>227.06895236159895</v>
      </c>
      <c r="DJ33" s="1792">
        <f t="shared" si="17"/>
        <v>268.14056837329031</v>
      </c>
      <c r="DK33" s="1792">
        <f t="shared" si="17"/>
        <v>274.29713439573135</v>
      </c>
      <c r="DL33" s="1792">
        <f t="shared" si="17"/>
        <v>271.27168301350275</v>
      </c>
      <c r="DM33" s="1792">
        <f t="shared" si="17"/>
        <v>284.37341309824507</v>
      </c>
      <c r="DN33" s="1792">
        <f t="shared" si="17"/>
        <v>242.0495950336109</v>
      </c>
      <c r="DO33" s="1792">
        <f t="shared" si="17"/>
        <v>240.70278377460113</v>
      </c>
      <c r="DP33" s="1792">
        <f t="shared" si="17"/>
        <v>266.51156880057715</v>
      </c>
      <c r="DQ33" s="1792">
        <f t="shared" si="17"/>
        <v>301.88538034832504</v>
      </c>
      <c r="DR33" s="1792">
        <f t="shared" si="17"/>
        <v>243.15844008704011</v>
      </c>
      <c r="DS33" s="1792">
        <f t="shared" si="17"/>
        <v>194.3886844543477</v>
      </c>
      <c r="DT33" s="1485" t="s">
        <v>65</v>
      </c>
    </row>
    <row r="34" spans="1:124">
      <c r="DT34" s="1485" t="s">
        <v>65</v>
      </c>
    </row>
    <row r="35" spans="1:124">
      <c r="A35" s="1487" t="s">
        <v>65</v>
      </c>
      <c r="B35" s="1503" t="s">
        <v>6</v>
      </c>
      <c r="D35" s="1793"/>
      <c r="E35" s="1793"/>
      <c r="F35" s="1793"/>
      <c r="G35" s="1793"/>
      <c r="H35" s="1793"/>
      <c r="I35" s="1793"/>
      <c r="J35" s="1793"/>
      <c r="K35" s="1793"/>
      <c r="L35" s="1793"/>
      <c r="M35" s="1793"/>
      <c r="N35" s="1793"/>
      <c r="O35" s="1793"/>
      <c r="P35" s="1793"/>
      <c r="Q35" s="1793"/>
      <c r="R35" s="1793"/>
      <c r="S35" s="1793"/>
      <c r="T35" s="1793"/>
      <c r="U35" s="1793"/>
      <c r="V35" s="1793"/>
      <c r="DT35" s="1485" t="s">
        <v>65</v>
      </c>
    </row>
    <row r="36" spans="1:124">
      <c r="B36" s="1724" t="s">
        <v>1076</v>
      </c>
      <c r="D36" s="1664">
        <f t="shared" ref="D36:BO36" si="18">+D33*D29</f>
        <v>186271.93984155767</v>
      </c>
      <c r="E36" s="1664">
        <f t="shared" si="18"/>
        <v>263315.25097903894</v>
      </c>
      <c r="F36" s="1664">
        <f t="shared" si="18"/>
        <v>396418.67206366378</v>
      </c>
      <c r="G36" s="1664">
        <f t="shared" si="18"/>
        <v>444075.96389182954</v>
      </c>
      <c r="H36" s="1664">
        <f t="shared" si="18"/>
        <v>506586.57843569166</v>
      </c>
      <c r="I36" s="1664">
        <f t="shared" si="18"/>
        <v>567456.27274848602</v>
      </c>
      <c r="J36" s="1664">
        <f t="shared" si="18"/>
        <v>546185.71087302268</v>
      </c>
      <c r="K36" s="1664">
        <f t="shared" si="18"/>
        <v>589969.61188796663</v>
      </c>
      <c r="L36" s="1664">
        <f t="shared" si="18"/>
        <v>649214.01618260215</v>
      </c>
      <c r="M36" s="1664">
        <f t="shared" si="18"/>
        <v>779862.68584796472</v>
      </c>
      <c r="N36" s="1664">
        <f t="shared" si="18"/>
        <v>623453.40556458221</v>
      </c>
      <c r="O36" s="1664">
        <f t="shared" si="18"/>
        <v>527878.9976987933</v>
      </c>
      <c r="P36" s="1664">
        <f t="shared" si="18"/>
        <v>489928.46462969697</v>
      </c>
      <c r="Q36" s="1664">
        <f t="shared" si="18"/>
        <v>601603.53523683688</v>
      </c>
      <c r="R36" s="1664">
        <f t="shared" si="18"/>
        <v>804802.92878145946</v>
      </c>
      <c r="S36" s="1664">
        <f t="shared" si="18"/>
        <v>814807.10230552463</v>
      </c>
      <c r="T36" s="1664">
        <f t="shared" si="18"/>
        <v>851160.43675541866</v>
      </c>
      <c r="U36" s="1664">
        <f t="shared" si="18"/>
        <v>882233.90329198563</v>
      </c>
      <c r="V36" s="1664">
        <f t="shared" si="18"/>
        <v>775960.38924029446</v>
      </c>
      <c r="W36" s="1664">
        <f t="shared" si="18"/>
        <v>771642.79396140401</v>
      </c>
      <c r="X36" s="1664">
        <f t="shared" si="18"/>
        <v>826819.70530829078</v>
      </c>
      <c r="Y36" s="1664">
        <f t="shared" si="18"/>
        <v>967781.40532940195</v>
      </c>
      <c r="Z36" s="1664">
        <f t="shared" si="18"/>
        <v>754369.46576389973</v>
      </c>
      <c r="AA36" s="1664">
        <f t="shared" si="18"/>
        <v>623169.47579341801</v>
      </c>
      <c r="AB36" s="1664">
        <f t="shared" si="18"/>
        <v>564616.85993688158</v>
      </c>
      <c r="AC36" s="1664">
        <f t="shared" si="18"/>
        <v>677214.90851796954</v>
      </c>
      <c r="AD36" s="1664">
        <f t="shared" si="18"/>
        <v>885390.67198387545</v>
      </c>
      <c r="AE36" s="1664">
        <f t="shared" si="18"/>
        <v>876502.67924249673</v>
      </c>
      <c r="AF36" s="1664">
        <f t="shared" si="18"/>
        <v>895729.50177070906</v>
      </c>
      <c r="AG36" s="1664">
        <f t="shared" si="18"/>
        <v>908700.92039074551</v>
      </c>
      <c r="AH36" s="1664">
        <f t="shared" si="18"/>
        <v>799239.2009175031</v>
      </c>
      <c r="AI36" s="1664">
        <f t="shared" si="18"/>
        <v>794792.07778024627</v>
      </c>
      <c r="AJ36" s="1664">
        <f t="shared" si="18"/>
        <v>851624.29646753951</v>
      </c>
      <c r="AK36" s="1664">
        <f t="shared" si="18"/>
        <v>996814.847489284</v>
      </c>
      <c r="AL36" s="1664">
        <f t="shared" si="18"/>
        <v>777000.54973681667</v>
      </c>
      <c r="AM36" s="1664">
        <f t="shared" si="18"/>
        <v>641864.56006722036</v>
      </c>
      <c r="AN36" s="1664">
        <f t="shared" si="18"/>
        <v>581555.36573498801</v>
      </c>
      <c r="AO36" s="1664">
        <f t="shared" si="18"/>
        <v>722443.18990827666</v>
      </c>
      <c r="AP36" s="1664">
        <f t="shared" si="18"/>
        <v>911952.39214339165</v>
      </c>
      <c r="AQ36" s="1664">
        <f t="shared" si="18"/>
        <v>902797.7596197715</v>
      </c>
      <c r="AR36" s="1664">
        <f t="shared" si="18"/>
        <v>922601.38682383019</v>
      </c>
      <c r="AS36" s="1664">
        <f t="shared" si="18"/>
        <v>935961.94800246775</v>
      </c>
      <c r="AT36" s="1664">
        <f t="shared" si="18"/>
        <v>823216.37694502831</v>
      </c>
      <c r="AU36" s="1664">
        <f t="shared" si="18"/>
        <v>818635.84011365357</v>
      </c>
      <c r="AV36" s="1664">
        <f t="shared" si="18"/>
        <v>877173.02536156552</v>
      </c>
      <c r="AW36" s="1664">
        <f t="shared" si="18"/>
        <v>1026719.2929139624</v>
      </c>
      <c r="AX36" s="1664">
        <f t="shared" si="18"/>
        <v>800310.56622892106</v>
      </c>
      <c r="AY36" s="1664">
        <f t="shared" si="18"/>
        <v>661120.49686923693</v>
      </c>
      <c r="AZ36" s="1664">
        <f t="shared" si="18"/>
        <v>599002.02670703758</v>
      </c>
      <c r="BA36" s="1664">
        <f t="shared" si="18"/>
        <v>718457.29644671385</v>
      </c>
      <c r="BB36" s="1664">
        <f t="shared" si="18"/>
        <v>939310.96390769351</v>
      </c>
      <c r="BC36" s="1664">
        <f t="shared" si="18"/>
        <v>929881.69240836473</v>
      </c>
      <c r="BD36" s="1664">
        <f t="shared" si="18"/>
        <v>950279.42842854513</v>
      </c>
      <c r="BE36" s="1664">
        <f t="shared" si="18"/>
        <v>964040.80644254177</v>
      </c>
      <c r="BF36" s="1664">
        <f t="shared" si="18"/>
        <v>847912.86825337913</v>
      </c>
      <c r="BG36" s="1664">
        <f t="shared" si="18"/>
        <v>843194.9153170631</v>
      </c>
      <c r="BH36" s="1664">
        <f t="shared" si="18"/>
        <v>903488.21612241259</v>
      </c>
      <c r="BI36" s="1664">
        <f t="shared" si="18"/>
        <v>1057520.8717013812</v>
      </c>
      <c r="BJ36" s="1664">
        <f t="shared" si="18"/>
        <v>824319.88321578875</v>
      </c>
      <c r="BK36" s="1664">
        <f t="shared" si="18"/>
        <v>680954.11177531409</v>
      </c>
      <c r="BL36" s="1664">
        <f t="shared" si="18"/>
        <v>616972.08750824875</v>
      </c>
      <c r="BM36" s="1664">
        <f t="shared" si="18"/>
        <v>740011.01534011518</v>
      </c>
      <c r="BN36" s="1664">
        <f t="shared" si="18"/>
        <v>967490.29282492411</v>
      </c>
      <c r="BO36" s="1664">
        <f t="shared" si="18"/>
        <v>957778.14318061562</v>
      </c>
      <c r="BP36" s="1664">
        <f t="shared" ref="BP36:DS36" si="19">+BP33*BP29</f>
        <v>978787.81128140131</v>
      </c>
      <c r="BQ36" s="1664">
        <f t="shared" si="19"/>
        <v>992962.03063581802</v>
      </c>
      <c r="BR36" s="1664">
        <f t="shared" si="19"/>
        <v>873350.25430098048</v>
      </c>
      <c r="BS36" s="1664">
        <f t="shared" si="19"/>
        <v>868490.76277657482</v>
      </c>
      <c r="BT36" s="1664">
        <f t="shared" si="19"/>
        <v>930592.86260608491</v>
      </c>
      <c r="BU36" s="1664">
        <f t="shared" si="19"/>
        <v>1089246.4978524228</v>
      </c>
      <c r="BV36" s="1664">
        <f t="shared" si="19"/>
        <v>849049.4797122624</v>
      </c>
      <c r="BW36" s="1664">
        <f t="shared" si="19"/>
        <v>701382.73512857349</v>
      </c>
      <c r="BX36" s="1664">
        <f t="shared" si="19"/>
        <v>635481.25013349613</v>
      </c>
      <c r="BY36" s="1664">
        <f t="shared" si="19"/>
        <v>762211.34580031876</v>
      </c>
      <c r="BZ36" s="1664">
        <f t="shared" si="19"/>
        <v>996515.00160967198</v>
      </c>
      <c r="CA36" s="1664">
        <f t="shared" si="19"/>
        <v>986511.48747603397</v>
      </c>
      <c r="CB36" s="1664">
        <f t="shared" si="19"/>
        <v>1008151.4456198433</v>
      </c>
      <c r="CC36" s="1664">
        <f t="shared" si="19"/>
        <v>1022750.8915548924</v>
      </c>
      <c r="CD36" s="1664">
        <f t="shared" si="19"/>
        <v>899550.76193000993</v>
      </c>
      <c r="CE36" s="1664">
        <f t="shared" si="19"/>
        <v>894545.4856598723</v>
      </c>
      <c r="CF36" s="1664">
        <f t="shared" si="19"/>
        <v>958510.64848426753</v>
      </c>
      <c r="CG36" s="1664">
        <f t="shared" si="19"/>
        <v>1121923.8927879955</v>
      </c>
      <c r="CH36" s="1664">
        <f t="shared" si="19"/>
        <v>874520.96410363028</v>
      </c>
      <c r="CI36" s="1664">
        <f t="shared" si="19"/>
        <v>722424.21718243079</v>
      </c>
      <c r="CJ36" s="1664">
        <f t="shared" si="19"/>
        <v>654545.68763750116</v>
      </c>
      <c r="CK36" s="1664">
        <f t="shared" si="19"/>
        <v>813116.17496626859</v>
      </c>
      <c r="CL36" s="1664">
        <f t="shared" si="19"/>
        <v>1026410.4516579621</v>
      </c>
      <c r="CM36" s="1664">
        <f t="shared" si="19"/>
        <v>1016106.8321003149</v>
      </c>
      <c r="CN36" s="1664">
        <f t="shared" si="19"/>
        <v>1038395.9889884387</v>
      </c>
      <c r="CO36" s="1664">
        <f t="shared" si="19"/>
        <v>1053433.4183015393</v>
      </c>
      <c r="CP36" s="1664">
        <f t="shared" si="19"/>
        <v>926537.28478791029</v>
      </c>
      <c r="CQ36" s="1664">
        <f t="shared" si="19"/>
        <v>921381.85022966855</v>
      </c>
      <c r="CR36" s="1664">
        <f t="shared" si="19"/>
        <v>987265.96793879557</v>
      </c>
      <c r="CS36" s="1664">
        <f t="shared" si="19"/>
        <v>1155581.6095716355</v>
      </c>
      <c r="CT36" s="1664">
        <f t="shared" si="19"/>
        <v>900756.59302673931</v>
      </c>
      <c r="CU36" s="1664">
        <f t="shared" si="19"/>
        <v>744096.94369790365</v>
      </c>
      <c r="CV36" s="1664">
        <f t="shared" si="19"/>
        <v>674182.05826662609</v>
      </c>
      <c r="CW36" s="1664">
        <f t="shared" si="19"/>
        <v>808630.016759558</v>
      </c>
      <c r="CX36" s="1664">
        <f t="shared" si="19"/>
        <v>1057202.7652077007</v>
      </c>
      <c r="CY36" s="1664">
        <f t="shared" si="19"/>
        <v>1046590.0370633245</v>
      </c>
      <c r="CZ36" s="1664">
        <f t="shared" si="19"/>
        <v>1069547.8686580919</v>
      </c>
      <c r="DA36" s="1664">
        <f t="shared" si="19"/>
        <v>1085036.4208505854</v>
      </c>
      <c r="DB36" s="1664">
        <f t="shared" si="19"/>
        <v>954333.40333154751</v>
      </c>
      <c r="DC36" s="1664">
        <f t="shared" si="19"/>
        <v>949023.30573655828</v>
      </c>
      <c r="DD36" s="1664">
        <f t="shared" si="19"/>
        <v>1016883.9469769594</v>
      </c>
      <c r="DE36" s="1664">
        <f t="shared" si="19"/>
        <v>1190249.0578587842</v>
      </c>
      <c r="DF36" s="1664">
        <f t="shared" si="19"/>
        <v>927779.2908175413</v>
      </c>
      <c r="DG36" s="1664">
        <f t="shared" si="19"/>
        <v>766419.85200884065</v>
      </c>
      <c r="DH36" s="1664">
        <f t="shared" si="19"/>
        <v>694407.52001462493</v>
      </c>
      <c r="DI36" s="1664">
        <f t="shared" si="19"/>
        <v>832888.91726234497</v>
      </c>
      <c r="DJ36" s="1664">
        <f t="shared" si="19"/>
        <v>1088918.8481639319</v>
      </c>
      <c r="DK36" s="1664">
        <f t="shared" si="19"/>
        <v>1077987.7381752243</v>
      </c>
      <c r="DL36" s="1664">
        <f t="shared" si="19"/>
        <v>1101634.3047178346</v>
      </c>
      <c r="DM36" s="1664">
        <f t="shared" si="19"/>
        <v>1117587.5134761031</v>
      </c>
      <c r="DN36" s="1664">
        <f t="shared" si="19"/>
        <v>982963.40543149388</v>
      </c>
      <c r="DO36" s="1664">
        <f t="shared" si="19"/>
        <v>977494.00490865519</v>
      </c>
      <c r="DP36" s="1664">
        <f t="shared" si="19"/>
        <v>1047390.4653862682</v>
      </c>
      <c r="DQ36" s="1664">
        <f t="shared" si="19"/>
        <v>1225956.529594548</v>
      </c>
      <c r="DR36" s="1664">
        <f t="shared" si="19"/>
        <v>955612.66954206757</v>
      </c>
      <c r="DS36" s="1664">
        <f t="shared" si="19"/>
        <v>789412.44756910601</v>
      </c>
      <c r="DT36" s="1485" t="s">
        <v>65</v>
      </c>
    </row>
    <row r="37" spans="1:124">
      <c r="B37" s="1724" t="s">
        <v>1077</v>
      </c>
      <c r="D37" s="1726">
        <f>MIN(D30*'Assumptions MH'!$L$45,'Assumptions MH'!$L$41*'Assumptions MH'!$L$43*'Cash Flow MH'!D28)*'Assumptions MH'!$L$42*(1+D12)^('Cash Flow MH'!D5-1)</f>
        <v>9361.128043060362</v>
      </c>
      <c r="E37" s="1726">
        <f>MIN(E30*'Assumptions MH'!$L$45,'Assumptions MH'!$L$41*'Assumptions MH'!$L$43*'Cash Flow MH'!E28)*'Assumptions MH'!$L$42*(1+E12)^('Cash Flow MH'!E5-1)</f>
        <v>12124.876493656284</v>
      </c>
      <c r="F37" s="1726">
        <f>MIN(F30*'Assumptions MH'!$L$45,'Assumptions MH'!$L$41*'Assumptions MH'!$L$43*'Cash Flow MH'!F28)*'Assumptions MH'!$L$42*(1+F12)^('Cash Flow MH'!F5-1)</f>
        <v>17272.817893118034</v>
      </c>
      <c r="G37" s="1726">
        <f>MIN(G30*'Assumptions MH'!$L$45,'Assumptions MH'!$L$41*'Assumptions MH'!$L$43*'Cash Flow MH'!G28)*'Assumptions MH'!$L$42*(1+G12)^('Cash Flow MH'!G5-1)</f>
        <v>19010.562860438291</v>
      </c>
      <c r="H37" s="1726">
        <f>MIN(H30*'Assumptions MH'!$L$45,'Assumptions MH'!$L$41*'Assumptions MH'!$L$43*'Cash Flow MH'!H28)*'Assumptions MH'!$L$42*(1+H12)^('Cash Flow MH'!H5-1)</f>
        <v>21823.542329873122</v>
      </c>
      <c r="I37" s="1726">
        <f>MIN(I30*'Assumptions MH'!$L$45,'Assumptions MH'!$L$41*'Assumptions MH'!$L$43*'Cash Flow MH'!I28)*'Assumptions MH'!$L$42*(1+I12)^('Cash Flow MH'!I5-1)</f>
        <v>23179.369665513263</v>
      </c>
      <c r="J37" s="1726">
        <f>MIN(J30*'Assumptions MH'!$L$45,'Assumptions MH'!$L$41*'Assumptions MH'!$L$43*'Cash Flow MH'!J28)*'Assumptions MH'!$L$42*(1+J12)^('Cash Flow MH'!J5-1)</f>
        <v>25298.827781622451</v>
      </c>
      <c r="K37" s="1726">
        <f>MIN(K30*'Assumptions MH'!$L$45,'Assumptions MH'!$L$41*'Assumptions MH'!$L$43*'Cash Flow MH'!K28)*'Assumptions MH'!$L$42*(1+K12)^('Cash Flow MH'!K5-1)</f>
        <v>27087.29155709342</v>
      </c>
      <c r="L37" s="1726">
        <f>MIN(L30*'Assumptions MH'!$L$45,'Assumptions MH'!$L$41*'Assumptions MH'!$L$43*'Cash Flow MH'!L28)*'Assumptions MH'!$L$42*(1+L12)^('Cash Flow MH'!L5-1)</f>
        <v>27974.697946943481</v>
      </c>
      <c r="M37" s="1726">
        <f>MIN(M30*'Assumptions MH'!$L$45,'Assumptions MH'!$L$41*'Assumptions MH'!$L$43*'Cash Flow MH'!M28)*'Assumptions MH'!$L$42*(1+M12)^('Cash Flow MH'!M5-1)</f>
        <v>31125.390077662429</v>
      </c>
      <c r="N37" s="1726">
        <f>MIN(N30*'Assumptions MH'!$L$45,'Assumptions MH'!$L$41*'Assumptions MH'!$L$43*'Cash Flow MH'!N28)*'Assumptions MH'!$L$42*(1+N12)^('Cash Flow MH'!N5-1)</f>
        <v>27500.036747404843</v>
      </c>
      <c r="O37" s="1726">
        <f>MIN(O30*'Assumptions MH'!$L$45,'Assumptions MH'!$L$41*'Assumptions MH'!$L$43*'Cash Flow MH'!O28)*'Assumptions MH'!$L$42*(1+O12)^('Cash Flow MH'!O5-1)</f>
        <v>25044.766250672819</v>
      </c>
      <c r="P37" s="1726">
        <f>MIN(P30*'Assumptions MH'!$L$45,'Assumptions MH'!$L$41*'Assumptions MH'!$L$43*'Cash Flow MH'!P28)*'Assumptions MH'!$L$42*(1+P12)^('Cash Flow MH'!P5-1)</f>
        <v>24621.438383256438</v>
      </c>
      <c r="Q37" s="1726">
        <f>MIN(Q30*'Assumptions MH'!$L$45,'Assumptions MH'!$L$41*'Assumptions MH'!$L$43*'Cash Flow MH'!Q28)*'Assumptions MH'!$L$42*(1+Q12)^('Cash Flow MH'!Q5-1)</f>
        <v>27702.036003506346</v>
      </c>
      <c r="R37" s="1726">
        <f>MIN(R30*'Assumptions MH'!$L$45,'Assumptions MH'!$L$41*'Assumptions MH'!$L$43*'Cash Flow MH'!R28)*'Assumptions MH'!$L$42*(1+R12)^('Cash Flow MH'!R5-1)</f>
        <v>35067.002157904652</v>
      </c>
      <c r="S37" s="1726">
        <f>MIN(S30*'Assumptions MH'!$L$45,'Assumptions MH'!$L$41*'Assumptions MH'!$L$43*'Cash Flow MH'!S28)*'Assumptions MH'!$L$42*(1+S12)^('Cash Flow MH'!S5-1)</f>
        <v>34881.288106113025</v>
      </c>
      <c r="T37" s="1726">
        <f>MIN(T30*'Assumptions MH'!$L$45,'Assumptions MH'!$L$41*'Assumptions MH'!$L$43*'Cash Flow MH'!T28)*'Assumptions MH'!$L$42*(1+T12)^('Cash Flow MH'!T5-1)</f>
        <v>36667.643028373692</v>
      </c>
      <c r="U37" s="1726">
        <f>MIN(U30*'Assumptions MH'!$L$45,'Assumptions MH'!$L$41*'Assumptions MH'!$L$43*'Cash Flow MH'!U28)*'Assumptions MH'!$L$42*(1+U12)^('Cash Flow MH'!U5-1)</f>
        <v>36037.359630911182</v>
      </c>
      <c r="V37" s="1726">
        <f>MIN(V30*'Assumptions MH'!$L$45,'Assumptions MH'!$L$41*'Assumptions MH'!$L$43*'Cash Flow MH'!V28)*'Assumptions MH'!$L$42*(1+V12)^('Cash Flow MH'!V5-1)</f>
        <v>35941.782917339486</v>
      </c>
      <c r="W37" s="1726">
        <f>MIN(W30*'Assumptions MH'!$L$45,'Assumptions MH'!$L$41*'Assumptions MH'!$L$43*'Cash Flow MH'!W28)*'Assumptions MH'!$L$42*(1+W12)^('Cash Flow MH'!W5-1)</f>
        <v>35428.457528642837</v>
      </c>
      <c r="X37" s="1726">
        <f>MIN(X30*'Assumptions MH'!$L$45,'Assumptions MH'!$L$41*'Assumptions MH'!$L$43*'Cash Flow MH'!X28)*'Assumptions MH'!$L$42*(1+X12)^('Cash Flow MH'!X5-1)</f>
        <v>35627.745144175315</v>
      </c>
      <c r="Y37" s="1726">
        <f>MIN(Y30*'Assumptions MH'!$L$45,'Assumptions MH'!$L$41*'Assumptions MH'!$L$43*'Cash Flow MH'!Y28)*'Assumptions MH'!$L$42*(1+Y12)^('Cash Flow MH'!Y5-1)</f>
        <v>38625.484072279884</v>
      </c>
      <c r="Z37" s="1726">
        <f>MIN(Z30*'Assumptions MH'!$L$45,'Assumptions MH'!$L$41*'Assumptions MH'!$L$43*'Cash Flow MH'!Z28)*'Assumptions MH'!$L$42*(1+Z12)^('Cash Flow MH'!Z5-1)</f>
        <v>33274.640645905427</v>
      </c>
      <c r="AA37" s="1726">
        <f>MIN(AA30*'Assumptions MH'!$L$45,'Assumptions MH'!$L$41*'Assumptions MH'!$L$43*'Cash Flow MH'!AA28)*'Assumptions MH'!$L$42*(1+AA12)^('Cash Flow MH'!AA5-1)</f>
        <v>29565.741247212613</v>
      </c>
      <c r="AB37" s="1726">
        <f>MIN(AB30*'Assumptions MH'!$L$45,'Assumptions MH'!$L$41*'Assumptions MH'!$L$43*'Cash Flow MH'!AB28)*'Assumptions MH'!$L$42*(1+AB12)^('Cash Flow MH'!AB5-1)</f>
        <v>28374.916402522107</v>
      </c>
      <c r="AC37" s="1726">
        <f>MIN(AC30*'Assumptions MH'!$L$45,'Assumptions MH'!$L$41*'Assumptions MH'!$L$43*'Cash Flow MH'!AC28)*'Assumptions MH'!$L$42*(1+AC12)^('Cash Flow MH'!AC5-1)</f>
        <v>31183.71265968473</v>
      </c>
      <c r="AD37" s="1726">
        <f>MIN(AD30*'Assumptions MH'!$L$45,'Assumptions MH'!$L$41*'Assumptions MH'!$L$43*'Cash Flow MH'!AD28)*'Assumptions MH'!$L$42*(1+AD12)^('Cash Flow MH'!AD5-1)</f>
        <v>38578.38421643983</v>
      </c>
      <c r="AE37" s="1726">
        <f>MIN(AE30*'Assumptions MH'!$L$45,'Assumptions MH'!$L$41*'Assumptions MH'!$L$43*'Cash Flow MH'!AE28)*'Assumptions MH'!$L$42*(1+AE12)^('Cash Flow MH'!AE5-1)</f>
        <v>37522.430025374844</v>
      </c>
      <c r="AF37" s="1726">
        <f>MIN(AF30*'Assumptions MH'!$L$45,'Assumptions MH'!$L$41*'Assumptions MH'!$L$43*'Cash Flow MH'!AF28)*'Assumptions MH'!$L$42*(1+AF12)^('Cash Flow MH'!AF5-1)</f>
        <v>38587.660096270658</v>
      </c>
      <c r="AG37" s="1726">
        <f>MIN(AG30*'Assumptions MH'!$L$45,'Assumptions MH'!$L$41*'Assumptions MH'!$L$43*'Cash Flow MH'!AG28)*'Assumptions MH'!$L$42*(1+AG12)^('Cash Flow MH'!AG5-1)</f>
        <v>37118.480419838525</v>
      </c>
      <c r="AH37" s="1726">
        <f>MIN(AH30*'Assumptions MH'!$L$45,'Assumptions MH'!$L$41*'Assumptions MH'!$L$43*'Cash Flow MH'!AH28)*'Assumptions MH'!$L$42*(1+AH12)^('Cash Flow MH'!AH5-1)</f>
        <v>37020.036404859668</v>
      </c>
      <c r="AI37" s="1726">
        <f>MIN(AI30*'Assumptions MH'!$L$45,'Assumptions MH'!$L$41*'Assumptions MH'!$L$43*'Cash Flow MH'!AI28)*'Assumptions MH'!$L$42*(1+AI12)^('Cash Flow MH'!AI5-1)</f>
        <v>36491.311254502114</v>
      </c>
      <c r="AJ37" s="1726">
        <f>MIN(AJ30*'Assumptions MH'!$L$45,'Assumptions MH'!$L$41*'Assumptions MH'!$L$43*'Cash Flow MH'!AJ28)*'Assumptions MH'!$L$42*(1+AJ12)^('Cash Flow MH'!AJ5-1)</f>
        <v>36696.577498500577</v>
      </c>
      <c r="AK37" s="1726">
        <f>MIN(AK30*'Assumptions MH'!$L$45,'Assumptions MH'!$L$41*'Assumptions MH'!$L$43*'Cash Flow MH'!AK28)*'Assumptions MH'!$L$42*(1+AK12)^('Cash Flow MH'!AK5-1)</f>
        <v>39784.248594448283</v>
      </c>
      <c r="AL37" s="1726">
        <f>MIN(AL30*'Assumptions MH'!$L$45,'Assumptions MH'!$L$41*'Assumptions MH'!$L$43*'Cash Flow MH'!AL28)*'Assumptions MH'!$L$42*(1+AL12)^('Cash Flow MH'!AL5-1)</f>
        <v>34272.879865282586</v>
      </c>
      <c r="AM37" s="1726">
        <f>MIN(AM30*'Assumptions MH'!$L$45,'Assumptions MH'!$L$41*'Assumptions MH'!$L$43*'Cash Flow MH'!AM28)*'Assumptions MH'!$L$42*(1+AM12)^('Cash Flow MH'!AM5-1)</f>
        <v>30452.713484628988</v>
      </c>
      <c r="AN37" s="1726">
        <f>MIN(AN30*'Assumptions MH'!$L$45,'Assumptions MH'!$L$41*'Assumptions MH'!$L$43*'Cash Flow MH'!AN28)*'Assumptions MH'!$L$42*(1+AN12)^('Cash Flow MH'!AN5-1)</f>
        <v>29226.163894597772</v>
      </c>
      <c r="AO37" s="1726">
        <f>MIN(AO30*'Assumptions MH'!$L$45,'Assumptions MH'!$L$41*'Assumptions MH'!$L$43*'Cash Flow MH'!AO28)*'Assumptions MH'!$L$42*(1+AO12)^('Cash Flow MH'!AO5-1)</f>
        <v>33266.339183742253</v>
      </c>
      <c r="AP37" s="1726">
        <f>MIN(AP30*'Assumptions MH'!$L$45,'Assumptions MH'!$L$41*'Assumptions MH'!$L$43*'Cash Flow MH'!AP28)*'Assumptions MH'!$L$42*(1+AP12)^('Cash Flow MH'!AP5-1)</f>
        <v>39735.73574293303</v>
      </c>
      <c r="AQ37" s="1726">
        <f>MIN(AQ30*'Assumptions MH'!$L$45,'Assumptions MH'!$L$41*'Assumptions MH'!$L$43*'Cash Flow MH'!AQ28)*'Assumptions MH'!$L$42*(1+AQ12)^('Cash Flow MH'!AQ5-1)</f>
        <v>38648.102926136096</v>
      </c>
      <c r="AR37" s="1726">
        <f>MIN(AR30*'Assumptions MH'!$L$45,'Assumptions MH'!$L$41*'Assumptions MH'!$L$43*'Cash Flow MH'!AR28)*'Assumptions MH'!$L$42*(1+AR12)^('Cash Flow MH'!AR5-1)</f>
        <v>39745.289899158779</v>
      </c>
      <c r="AS37" s="1726">
        <f>MIN(AS30*'Assumptions MH'!$L$45,'Assumptions MH'!$L$41*'Assumptions MH'!$L$43*'Cash Flow MH'!AS28)*'Assumptions MH'!$L$42*(1+AS12)^('Cash Flow MH'!AS5-1)</f>
        <v>38232.034832433681</v>
      </c>
      <c r="AT37" s="1726">
        <f>MIN(AT30*'Assumptions MH'!$L$45,'Assumptions MH'!$L$41*'Assumptions MH'!$L$43*'Cash Flow MH'!AT28)*'Assumptions MH'!$L$42*(1+AT12)^('Cash Flow MH'!AT5-1)</f>
        <v>38130.63749700546</v>
      </c>
      <c r="AU37" s="1726">
        <f>MIN(AU30*'Assumptions MH'!$L$45,'Assumptions MH'!$L$41*'Assumptions MH'!$L$43*'Cash Flow MH'!AU28)*'Assumptions MH'!$L$42*(1+AU12)^('Cash Flow MH'!AU5-1)</f>
        <v>37586.050592137181</v>
      </c>
      <c r="AV37" s="1726">
        <f>MIN(AV30*'Assumptions MH'!$L$45,'Assumptions MH'!$L$41*'Assumptions MH'!$L$43*'Cash Flow MH'!AV28)*'Assumptions MH'!$L$42*(1+AV12)^('Cash Flow MH'!AV5-1)</f>
        <v>37797.474823455595</v>
      </c>
      <c r="AW37" s="1726">
        <f>MIN(AW30*'Assumptions MH'!$L$45,'Assumptions MH'!$L$41*'Assumptions MH'!$L$43*'Cash Flow MH'!AW28)*'Assumptions MH'!$L$42*(1+AW12)^('Cash Flow MH'!AW5-1)</f>
        <v>40977.776052281733</v>
      </c>
      <c r="AX37" s="1726">
        <f>MIN(AX30*'Assumptions MH'!$L$45,'Assumptions MH'!$L$41*'Assumptions MH'!$L$43*'Cash Flow MH'!AX28)*'Assumptions MH'!$L$42*(1+AX12)^('Cash Flow MH'!AX5-1)</f>
        <v>35301.066261241067</v>
      </c>
      <c r="AY37" s="1726">
        <f>MIN(AY30*'Assumptions MH'!$L$45,'Assumptions MH'!$L$41*'Assumptions MH'!$L$43*'Cash Flow MH'!AY28)*'Assumptions MH'!$L$42*(1+AY12)^('Cash Flow MH'!AY5-1)</f>
        <v>31366.294889167861</v>
      </c>
      <c r="AZ37" s="1726">
        <f>MIN(AZ30*'Assumptions MH'!$L$45,'Assumptions MH'!$L$41*'Assumptions MH'!$L$43*'Cash Flow MH'!AZ28)*'Assumptions MH'!$L$42*(1+AZ12)^('Cash Flow MH'!AZ5-1)</f>
        <v>30102.948811435701</v>
      </c>
      <c r="BA37" s="1726">
        <f>MIN(BA30*'Assumptions MH'!$L$45,'Assumptions MH'!$L$41*'Assumptions MH'!$L$43*'Cash Flow MH'!BA28)*'Assumptions MH'!$L$42*(1+BA12)^('Cash Flow MH'!BA5-1)</f>
        <v>33082.800760659527</v>
      </c>
      <c r="BB37" s="1726">
        <f>MIN(BB30*'Assumptions MH'!$L$45,'Assumptions MH'!$L$41*'Assumptions MH'!$L$43*'Cash Flow MH'!BB28)*'Assumptions MH'!$L$42*(1+BB12)^('Cash Flow MH'!BB5-1)</f>
        <v>40927.807815221015</v>
      </c>
      <c r="BC37" s="1726">
        <f>MIN(BC30*'Assumptions MH'!$L$45,'Assumptions MH'!$L$41*'Assumptions MH'!$L$43*'Cash Flow MH'!BC28)*'Assumptions MH'!$L$42*(1+BC12)^('Cash Flow MH'!BC5-1)</f>
        <v>39807.546013920175</v>
      </c>
      <c r="BD37" s="1726">
        <f>MIN(BD30*'Assumptions MH'!$L$45,'Assumptions MH'!$L$41*'Assumptions MH'!$L$43*'Cash Flow MH'!BD28)*'Assumptions MH'!$L$42*(1+BD12)^('Cash Flow MH'!BD5-1)</f>
        <v>40937.648596133535</v>
      </c>
      <c r="BE37" s="1726">
        <f>MIN(BE30*'Assumptions MH'!$L$45,'Assumptions MH'!$L$41*'Assumptions MH'!$L$43*'Cash Flow MH'!BE28)*'Assumptions MH'!$L$42*(1+BE12)^('Cash Flow MH'!BE5-1)</f>
        <v>39378.995877406691</v>
      </c>
      <c r="BF37" s="1726">
        <f>MIN(BF30*'Assumptions MH'!$L$45,'Assumptions MH'!$L$41*'Assumptions MH'!$L$43*'Cash Flow MH'!BF28)*'Assumptions MH'!$L$42*(1+BF12)^('Cash Flow MH'!BF5-1)</f>
        <v>39274.556621915617</v>
      </c>
      <c r="BG37" s="1726">
        <f>MIN(BG30*'Assumptions MH'!$L$45,'Assumptions MH'!$L$41*'Assumptions MH'!$L$43*'Cash Flow MH'!BG28)*'Assumptions MH'!$L$42*(1+BG12)^('Cash Flow MH'!BG5-1)</f>
        <v>38713.632109901293</v>
      </c>
      <c r="BH37" s="1726">
        <f>MIN(BH30*'Assumptions MH'!$L$45,'Assumptions MH'!$L$41*'Assumptions MH'!$L$43*'Cash Flow MH'!BH28)*'Assumptions MH'!$L$42*(1+BH12)^('Cash Flow MH'!BH5-1)</f>
        <v>38931.399068159262</v>
      </c>
      <c r="BI37" s="1726">
        <f>MIN(BI30*'Assumptions MH'!$L$45,'Assumptions MH'!$L$41*'Assumptions MH'!$L$43*'Cash Flow MH'!BI28)*'Assumptions MH'!$L$42*(1+BI12)^('Cash Flow MH'!BI5-1)</f>
        <v>42207.109333850181</v>
      </c>
      <c r="BJ37" s="1726">
        <f>MIN(BJ30*'Assumptions MH'!$L$45,'Assumptions MH'!$L$41*'Assumptions MH'!$L$43*'Cash Flow MH'!BJ28)*'Assumptions MH'!$L$42*(1+BJ12)^('Cash Flow MH'!BJ5-1)</f>
        <v>36360.098249078292</v>
      </c>
      <c r="BK37" s="1726">
        <f>MIN(BK30*'Assumptions MH'!$L$45,'Assumptions MH'!$L$41*'Assumptions MH'!$L$43*'Cash Flow MH'!BK28)*'Assumptions MH'!$L$42*(1+BK12)^('Cash Flow MH'!BK5-1)</f>
        <v>32307.283735842895</v>
      </c>
      <c r="BL37" s="1726">
        <f>MIN(BL30*'Assumptions MH'!$L$45,'Assumptions MH'!$L$41*'Assumptions MH'!$L$43*'Cash Flow MH'!BL28)*'Assumptions MH'!$L$42*(1+BL12)^('Cash Flow MH'!BL5-1)</f>
        <v>31006.037275778774</v>
      </c>
      <c r="BM37" s="1726">
        <f>MIN(BM30*'Assumptions MH'!$L$45,'Assumptions MH'!$L$41*'Assumptions MH'!$L$43*'Cash Flow MH'!BM28)*'Assumptions MH'!$L$42*(1+BM12)^('Cash Flow MH'!BM5-1)</f>
        <v>34075.284783479314</v>
      </c>
      <c r="BN37" s="1726">
        <f>MIN(BN30*'Assumptions MH'!$L$45,'Assumptions MH'!$L$41*'Assumptions MH'!$L$43*'Cash Flow MH'!BN28)*'Assumptions MH'!$L$42*(1+BN12)^('Cash Flow MH'!BN5-1)</f>
        <v>42155.642049677648</v>
      </c>
      <c r="BO37" s="1726">
        <f>MIN(BO30*'Assumptions MH'!$L$45,'Assumptions MH'!$L$41*'Assumptions MH'!$L$43*'Cash Flow MH'!BO28)*'Assumptions MH'!$L$42*(1+BO12)^('Cash Flow MH'!BO5-1)</f>
        <v>41001.772394337779</v>
      </c>
      <c r="BP37" s="1726">
        <f>MIN(BP30*'Assumptions MH'!$L$45,'Assumptions MH'!$L$41*'Assumptions MH'!$L$43*'Cash Flow MH'!BP28)*'Assumptions MH'!$L$42*(1+BP12)^('Cash Flow MH'!BP5-1)</f>
        <v>42165.778054017544</v>
      </c>
      <c r="BQ37" s="1726">
        <f>MIN(BQ30*'Assumptions MH'!$L$45,'Assumptions MH'!$L$41*'Assumptions MH'!$L$43*'Cash Flow MH'!BQ28)*'Assumptions MH'!$L$42*(1+BQ12)^('Cash Flow MH'!BQ5-1)</f>
        <v>40560.365753728889</v>
      </c>
      <c r="BR37" s="1726">
        <f>MIN(BR30*'Assumptions MH'!$L$45,'Assumptions MH'!$L$41*'Assumptions MH'!$L$43*'Cash Flow MH'!BR28)*'Assumptions MH'!$L$42*(1+BR12)^('Cash Flow MH'!BR5-1)</f>
        <v>40452.793320573088</v>
      </c>
      <c r="BS37" s="1726">
        <f>MIN(BS30*'Assumptions MH'!$L$45,'Assumptions MH'!$L$41*'Assumptions MH'!$L$43*'Cash Flow MH'!BS28)*'Assumptions MH'!$L$42*(1+BS12)^('Cash Flow MH'!BS5-1)</f>
        <v>39875.041073198328</v>
      </c>
      <c r="BT37" s="1726">
        <f>MIN(BT30*'Assumptions MH'!$L$45,'Assumptions MH'!$L$41*'Assumptions MH'!$L$43*'Cash Flow MH'!BT28)*'Assumptions MH'!$L$42*(1+BT12)^('Cash Flow MH'!BT5-1)</f>
        <v>40099.341040204032</v>
      </c>
      <c r="BU37" s="1726">
        <f>MIN(BU30*'Assumptions MH'!$L$45,'Assumptions MH'!$L$41*'Assumptions MH'!$L$43*'Cash Flow MH'!BU28)*'Assumptions MH'!$L$42*(1+BU12)^('Cash Flow MH'!BU5-1)</f>
        <v>43473.322613865683</v>
      </c>
      <c r="BV37" s="1726">
        <f>MIN(BV30*'Assumptions MH'!$L$45,'Assumptions MH'!$L$41*'Assumptions MH'!$L$43*'Cash Flow MH'!BV28)*'Assumptions MH'!$L$42*(1+BV12)^('Cash Flow MH'!BV5-1)</f>
        <v>37450.901196550643</v>
      </c>
      <c r="BW37" s="1726">
        <f>MIN(BW30*'Assumptions MH'!$L$45,'Assumptions MH'!$L$41*'Assumptions MH'!$L$43*'Cash Flow MH'!BW28)*'Assumptions MH'!$L$42*(1+BW12)^('Cash Flow MH'!BW5-1)</f>
        <v>33276.502247918179</v>
      </c>
      <c r="BX37" s="1726">
        <f>MIN(BX30*'Assumptions MH'!$L$45,'Assumptions MH'!$L$41*'Assumptions MH'!$L$43*'Cash Flow MH'!BX28)*'Assumptions MH'!$L$42*(1+BX12)^('Cash Flow MH'!BX5-1)</f>
        <v>31936.218394052135</v>
      </c>
      <c r="BY37" s="1726">
        <f>MIN(BY30*'Assumptions MH'!$L$45,'Assumptions MH'!$L$41*'Assumptions MH'!$L$43*'Cash Flow MH'!BY28)*'Assumptions MH'!$L$42*(1+BY12)^('Cash Flow MH'!BY5-1)</f>
        <v>35097.543326983694</v>
      </c>
      <c r="BZ37" s="1726">
        <f>MIN(BZ30*'Assumptions MH'!$L$45,'Assumptions MH'!$L$41*'Assumptions MH'!$L$43*'Cash Flow MH'!BZ28)*'Assumptions MH'!$L$42*(1+BZ12)^('Cash Flow MH'!BZ5-1)</f>
        <v>43420.311311167978</v>
      </c>
      <c r="CA37" s="1726">
        <f>MIN(CA30*'Assumptions MH'!$L$45,'Assumptions MH'!$L$41*'Assumptions MH'!$L$43*'Cash Flow MH'!CA28)*'Assumptions MH'!$L$42*(1+CA12)^('Cash Flow MH'!CA5-1)</f>
        <v>42231.825566167914</v>
      </c>
      <c r="CB37" s="1726">
        <f>MIN(CB30*'Assumptions MH'!$L$45,'Assumptions MH'!$L$41*'Assumptions MH'!$L$43*'Cash Flow MH'!CB28)*'Assumptions MH'!$L$42*(1+CB12)^('Cash Flow MH'!CB5-1)</f>
        <v>43430.751395638072</v>
      </c>
      <c r="CC37" s="1726">
        <f>MIN(CC30*'Assumptions MH'!$L$45,'Assumptions MH'!$L$41*'Assumptions MH'!$L$43*'Cash Flow MH'!CC28)*'Assumptions MH'!$L$42*(1+CC12)^('Cash Flow MH'!CC5-1)</f>
        <v>41777.17672634076</v>
      </c>
      <c r="CD37" s="1726">
        <f>MIN(CD30*'Assumptions MH'!$L$45,'Assumptions MH'!$L$41*'Assumptions MH'!$L$43*'Cash Flow MH'!CD28)*'Assumptions MH'!$L$42*(1+CD12)^('Cash Flow MH'!CD5-1)</f>
        <v>41666.377120190278</v>
      </c>
      <c r="CE37" s="1726">
        <f>MIN(CE30*'Assumptions MH'!$L$45,'Assumptions MH'!$L$41*'Assumptions MH'!$L$43*'Cash Flow MH'!CE28)*'Assumptions MH'!$L$42*(1+CE12)^('Cash Flow MH'!CE5-1)</f>
        <v>41071.292305394287</v>
      </c>
      <c r="CF37" s="1726">
        <f>MIN(CF30*'Assumptions MH'!$L$45,'Assumptions MH'!$L$41*'Assumptions MH'!$L$43*'Cash Flow MH'!CF28)*'Assumptions MH'!$L$42*(1+CF12)^('Cash Flow MH'!CF5-1)</f>
        <v>41302.321271410161</v>
      </c>
      <c r="CG37" s="1726">
        <f>MIN(CG30*'Assumptions MH'!$L$45,'Assumptions MH'!$L$41*'Assumptions MH'!$L$43*'Cash Flow MH'!CG28)*'Assumptions MH'!$L$42*(1+CG12)^('Cash Flow MH'!CG5-1)</f>
        <v>44777.522292281654</v>
      </c>
      <c r="CH37" s="1726">
        <f>MIN(CH30*'Assumptions MH'!$L$45,'Assumptions MH'!$L$41*'Assumptions MH'!$L$43*'Cash Flow MH'!CH28)*'Assumptions MH'!$L$42*(1+CH12)^('Cash Flow MH'!CH5-1)</f>
        <v>38574.428232447164</v>
      </c>
      <c r="CI37" s="1726">
        <f>MIN(CI30*'Assumptions MH'!$L$45,'Assumptions MH'!$L$41*'Assumptions MH'!$L$43*'Cash Flow MH'!CI28)*'Assumptions MH'!$L$42*(1+CI12)^('Cash Flow MH'!CI5-1)</f>
        <v>34274.797315355725</v>
      </c>
      <c r="CJ37" s="1726">
        <f>MIN(CJ30*'Assumptions MH'!$L$45,'Assumptions MH'!$L$41*'Assumptions MH'!$L$43*'Cash Flow MH'!CJ28)*'Assumptions MH'!$L$42*(1+CJ12)^('Cash Flow MH'!CJ5-1)</f>
        <v>32894.3049458737</v>
      </c>
      <c r="CK37" s="1726">
        <f>MIN(CK30*'Assumptions MH'!$L$45,'Assumptions MH'!$L$41*'Assumptions MH'!$L$43*'Cash Flow MH'!CK28)*'Assumptions MH'!$L$42*(1+CK12)^('Cash Flow MH'!CK5-1)</f>
        <v>37441.557827750112</v>
      </c>
      <c r="CL37" s="1726">
        <f>MIN(CL30*'Assumptions MH'!$L$45,'Assumptions MH'!$L$41*'Assumptions MH'!$L$43*'Cash Flow MH'!CL28)*'Assumptions MH'!$L$42*(1+CL12)^('Cash Flow MH'!CL5-1)</f>
        <v>44722.920650503023</v>
      </c>
      <c r="CM37" s="1726">
        <f>MIN(CM30*'Assumptions MH'!$L$45,'Assumptions MH'!$L$41*'Assumptions MH'!$L$43*'Cash Flow MH'!CM28)*'Assumptions MH'!$L$42*(1+CM12)^('Cash Flow MH'!CM5-1)</f>
        <v>43498.78033315295</v>
      </c>
      <c r="CN37" s="1726">
        <f>MIN(CN30*'Assumptions MH'!$L$45,'Assumptions MH'!$L$41*'Assumptions MH'!$L$43*'Cash Flow MH'!CN28)*'Assumptions MH'!$L$42*(1+CN12)^('Cash Flow MH'!CN5-1)</f>
        <v>44733.673937507214</v>
      </c>
      <c r="CO37" s="1726">
        <f>MIN(CO30*'Assumptions MH'!$L$45,'Assumptions MH'!$L$41*'Assumptions MH'!$L$43*'Cash Flow MH'!CO28)*'Assumptions MH'!$L$42*(1+CO12)^('Cash Flow MH'!CO5-1)</f>
        <v>43030.492028130982</v>
      </c>
      <c r="CP37" s="1726">
        <f>MIN(CP30*'Assumptions MH'!$L$45,'Assumptions MH'!$L$41*'Assumptions MH'!$L$43*'Cash Flow MH'!CP28)*'Assumptions MH'!$L$42*(1+CP12)^('Cash Flow MH'!CP5-1)</f>
        <v>42916.368433795993</v>
      </c>
      <c r="CQ37" s="1726">
        <f>MIN(CQ30*'Assumptions MH'!$L$45,'Assumptions MH'!$L$41*'Assumptions MH'!$L$43*'Cash Flow MH'!CQ28)*'Assumptions MH'!$L$42*(1+CQ12)^('Cash Flow MH'!CQ5-1)</f>
        <v>42303.431074556116</v>
      </c>
      <c r="CR37" s="1726">
        <f>MIN(CR30*'Assumptions MH'!$L$45,'Assumptions MH'!$L$41*'Assumptions MH'!$L$43*'Cash Flow MH'!CR28)*'Assumptions MH'!$L$42*(1+CR12)^('Cash Flow MH'!CR5-1)</f>
        <v>42541.390909552465</v>
      </c>
      <c r="CS37" s="1726">
        <f>MIN(CS30*'Assumptions MH'!$L$45,'Assumptions MH'!$L$41*'Assumptions MH'!$L$43*'Cash Flow MH'!CS28)*'Assumptions MH'!$L$42*(1+CS12)^('Cash Flow MH'!CS5-1)</f>
        <v>46120.847961050109</v>
      </c>
      <c r="CT37" s="1726">
        <f>MIN(CT30*'Assumptions MH'!$L$45,'Assumptions MH'!$L$41*'Assumptions MH'!$L$43*'Cash Flow MH'!CT28)*'Assumptions MH'!$L$42*(1+CT12)^('Cash Flow MH'!CT5-1)</f>
        <v>39731.661079420577</v>
      </c>
      <c r="CU37" s="1726">
        <f>MIN(CU30*'Assumptions MH'!$L$45,'Assumptions MH'!$L$41*'Assumptions MH'!$L$43*'Cash Flow MH'!CU28)*'Assumptions MH'!$L$42*(1+CU12)^('Cash Flow MH'!CU5-1)</f>
        <v>35303.041234816403</v>
      </c>
      <c r="CV37" s="1726">
        <f>MIN(CV30*'Assumptions MH'!$L$45,'Assumptions MH'!$L$41*'Assumptions MH'!$L$43*'Cash Flow MH'!CV28)*'Assumptions MH'!$L$42*(1+CV12)^('Cash Flow MH'!CV5-1)</f>
        <v>33881.134094249908</v>
      </c>
      <c r="CW37" s="1726">
        <f>MIN(CW30*'Assumptions MH'!$L$45,'Assumptions MH'!$L$41*'Assumptions MH'!$L$43*'Cash Flow MH'!CW28)*'Assumptions MH'!$L$42*(1+CW12)^('Cash Flow MH'!CW5-1)</f>
        <v>37234.983715597002</v>
      </c>
      <c r="CX37" s="1726">
        <f>MIN(CX30*'Assumptions MH'!$L$45,'Assumptions MH'!$L$41*'Assumptions MH'!$L$43*'Cash Flow MH'!CX28)*'Assumptions MH'!$L$42*(1+CX12)^('Cash Flow MH'!CX5-1)</f>
        <v>46064.608270018107</v>
      </c>
      <c r="CY37" s="1726">
        <f>MIN(CY30*'Assumptions MH'!$L$45,'Assumptions MH'!$L$41*'Assumptions MH'!$L$43*'Cash Flow MH'!CY28)*'Assumptions MH'!$L$42*(1+CY12)^('Cash Flow MH'!CY5-1)</f>
        <v>44803.743743147534</v>
      </c>
      <c r="CZ37" s="1726">
        <f>MIN(CZ30*'Assumptions MH'!$L$45,'Assumptions MH'!$L$41*'Assumptions MH'!$L$43*'Cash Flow MH'!CZ28)*'Assumptions MH'!$L$42*(1+CZ12)^('Cash Flow MH'!CZ5-1)</f>
        <v>46075.684155632429</v>
      </c>
      <c r="DA37" s="1726">
        <f>MIN(DA30*'Assumptions MH'!$L$45,'Assumptions MH'!$L$41*'Assumptions MH'!$L$43*'Cash Flow MH'!DA28)*'Assumptions MH'!$L$42*(1+DA12)^('Cash Flow MH'!DA5-1)</f>
        <v>44321.406788974906</v>
      </c>
      <c r="DB37" s="1726">
        <f>MIN(DB30*'Assumptions MH'!$L$45,'Assumptions MH'!$L$41*'Assumptions MH'!$L$43*'Cash Flow MH'!DB28)*'Assumptions MH'!$L$42*(1+DB12)^('Cash Flow MH'!DB5-1)</f>
        <v>44203.859486809866</v>
      </c>
      <c r="DC37" s="1726">
        <f>MIN(DC30*'Assumptions MH'!$L$45,'Assumptions MH'!$L$41*'Assumptions MH'!$L$43*'Cash Flow MH'!DC28)*'Assumptions MH'!$L$42*(1+DC12)^('Cash Flow MH'!DC5-1)</f>
        <v>43572.53400679279</v>
      </c>
      <c r="DD37" s="1726">
        <f>MIN(DD30*'Assumptions MH'!$L$45,'Assumptions MH'!$L$41*'Assumptions MH'!$L$43*'Cash Flow MH'!DD28)*'Assumptions MH'!$L$42*(1+DD12)^('Cash Flow MH'!DD5-1)</f>
        <v>43817.632636839036</v>
      </c>
      <c r="DE37" s="1726">
        <f>MIN(DE30*'Assumptions MH'!$L$45,'Assumptions MH'!$L$41*'Assumptions MH'!$L$43*'Cash Flow MH'!DE28)*'Assumptions MH'!$L$42*(1+DE12)^('Cash Flow MH'!DE5-1)</f>
        <v>47504.473399881608</v>
      </c>
      <c r="DF37" s="1726">
        <f>MIN(DF30*'Assumptions MH'!$L$45,'Assumptions MH'!$L$41*'Assumptions MH'!$L$43*'Cash Flow MH'!DF28)*'Assumptions MH'!$L$42*(1+DF12)^('Cash Flow MH'!DF5-1)</f>
        <v>40923.610911803189</v>
      </c>
      <c r="DG37" s="1726">
        <f>MIN(DG30*'Assumptions MH'!$L$45,'Assumptions MH'!$L$41*'Assumptions MH'!$L$43*'Cash Flow MH'!DG28)*'Assumptions MH'!$L$42*(1+DG12)^('Cash Flow MH'!DG5-1)</f>
        <v>36362.132471860888</v>
      </c>
      <c r="DH37" s="1726">
        <f>MIN(DH30*'Assumptions MH'!$L$45,'Assumptions MH'!$L$41*'Assumptions MH'!$L$43*'Cash Flow MH'!DH28)*'Assumptions MH'!$L$42*(1+DH12)^('Cash Flow MH'!DH5-1)</f>
        <v>34897.568117077411</v>
      </c>
      <c r="DI37" s="1726">
        <f>MIN(DI30*'Assumptions MH'!$L$45,'Assumptions MH'!$L$41*'Assumptions MH'!$L$43*'Cash Flow MH'!DI28)*'Assumptions MH'!$L$42*(1+DI12)^('Cash Flow MH'!DI5-1)</f>
        <v>38352.033227064909</v>
      </c>
      <c r="DJ37" s="1726">
        <f>MIN(DJ30*'Assumptions MH'!$L$45,'Assumptions MH'!$L$41*'Assumptions MH'!$L$43*'Cash Flow MH'!DJ28)*'Assumptions MH'!$L$42*(1+DJ12)^('Cash Flow MH'!DJ5-1)</f>
        <v>47446.546518118652</v>
      </c>
      <c r="DK37" s="1726">
        <f>MIN(DK30*'Assumptions MH'!$L$45,'Assumptions MH'!$L$41*'Assumptions MH'!$L$43*'Cash Flow MH'!DK28)*'Assumptions MH'!$L$42*(1+DK12)^('Cash Flow MH'!DK5-1)</f>
        <v>46147.85605544196</v>
      </c>
      <c r="DL37" s="1726">
        <f>MIN(DL30*'Assumptions MH'!$L$45,'Assumptions MH'!$L$41*'Assumptions MH'!$L$43*'Cash Flow MH'!DL28)*'Assumptions MH'!$L$42*(1+DL12)^('Cash Flow MH'!DL5-1)</f>
        <v>47457.954680301402</v>
      </c>
      <c r="DM37" s="1726">
        <f>MIN(DM30*'Assumptions MH'!$L$45,'Assumptions MH'!$L$41*'Assumptions MH'!$L$43*'Cash Flow MH'!DM28)*'Assumptions MH'!$L$42*(1+DM12)^('Cash Flow MH'!DM5-1)</f>
        <v>45651.048992644159</v>
      </c>
      <c r="DN37" s="1726">
        <f>MIN(DN30*'Assumptions MH'!$L$45,'Assumptions MH'!$L$41*'Assumptions MH'!$L$43*'Cash Flow MH'!DN28)*'Assumptions MH'!$L$42*(1+DN12)^('Cash Flow MH'!DN5-1)</f>
        <v>45529.975271414165</v>
      </c>
      <c r="DO37" s="1726">
        <f>MIN(DO30*'Assumptions MH'!$L$45,'Assumptions MH'!$L$41*'Assumptions MH'!$L$43*'Cash Flow MH'!DO28)*'Assumptions MH'!$L$42*(1+DO12)^('Cash Flow MH'!DO5-1)</f>
        <v>44879.710026996581</v>
      </c>
      <c r="DP37" s="1726">
        <f>MIN(DP30*'Assumptions MH'!$L$45,'Assumptions MH'!$L$41*'Assumptions MH'!$L$43*'Cash Flow MH'!DP28)*'Assumptions MH'!$L$42*(1+DP12)^('Cash Flow MH'!DP5-1)</f>
        <v>45132.161615944206</v>
      </c>
      <c r="DQ37" s="1726">
        <f>MIN(DQ30*'Assumptions MH'!$L$45,'Assumptions MH'!$L$41*'Assumptions MH'!$L$43*'Cash Flow MH'!DQ28)*'Assumptions MH'!$L$42*(1+DQ12)^('Cash Flow MH'!DQ5-1)</f>
        <v>48929.607601878051</v>
      </c>
      <c r="DR37" s="1726">
        <f>MIN(DR30*'Assumptions MH'!$L$45,'Assumptions MH'!$L$41*'Assumptions MH'!$L$43*'Cash Flow MH'!DR28)*'Assumptions MH'!$L$42*(1+DR12)^('Cash Flow MH'!DR5-1)</f>
        <v>42151.319239157288</v>
      </c>
      <c r="DS37" s="1726">
        <f>MIN(DS30*'Assumptions MH'!$L$45,'Assumptions MH'!$L$41*'Assumptions MH'!$L$43*'Cash Flow MH'!DS28)*'Assumptions MH'!$L$42*(1+DS12)^('Cash Flow MH'!DS5-1)</f>
        <v>37452.996446016718</v>
      </c>
      <c r="DT37" s="1485" t="s">
        <v>65</v>
      </c>
    </row>
    <row r="38" spans="1:124" s="1503" customFormat="1">
      <c r="A38" s="1487"/>
      <c r="B38" s="1727" t="s">
        <v>1078</v>
      </c>
      <c r="C38" s="1728"/>
      <c r="D38" s="1729">
        <f t="shared" ref="D38:BP38" si="20">SUM(D36:D37)</f>
        <v>195633.06788461804</v>
      </c>
      <c r="E38" s="1729">
        <f t="shared" si="20"/>
        <v>275440.12747269525</v>
      </c>
      <c r="F38" s="1729">
        <f t="shared" si="20"/>
        <v>413691.48995678179</v>
      </c>
      <c r="G38" s="1729">
        <f t="shared" si="20"/>
        <v>463086.52675226785</v>
      </c>
      <c r="H38" s="1729">
        <f t="shared" si="20"/>
        <v>528410.12076556473</v>
      </c>
      <c r="I38" s="1729">
        <f t="shared" si="20"/>
        <v>590635.6424139993</v>
      </c>
      <c r="J38" s="1729">
        <f t="shared" si="20"/>
        <v>571484.53865464509</v>
      </c>
      <c r="K38" s="1729">
        <f t="shared" si="20"/>
        <v>617056.90344506002</v>
      </c>
      <c r="L38" s="1729">
        <f t="shared" si="20"/>
        <v>677188.71412954561</v>
      </c>
      <c r="M38" s="1729">
        <f t="shared" si="20"/>
        <v>810988.07592562714</v>
      </c>
      <c r="N38" s="1729">
        <f t="shared" si="20"/>
        <v>650953.44231198705</v>
      </c>
      <c r="O38" s="1729">
        <f t="shared" si="20"/>
        <v>552923.76394946617</v>
      </c>
      <c r="P38" s="1729">
        <f t="shared" si="20"/>
        <v>514549.90301295341</v>
      </c>
      <c r="Q38" s="1729">
        <f t="shared" si="20"/>
        <v>629305.57124034327</v>
      </c>
      <c r="R38" s="1729">
        <f t="shared" si="20"/>
        <v>839869.93093936413</v>
      </c>
      <c r="S38" s="1729">
        <f t="shared" si="20"/>
        <v>849688.39041163761</v>
      </c>
      <c r="T38" s="1729">
        <f t="shared" si="20"/>
        <v>887828.07978379237</v>
      </c>
      <c r="U38" s="1729">
        <f t="shared" si="20"/>
        <v>918271.26292289677</v>
      </c>
      <c r="V38" s="1729">
        <f t="shared" si="20"/>
        <v>811902.17215763393</v>
      </c>
      <c r="W38" s="1729">
        <f t="shared" si="20"/>
        <v>807071.25149004685</v>
      </c>
      <c r="X38" s="1729">
        <f t="shared" si="20"/>
        <v>862447.45045246615</v>
      </c>
      <c r="Y38" s="1729">
        <f t="shared" si="20"/>
        <v>1006406.8894016818</v>
      </c>
      <c r="Z38" s="1729">
        <f t="shared" si="20"/>
        <v>787644.10640980513</v>
      </c>
      <c r="AA38" s="1729">
        <f t="shared" si="20"/>
        <v>652735.21704063064</v>
      </c>
      <c r="AB38" s="1729">
        <f t="shared" si="20"/>
        <v>592991.7763394037</v>
      </c>
      <c r="AC38" s="1729">
        <f t="shared" si="20"/>
        <v>708398.62117765425</v>
      </c>
      <c r="AD38" s="1729">
        <f t="shared" si="20"/>
        <v>923969.05620031524</v>
      </c>
      <c r="AE38" s="1729">
        <f t="shared" si="20"/>
        <v>914025.10926787159</v>
      </c>
      <c r="AF38" s="1729">
        <f t="shared" si="20"/>
        <v>934317.16186697967</v>
      </c>
      <c r="AG38" s="1729">
        <f t="shared" si="20"/>
        <v>945819.40081058408</v>
      </c>
      <c r="AH38" s="1729">
        <f t="shared" si="20"/>
        <v>836259.23732236272</v>
      </c>
      <c r="AI38" s="1729">
        <f t="shared" si="20"/>
        <v>831283.38903474843</v>
      </c>
      <c r="AJ38" s="1729">
        <f t="shared" si="20"/>
        <v>888320.87396604009</v>
      </c>
      <c r="AK38" s="1729">
        <f t="shared" si="20"/>
        <v>1036599.0960837323</v>
      </c>
      <c r="AL38" s="1729">
        <f t="shared" si="20"/>
        <v>811273.42960209923</v>
      </c>
      <c r="AM38" s="1729">
        <f t="shared" si="20"/>
        <v>672317.2735518493</v>
      </c>
      <c r="AN38" s="1729">
        <f t="shared" si="20"/>
        <v>610781.5296295858</v>
      </c>
      <c r="AO38" s="1729">
        <f t="shared" si="20"/>
        <v>755709.52909201896</v>
      </c>
      <c r="AP38" s="1729">
        <f t="shared" si="20"/>
        <v>951688.12788632466</v>
      </c>
      <c r="AQ38" s="1729">
        <f t="shared" si="20"/>
        <v>941445.86254590761</v>
      </c>
      <c r="AR38" s="1729">
        <f t="shared" si="20"/>
        <v>962346.67672298895</v>
      </c>
      <c r="AS38" s="1729">
        <f t="shared" si="20"/>
        <v>974193.98283490143</v>
      </c>
      <c r="AT38" s="1729">
        <f t="shared" si="20"/>
        <v>861347.01444203383</v>
      </c>
      <c r="AU38" s="1729">
        <f t="shared" si="20"/>
        <v>856221.89070579072</v>
      </c>
      <c r="AV38" s="1729">
        <f t="shared" si="20"/>
        <v>914970.50018502108</v>
      </c>
      <c r="AW38" s="1729">
        <f t="shared" si="20"/>
        <v>1067697.0689662441</v>
      </c>
      <c r="AX38" s="1729">
        <f t="shared" si="20"/>
        <v>835611.63249016216</v>
      </c>
      <c r="AY38" s="1729">
        <f t="shared" si="20"/>
        <v>692486.79175840481</v>
      </c>
      <c r="AZ38" s="1729">
        <f t="shared" si="20"/>
        <v>629104.97551847331</v>
      </c>
      <c r="BA38" s="1729">
        <f t="shared" si="20"/>
        <v>751540.09720737336</v>
      </c>
      <c r="BB38" s="1729">
        <f t="shared" si="20"/>
        <v>980238.77172291453</v>
      </c>
      <c r="BC38" s="1729">
        <f t="shared" si="20"/>
        <v>969689.23842228495</v>
      </c>
      <c r="BD38" s="1729">
        <f t="shared" si="20"/>
        <v>991217.0770246787</v>
      </c>
      <c r="BE38" s="1729">
        <f t="shared" si="20"/>
        <v>1003419.8023199484</v>
      </c>
      <c r="BF38" s="1729">
        <f t="shared" si="20"/>
        <v>887187.42487529479</v>
      </c>
      <c r="BG38" s="1729">
        <f t="shared" si="20"/>
        <v>881908.54742696439</v>
      </c>
      <c r="BH38" s="1729">
        <f t="shared" si="20"/>
        <v>942419.61519057187</v>
      </c>
      <c r="BI38" s="1729">
        <f t="shared" si="20"/>
        <v>1099727.9810352314</v>
      </c>
      <c r="BJ38" s="1729">
        <f t="shared" si="20"/>
        <v>860679.98146486701</v>
      </c>
      <c r="BK38" s="1729">
        <f t="shared" si="20"/>
        <v>713261.395511157</v>
      </c>
      <c r="BL38" s="1729">
        <f t="shared" si="20"/>
        <v>647978.12478402758</v>
      </c>
      <c r="BM38" s="1729">
        <f t="shared" si="20"/>
        <v>774086.30012359447</v>
      </c>
      <c r="BN38" s="1729">
        <f t="shared" si="20"/>
        <v>1009645.9348746018</v>
      </c>
      <c r="BO38" s="1729">
        <f t="shared" si="20"/>
        <v>998779.91557495343</v>
      </c>
      <c r="BP38" s="1729">
        <f t="shared" si="20"/>
        <v>1020953.5893354189</v>
      </c>
      <c r="BQ38" s="1729">
        <f t="shared" ref="BQ38:DS38" si="21">SUM(BQ36:BQ37)</f>
        <v>1033522.3963895469</v>
      </c>
      <c r="BR38" s="1729">
        <f t="shared" si="21"/>
        <v>913803.04762155353</v>
      </c>
      <c r="BS38" s="1729">
        <f t="shared" si="21"/>
        <v>908365.80384977313</v>
      </c>
      <c r="BT38" s="1729">
        <f t="shared" si="21"/>
        <v>970692.20364628895</v>
      </c>
      <c r="BU38" s="1729">
        <f t="shared" si="21"/>
        <v>1132719.8204662884</v>
      </c>
      <c r="BV38" s="1729">
        <f t="shared" si="21"/>
        <v>886500.38090881309</v>
      </c>
      <c r="BW38" s="1729">
        <f t="shared" si="21"/>
        <v>734659.23737649166</v>
      </c>
      <c r="BX38" s="1729">
        <f t="shared" si="21"/>
        <v>667417.46852754825</v>
      </c>
      <c r="BY38" s="1729">
        <f t="shared" si="21"/>
        <v>797308.88912730245</v>
      </c>
      <c r="BZ38" s="1729">
        <f t="shared" si="21"/>
        <v>1039935.31292084</v>
      </c>
      <c r="CA38" s="1729">
        <f t="shared" si="21"/>
        <v>1028743.3130422019</v>
      </c>
      <c r="CB38" s="1729">
        <f t="shared" si="21"/>
        <v>1051582.1970154813</v>
      </c>
      <c r="CC38" s="1729">
        <f t="shared" si="21"/>
        <v>1064528.0682812331</v>
      </c>
      <c r="CD38" s="1729">
        <f t="shared" si="21"/>
        <v>941217.13905020023</v>
      </c>
      <c r="CE38" s="1729">
        <f t="shared" si="21"/>
        <v>935616.77796526661</v>
      </c>
      <c r="CF38" s="1729">
        <f t="shared" si="21"/>
        <v>999812.96975567774</v>
      </c>
      <c r="CG38" s="1729">
        <f t="shared" si="21"/>
        <v>1166701.4150802772</v>
      </c>
      <c r="CH38" s="1729">
        <f t="shared" si="21"/>
        <v>913095.39233607741</v>
      </c>
      <c r="CI38" s="1729">
        <f t="shared" si="21"/>
        <v>756699.01449778653</v>
      </c>
      <c r="CJ38" s="1729">
        <f t="shared" si="21"/>
        <v>687439.99258337484</v>
      </c>
      <c r="CK38" s="1729">
        <f t="shared" si="21"/>
        <v>850557.7327940187</v>
      </c>
      <c r="CL38" s="1729">
        <f t="shared" si="21"/>
        <v>1071133.3723084652</v>
      </c>
      <c r="CM38" s="1729">
        <f t="shared" si="21"/>
        <v>1059605.6124334678</v>
      </c>
      <c r="CN38" s="1729">
        <f t="shared" si="21"/>
        <v>1083129.6629259461</v>
      </c>
      <c r="CO38" s="1729">
        <f t="shared" si="21"/>
        <v>1096463.9103296702</v>
      </c>
      <c r="CP38" s="1729">
        <f t="shared" si="21"/>
        <v>969453.65322170628</v>
      </c>
      <c r="CQ38" s="1729">
        <f t="shared" si="21"/>
        <v>963685.28130422463</v>
      </c>
      <c r="CR38" s="1729">
        <f t="shared" si="21"/>
        <v>1029807.358848348</v>
      </c>
      <c r="CS38" s="1729">
        <f t="shared" si="21"/>
        <v>1201702.4575326857</v>
      </c>
      <c r="CT38" s="1729">
        <f t="shared" si="21"/>
        <v>940488.2541061599</v>
      </c>
      <c r="CU38" s="1729">
        <f t="shared" si="21"/>
        <v>779399.98493272008</v>
      </c>
      <c r="CV38" s="1729">
        <f t="shared" si="21"/>
        <v>708063.19236087601</v>
      </c>
      <c r="CW38" s="1729">
        <f t="shared" si="21"/>
        <v>845865.00047515496</v>
      </c>
      <c r="CX38" s="1729">
        <f t="shared" si="21"/>
        <v>1103267.3734777188</v>
      </c>
      <c r="CY38" s="1729">
        <f t="shared" si="21"/>
        <v>1091393.7808064721</v>
      </c>
      <c r="CZ38" s="1729">
        <f t="shared" si="21"/>
        <v>1115623.5528137244</v>
      </c>
      <c r="DA38" s="1729">
        <f t="shared" si="21"/>
        <v>1129357.8276395604</v>
      </c>
      <c r="DB38" s="1729">
        <f t="shared" si="21"/>
        <v>998537.26281835733</v>
      </c>
      <c r="DC38" s="1729">
        <f t="shared" si="21"/>
        <v>992595.8397433511</v>
      </c>
      <c r="DD38" s="1729">
        <f t="shared" si="21"/>
        <v>1060701.5796137983</v>
      </c>
      <c r="DE38" s="1729">
        <f t="shared" si="21"/>
        <v>1237753.5312586657</v>
      </c>
      <c r="DF38" s="1729">
        <f t="shared" si="21"/>
        <v>968702.90172934451</v>
      </c>
      <c r="DG38" s="1729">
        <f t="shared" si="21"/>
        <v>802781.9844807015</v>
      </c>
      <c r="DH38" s="1729">
        <f t="shared" si="21"/>
        <v>729305.08813170239</v>
      </c>
      <c r="DI38" s="1729">
        <f t="shared" si="21"/>
        <v>871240.95048940985</v>
      </c>
      <c r="DJ38" s="1729">
        <f t="shared" si="21"/>
        <v>1136365.3946820504</v>
      </c>
      <c r="DK38" s="1729">
        <f t="shared" si="21"/>
        <v>1124135.5942306663</v>
      </c>
      <c r="DL38" s="1729">
        <f t="shared" si="21"/>
        <v>1149092.2593981361</v>
      </c>
      <c r="DM38" s="1729">
        <f t="shared" si="21"/>
        <v>1163238.5624687471</v>
      </c>
      <c r="DN38" s="1729">
        <f t="shared" si="21"/>
        <v>1028493.380702908</v>
      </c>
      <c r="DO38" s="1729">
        <f t="shared" si="21"/>
        <v>1022373.7149356517</v>
      </c>
      <c r="DP38" s="1729">
        <f t="shared" si="21"/>
        <v>1092522.6270022125</v>
      </c>
      <c r="DQ38" s="1729">
        <f t="shared" si="21"/>
        <v>1274886.137196426</v>
      </c>
      <c r="DR38" s="1729">
        <f t="shared" si="21"/>
        <v>997763.98878122482</v>
      </c>
      <c r="DS38" s="1729">
        <f t="shared" si="21"/>
        <v>826865.44401512272</v>
      </c>
      <c r="DT38" s="1485" t="s">
        <v>65</v>
      </c>
    </row>
    <row r="39" spans="1:124">
      <c r="DT39" s="1485" t="s">
        <v>65</v>
      </c>
    </row>
    <row r="40" spans="1:124">
      <c r="A40" s="1487" t="s">
        <v>65</v>
      </c>
      <c r="B40" s="1503" t="s">
        <v>1079</v>
      </c>
      <c r="DT40" s="1485" t="s">
        <v>65</v>
      </c>
    </row>
    <row r="41" spans="1:124">
      <c r="B41" s="1724" t="s">
        <v>1080</v>
      </c>
      <c r="D41" s="1664">
        <f>(('Assumptions MH'!$Q$11*'Cash Flow MH'!D30)/D$16*((1+D$13)^('Cash Flow MH'!D5-1)))</f>
        <v>8451.0183722072707</v>
      </c>
      <c r="E41" s="1664">
        <f>(('Assumptions MH'!$Q$11*'Cash Flow MH'!E30)/E$16*((1+E$13)^('Cash Flow MH'!E5-1)))</f>
        <v>10946.069056773034</v>
      </c>
      <c r="F41" s="1664">
        <f>(('Assumptions MH'!$Q$11*'Cash Flow MH'!F30)/F$16*((1+F$13)^('Cash Flow MH'!F5-1)))</f>
        <v>15593.516153509336</v>
      </c>
      <c r="G41" s="1664">
        <f>(('Assumptions MH'!$Q$11*'Cash Flow MH'!G30)/G$16*((1+G$13)^('Cash Flow MH'!G5-1)))</f>
        <v>17162.313693451233</v>
      </c>
      <c r="H41" s="1664">
        <f>(('Assumptions MH'!$Q$11*'Cash Flow MH'!H30)/H$16*((1+H$13)^('Cash Flow MH'!H5-1)))</f>
        <v>19701.809047802122</v>
      </c>
      <c r="I41" s="1664">
        <f>(('Assumptions MH'!$Q$11*'Cash Flow MH'!I30)/I$16*((1+I$13)^('Cash Flow MH'!I5-1)))</f>
        <v>20925.819836921695</v>
      </c>
      <c r="J41" s="1664">
        <f>(('Assumptions MH'!$Q$11*'Cash Flow MH'!J30)/J$16*((1+J$13)^('Cash Flow MH'!J5-1)))</f>
        <v>22839.219525075823</v>
      </c>
      <c r="K41" s="1664">
        <f>(('Assumptions MH'!$Q$11*'Cash Flow MH'!K30)/K$16*((1+K$13)^('Cash Flow MH'!K5-1)))</f>
        <v>24453.804877931558</v>
      </c>
      <c r="L41" s="1664">
        <f>(('Assumptions MH'!$Q$11*'Cash Flow MH'!L30)/L$16*((1+L$13)^('Cash Flow MH'!L5-1)))</f>
        <v>25254.935646546193</v>
      </c>
      <c r="M41" s="1664">
        <f>(('Assumptions MH'!$Q$11*'Cash Flow MH'!M30)/M$16*((1+M$13)^('Cash Flow MH'!M5-1)))</f>
        <v>28099.310486778584</v>
      </c>
      <c r="N41" s="1664">
        <f>(('Assumptions MH'!$Q$11*'Cash Flow MH'!N30)/N$16*((1+N$13)^('Cash Flow MH'!N5-1)))</f>
        <v>24826.422063629372</v>
      </c>
      <c r="O41" s="1664">
        <f>(('Assumptions MH'!$Q$11*'Cash Flow MH'!O30)/O$16*((1+O$13)^('Cash Flow MH'!O5-1)))</f>
        <v>22609.858420746295</v>
      </c>
      <c r="P41" s="1664">
        <f>(('Assumptions MH'!$Q$11*'Cash Flow MH'!P30)/P$16*((1+P$13)^('Cash Flow MH'!P5-1)))</f>
        <v>22227.687429328729</v>
      </c>
      <c r="Q41" s="1664">
        <f>(('Assumptions MH'!$Q$11*'Cash Flow MH'!Q30)/Q$16*((1+Q$13)^('Cash Flow MH'!Q5-1)))</f>
        <v>25008.782503165447</v>
      </c>
      <c r="R41" s="1664">
        <f>(('Assumptions MH'!$Q$11*'Cash Flow MH'!R30)/R$16*((1+R$13)^('Cash Flow MH'!R5-1)))</f>
        <v>31657.710281441698</v>
      </c>
      <c r="S41" s="1664">
        <f>(('Assumptions MH'!$Q$11*'Cash Flow MH'!S30)/S$16*((1+S$13)^('Cash Flow MH'!S5-1)))</f>
        <v>31490.051762463147</v>
      </c>
      <c r="T41" s="1664">
        <f>(('Assumptions MH'!$Q$11*'Cash Flow MH'!T30)/T$16*((1+T$13)^('Cash Flow MH'!T5-1)))</f>
        <v>33102.733289504024</v>
      </c>
      <c r="U41" s="1664">
        <f>(('Assumptions MH'!$Q$11*'Cash Flow MH'!U30)/U$16*((1+U$13)^('Cash Flow MH'!U5-1)))</f>
        <v>32533.727444572593</v>
      </c>
      <c r="V41" s="1664">
        <f>(('Assumptions MH'!$Q$11*'Cash Flow MH'!V30)/V$16*((1+V$13)^('Cash Flow MH'!V5-1)))</f>
        <v>32447.442911487036</v>
      </c>
      <c r="W41" s="1664">
        <f>(('Assumptions MH'!$Q$11*'Cash Flow MH'!W30)/W$16*((1+W$13)^('Cash Flow MH'!W5-1)))</f>
        <v>31984.024157802556</v>
      </c>
      <c r="X41" s="1664">
        <f>(('Assumptions MH'!$Q$11*'Cash Flow MH'!X30)/X$16*((1+X$13)^('Cash Flow MH'!X5-1)))</f>
        <v>32163.936588491608</v>
      </c>
      <c r="Y41" s="1664">
        <f>(('Assumptions MH'!$Q$11*'Cash Flow MH'!Y30)/Y$16*((1+Y$13)^('Cash Flow MH'!Y5-1)))</f>
        <v>34870.228676363789</v>
      </c>
      <c r="Z41" s="1664">
        <f>(('Assumptions MH'!$Q$11*'Cash Flow MH'!Z30)/Z$16*((1+Z$13)^('Cash Flow MH'!Z5-1)))</f>
        <v>30039.606138664618</v>
      </c>
      <c r="AA41" s="1664">
        <f>(('Assumptions MH'!$Q$11*'Cash Flow MH'!AA30)/AA$16*((1+AA$13)^('Cash Flow MH'!AA5-1)))</f>
        <v>26691.294181511388</v>
      </c>
      <c r="AB41" s="1664">
        <f>(('Assumptions MH'!$Q$11*'Cash Flow MH'!AB30)/AB$16*((1+AB$13)^('Cash Flow MH'!AB5-1)))</f>
        <v>25616.243974499121</v>
      </c>
      <c r="AC41" s="1664">
        <f>(('Assumptions MH'!$Q$11*'Cash Flow MH'!AC30)/AC$16*((1+AC$13)^('Cash Flow MH'!AC5-1)))</f>
        <v>28151.962817770938</v>
      </c>
      <c r="AD41" s="1664">
        <f>(('Assumptions MH'!$Q$11*'Cash Flow MH'!AD30)/AD$16*((1+AD$13)^('Cash Flow MH'!AD5-1)))</f>
        <v>34827.707973174845</v>
      </c>
      <c r="AE41" s="1664">
        <f>(('Assumptions MH'!$Q$11*'Cash Flow MH'!AE30)/AE$16*((1+AE$13)^('Cash Flow MH'!AE5-1)))</f>
        <v>33874.415995130068</v>
      </c>
      <c r="AF41" s="1664">
        <f>(('Assumptions MH'!$Q$11*'Cash Flow MH'!AF30)/AF$16*((1+AF$13)^('Cash Flow MH'!AF5-1)))</f>
        <v>34836.08203135545</v>
      </c>
      <c r="AG41" s="1664">
        <f>(('Assumptions MH'!$Q$11*'Cash Flow MH'!AG30)/AG$16*((1+AG$13)^('Cash Flow MH'!AG5-1)))</f>
        <v>33509.739267909776</v>
      </c>
      <c r="AH41" s="1664">
        <f>(('Assumptions MH'!$Q$11*'Cash Flow MH'!AH30)/AH$16*((1+AH$13)^('Cash Flow MH'!AH5-1)))</f>
        <v>33420.866198831645</v>
      </c>
      <c r="AI41" s="1664">
        <f>(('Assumptions MH'!$Q$11*'Cash Flow MH'!AI30)/AI$16*((1+AI$13)^('Cash Flow MH'!AI5-1)))</f>
        <v>32943.544882536633</v>
      </c>
      <c r="AJ41" s="1664">
        <f>(('Assumptions MH'!$Q$11*'Cash Flow MH'!AJ30)/AJ$16*((1+AJ$13)^('Cash Flow MH'!AJ5-1)))</f>
        <v>33128.854686146355</v>
      </c>
      <c r="AK41" s="1664">
        <f>(('Assumptions MH'!$Q$11*'Cash Flow MH'!AK30)/AK$16*((1+AK$13)^('Cash Flow MH'!AK5-1)))</f>
        <v>35916.335536654704</v>
      </c>
      <c r="AL41" s="1664">
        <f>(('Assumptions MH'!$Q$11*'Cash Flow MH'!AL30)/AL$16*((1+AL$13)^('Cash Flow MH'!AL5-1)))</f>
        <v>30940.794322824553</v>
      </c>
      <c r="AM41" s="1664">
        <f>(('Assumptions MH'!$Q$11*'Cash Flow MH'!AM30)/AM$16*((1+AM$13)^('Cash Flow MH'!AM5-1)))</f>
        <v>27492.033006956728</v>
      </c>
      <c r="AN41" s="1664">
        <f>(('Assumptions MH'!$Q$11*'Cash Flow MH'!AN30)/AN$16*((1+AN$13)^('Cash Flow MH'!AN5-1)))</f>
        <v>26384.731293734098</v>
      </c>
      <c r="AO41" s="1664">
        <f>(('Assumptions MH'!$Q$11*'Cash Flow MH'!AO30)/AO$16*((1+AO$13)^('Cash Flow MH'!AO5-1)))</f>
        <v>30032.111763100638</v>
      </c>
      <c r="AP41" s="1664">
        <f>(('Assumptions MH'!$Q$11*'Cash Flow MH'!AP30)/AP$16*((1+AP$13)^('Cash Flow MH'!AP5-1)))</f>
        <v>35872.539212370095</v>
      </c>
      <c r="AQ41" s="1664">
        <f>(('Assumptions MH'!$Q$11*'Cash Flow MH'!AQ30)/AQ$16*((1+AQ$13)^('Cash Flow MH'!AQ5-1)))</f>
        <v>34890.648474983973</v>
      </c>
      <c r="AR41" s="1664">
        <f>(('Assumptions MH'!$Q$11*'Cash Flow MH'!AR30)/AR$16*((1+AR$13)^('Cash Flow MH'!AR5-1)))</f>
        <v>35881.164492296113</v>
      </c>
      <c r="AS41" s="1664">
        <f>(('Assumptions MH'!$Q$11*'Cash Flow MH'!AS30)/AS$16*((1+AS$13)^('Cash Flow MH'!AS5-1)))</f>
        <v>34515.031445947068</v>
      </c>
      <c r="AT41" s="1664">
        <f>(('Assumptions MH'!$Q$11*'Cash Flow MH'!AT30)/AT$16*((1+AT$13)^('Cash Flow MH'!AT5-1)))</f>
        <v>34423.492184796596</v>
      </c>
      <c r="AU41" s="1664">
        <f>(('Assumptions MH'!$Q$11*'Cash Flow MH'!AU30)/AU$16*((1+AU$13)^('Cash Flow MH'!AU5-1)))</f>
        <v>33931.851229012733</v>
      </c>
      <c r="AV41" s="1664">
        <f>(('Assumptions MH'!$Q$11*'Cash Flow MH'!AV30)/AV$16*((1+AV$13)^('Cash Flow MH'!AV5-1)))</f>
        <v>34122.720326730749</v>
      </c>
      <c r="AW41" s="1664">
        <f>(('Assumptions MH'!$Q$11*'Cash Flow MH'!AW30)/AW$16*((1+AW$13)^('Cash Flow MH'!AW5-1)))</f>
        <v>36993.825602754347</v>
      </c>
      <c r="AX41" s="1664">
        <f>(('Assumptions MH'!$Q$11*'Cash Flow MH'!AX30)/AX$16*((1+AX$13)^('Cash Flow MH'!AX5-1)))</f>
        <v>31869.018152509292</v>
      </c>
      <c r="AY41" s="1664">
        <f>(('Assumptions MH'!$Q$11*'Cash Flow MH'!AY30)/AY$16*((1+AY$13)^('Cash Flow MH'!AY5-1)))</f>
        <v>28316.79399716543</v>
      </c>
      <c r="AZ41" s="1664">
        <f>(('Assumptions MH'!$Q$11*'Cash Flow MH'!AZ30)/AZ$16*((1+AZ$13)^('Cash Flow MH'!AZ5-1)))</f>
        <v>27176.273232546118</v>
      </c>
      <c r="BA41" s="1664">
        <f>(('Assumptions MH'!$Q$11*'Cash Flow MH'!BA30)/BA$16*((1+BA$13)^('Cash Flow MH'!BA5-1)))</f>
        <v>29866.417353373185</v>
      </c>
      <c r="BB41" s="1664">
        <f>(('Assumptions MH'!$Q$11*'Cash Flow MH'!BB30)/BB$16*((1+BB$13)^('Cash Flow MH'!BB5-1)))</f>
        <v>36948.715388741191</v>
      </c>
      <c r="BC41" s="1664">
        <f>(('Assumptions MH'!$Q$11*'Cash Flow MH'!BC30)/BC$16*((1+BC$13)^('Cash Flow MH'!BC5-1)))</f>
        <v>35937.367929233493</v>
      </c>
      <c r="BD41" s="1664">
        <f>(('Assumptions MH'!$Q$11*'Cash Flow MH'!BD30)/BD$16*((1+BD$13)^('Cash Flow MH'!BD5-1)))</f>
        <v>36957.599427064997</v>
      </c>
      <c r="BE41" s="1664">
        <f>(('Assumptions MH'!$Q$11*'Cash Flow MH'!BE30)/BE$16*((1+BE$13)^('Cash Flow MH'!BE5-1)))</f>
        <v>35550.48238932548</v>
      </c>
      <c r="BF41" s="1664">
        <f>(('Assumptions MH'!$Q$11*'Cash Flow MH'!BF30)/BF$16*((1+BF$13)^('Cash Flow MH'!BF5-1)))</f>
        <v>35456.196950340491</v>
      </c>
      <c r="BG41" s="1664">
        <f>(('Assumptions MH'!$Q$11*'Cash Flow MH'!BG30)/BG$16*((1+BG$13)^('Cash Flow MH'!BG5-1)))</f>
        <v>34949.806765883113</v>
      </c>
      <c r="BH41" s="1664">
        <f>(('Assumptions MH'!$Q$11*'Cash Flow MH'!BH30)/BH$16*((1+BH$13)^('Cash Flow MH'!BH5-1)))</f>
        <v>35146.401936532668</v>
      </c>
      <c r="BI41" s="1664">
        <f>(('Assumptions MH'!$Q$11*'Cash Flow MH'!BI30)/BI$16*((1+BI$13)^('Cash Flow MH'!BI5-1)))</f>
        <v>38103.640370836969</v>
      </c>
      <c r="BJ41" s="1664">
        <f>(('Assumptions MH'!$Q$11*'Cash Flow MH'!BJ30)/BJ$16*((1+BJ$13)^('Cash Flow MH'!BJ5-1)))</f>
        <v>32825.088697084568</v>
      </c>
      <c r="BK41" s="1664">
        <f>(('Assumptions MH'!$Q$11*'Cash Flow MH'!BK30)/BK$16*((1+BK$13)^('Cash Flow MH'!BK5-1)))</f>
        <v>29166.297817080394</v>
      </c>
      <c r="BL41" s="1664">
        <f>(('Assumptions MH'!$Q$11*'Cash Flow MH'!BL30)/BL$16*((1+BL$13)^('Cash Flow MH'!BL5-1)))</f>
        <v>27991.561429522499</v>
      </c>
      <c r="BM41" s="1664">
        <f>(('Assumptions MH'!$Q$11*'Cash Flow MH'!BM30)/BM$16*((1+BM$13)^('Cash Flow MH'!BM5-1)))</f>
        <v>30762.409873974379</v>
      </c>
      <c r="BN41" s="1664">
        <f>(('Assumptions MH'!$Q$11*'Cash Flow MH'!BN30)/BN$16*((1+BN$13)^('Cash Flow MH'!BN5-1)))</f>
        <v>38057.176850403426</v>
      </c>
      <c r="BO41" s="1664">
        <f>(('Assumptions MH'!$Q$11*'Cash Flow MH'!BO30)/BO$16*((1+BO$13)^('Cash Flow MH'!BO5-1)))</f>
        <v>37015.48896711049</v>
      </c>
      <c r="BP41" s="1664">
        <f>(('Assumptions MH'!$Q$11*'Cash Flow MH'!BP30)/BP$16*((1+BP$13)^('Cash Flow MH'!BP5-1)))</f>
        <v>38066.32740987694</v>
      </c>
      <c r="BQ41" s="1664">
        <f>(('Assumptions MH'!$Q$11*'Cash Flow MH'!BQ30)/BQ$16*((1+BQ$13)^('Cash Flow MH'!BQ5-1)))</f>
        <v>36616.996861005238</v>
      </c>
      <c r="BR41" s="1664">
        <f>(('Assumptions MH'!$Q$11*'Cash Flow MH'!BR30)/BR$16*((1+BR$13)^('Cash Flow MH'!BR5-1)))</f>
        <v>36519.882858850702</v>
      </c>
      <c r="BS41" s="1664">
        <f>(('Assumptions MH'!$Q$11*'Cash Flow MH'!BS30)/BS$16*((1+BS$13)^('Cash Flow MH'!BS5-1)))</f>
        <v>35998.300968859599</v>
      </c>
      <c r="BT41" s="1664">
        <f>(('Assumptions MH'!$Q$11*'Cash Flow MH'!BT30)/BT$16*((1+BT$13)^('Cash Flow MH'!BT5-1)))</f>
        <v>36200.793994628642</v>
      </c>
      <c r="BU41" s="1664">
        <f>(('Assumptions MH'!$Q$11*'Cash Flow MH'!BU30)/BU$16*((1+BU$13)^('Cash Flow MH'!BU5-1)))</f>
        <v>39246.749581962074</v>
      </c>
      <c r="BV41" s="1664">
        <f>(('Assumptions MH'!$Q$11*'Cash Flow MH'!BV30)/BV$16*((1+BV$13)^('Cash Flow MH'!BV5-1)))</f>
        <v>33809.841357997102</v>
      </c>
      <c r="BW41" s="1664">
        <f>(('Assumptions MH'!$Q$11*'Cash Flow MH'!BW30)/BW$16*((1+BW$13)^('Cash Flow MH'!BW5-1)))</f>
        <v>30041.286751592801</v>
      </c>
      <c r="BX41" s="1664">
        <f>(('Assumptions MH'!$Q$11*'Cash Flow MH'!BX30)/BX$16*((1+BX$13)^('Cash Flow MH'!BX5-1)))</f>
        <v>28831.308272408176</v>
      </c>
      <c r="BY41" s="1664">
        <f>(('Assumptions MH'!$Q$11*'Cash Flow MH'!BY30)/BY$16*((1+BY$13)^('Cash Flow MH'!BY5-1)))</f>
        <v>31685.282170193612</v>
      </c>
      <c r="BZ41" s="1664">
        <f>(('Assumptions MH'!$Q$11*'Cash Flow MH'!BZ30)/BZ$16*((1+BZ$13)^('Cash Flow MH'!BZ5-1)))</f>
        <v>39198.892155915535</v>
      </c>
      <c r="CA41" s="1664">
        <f>(('Assumptions MH'!$Q$11*'Cash Flow MH'!CA30)/CA$16*((1+CA$13)^('Cash Flow MH'!CA5-1)))</f>
        <v>38125.953636123806</v>
      </c>
      <c r="CB41" s="1664">
        <f>(('Assumptions MH'!$Q$11*'Cash Flow MH'!CB30)/CB$16*((1+CB$13)^('Cash Flow MH'!CB5-1)))</f>
        <v>39208.317232173256</v>
      </c>
      <c r="CC41" s="1664">
        <f>(('Assumptions MH'!$Q$11*'Cash Flow MH'!CC30)/CC$16*((1+CC$13)^('Cash Flow MH'!CC5-1)))</f>
        <v>37715.506766835402</v>
      </c>
      <c r="CD41" s="1664">
        <f>(('Assumptions MH'!$Q$11*'Cash Flow MH'!CD30)/CD$16*((1+CD$13)^('Cash Flow MH'!CD5-1)))</f>
        <v>37615.479344616222</v>
      </c>
      <c r="CE41" s="1664">
        <f>(('Assumptions MH'!$Q$11*'Cash Flow MH'!CE30)/CE$16*((1+CE$13)^('Cash Flow MH'!CE5-1)))</f>
        <v>37078.249997925392</v>
      </c>
      <c r="CF41" s="1664">
        <f>(('Assumptions MH'!$Q$11*'Cash Flow MH'!CF30)/CF$16*((1+CF$13)^('Cash Flow MH'!CF5-1)))</f>
        <v>37286.817814467504</v>
      </c>
      <c r="CG41" s="1664">
        <f>(('Assumptions MH'!$Q$11*'Cash Flow MH'!CG30)/CG$16*((1+CG$13)^('Cash Flow MH'!CG5-1)))</f>
        <v>40424.152069420939</v>
      </c>
      <c r="CH41" s="1664">
        <f>(('Assumptions MH'!$Q$11*'Cash Flow MH'!CH30)/CH$16*((1+CH$13)^('Cash Flow MH'!CH5-1)))</f>
        <v>34824.136598737015</v>
      </c>
      <c r="CI41" s="1664">
        <f>(('Assumptions MH'!$Q$11*'Cash Flow MH'!CI30)/CI$16*((1+CI$13)^('Cash Flow MH'!CI5-1)))</f>
        <v>30942.525354140587</v>
      </c>
      <c r="CJ41" s="1664">
        <f>(('Assumptions MH'!$Q$11*'Cash Flow MH'!CJ30)/CJ$16*((1+CJ$13)^('Cash Flow MH'!CJ5-1)))</f>
        <v>29696.247520580422</v>
      </c>
      <c r="CK41" s="1664">
        <f>(('Assumptions MH'!$Q$11*'Cash Flow MH'!CK30)/CK$16*((1+CK$13)^('Cash Flow MH'!CK5-1)))</f>
        <v>33801.406372274403</v>
      </c>
      <c r="CL41" s="1664">
        <f>(('Assumptions MH'!$Q$11*'Cash Flow MH'!CL30)/CL$16*((1+CL$13)^('Cash Flow MH'!CL5-1)))</f>
        <v>40374.858920593004</v>
      </c>
      <c r="CM41" s="1664">
        <f>(('Assumptions MH'!$Q$11*'Cash Flow MH'!CM30)/CM$16*((1+CM$13)^('Cash Flow MH'!CM5-1)))</f>
        <v>39269.732245207524</v>
      </c>
      <c r="CN41" s="1664">
        <f>(('Assumptions MH'!$Q$11*'Cash Flow MH'!CN30)/CN$16*((1+CN$13)^('Cash Flow MH'!CN5-1)))</f>
        <v>40384.566749138452</v>
      </c>
      <c r="CO41" s="1664">
        <f>(('Assumptions MH'!$Q$11*'Cash Flow MH'!CO30)/CO$16*((1+CO$13)^('Cash Flow MH'!CO5-1)))</f>
        <v>38846.971969840466</v>
      </c>
      <c r="CP41" s="1664">
        <f>(('Assumptions MH'!$Q$11*'Cash Flow MH'!CP30)/CP$16*((1+CP$13)^('Cash Flow MH'!CP5-1)))</f>
        <v>38743.943724954712</v>
      </c>
      <c r="CQ41" s="1664">
        <f>(('Assumptions MH'!$Q$11*'Cash Flow MH'!CQ30)/CQ$16*((1+CQ$13)^('Cash Flow MH'!CQ5-1)))</f>
        <v>38190.597497863157</v>
      </c>
      <c r="CR41" s="1664">
        <f>(('Assumptions MH'!$Q$11*'Cash Flow MH'!CR30)/CR$16*((1+CR$13)^('Cash Flow MH'!CR5-1)))</f>
        <v>38405.422348901535</v>
      </c>
      <c r="CS41" s="1664">
        <f>(('Assumptions MH'!$Q$11*'Cash Flow MH'!CS30)/CS$16*((1+CS$13)^('Cash Flow MH'!CS5-1)))</f>
        <v>41636.876631503575</v>
      </c>
      <c r="CT41" s="1664">
        <f>(('Assumptions MH'!$Q$11*'Cash Flow MH'!CT30)/CT$16*((1+CT$13)^('Cash Flow MH'!CT5-1)))</f>
        <v>35868.860696699128</v>
      </c>
      <c r="CU41" s="1664">
        <f>(('Assumptions MH'!$Q$11*'Cash Flow MH'!CU30)/CU$16*((1+CU$13)^('Cash Flow MH'!CU5-1)))</f>
        <v>31870.801114764807</v>
      </c>
      <c r="CV41" s="1664">
        <f>(('Assumptions MH'!$Q$11*'Cash Flow MH'!CV30)/CV$16*((1+CV$13)^('Cash Flow MH'!CV5-1)))</f>
        <v>30587.134946197832</v>
      </c>
      <c r="CW41" s="1664">
        <f>(('Assumptions MH'!$Q$11*'Cash Flow MH'!CW30)/CW$16*((1+CW$13)^('Cash Flow MH'!CW5-1)))</f>
        <v>33614.915854358405</v>
      </c>
      <c r="CX41" s="1664">
        <f>(('Assumptions MH'!$Q$11*'Cash Flow MH'!CX30)/CX$16*((1+CX$13)^('Cash Flow MH'!CX5-1)))</f>
        <v>41586.104688210784</v>
      </c>
      <c r="CY41" s="1664">
        <f>(('Assumptions MH'!$Q$11*'Cash Flow MH'!CY30)/CY$16*((1+CY$13)^('Cash Flow MH'!CY5-1)))</f>
        <v>40447.824212563748</v>
      </c>
      <c r="CZ41" s="1664">
        <f>(('Assumptions MH'!$Q$11*'Cash Flow MH'!CZ30)/CZ$16*((1+CZ$13)^('Cash Flow MH'!CZ5-1)))</f>
        <v>41596.103751612602</v>
      </c>
      <c r="DA41" s="1664">
        <f>(('Assumptions MH'!$Q$11*'Cash Flow MH'!DA30)/DA$16*((1+DA$13)^('Cash Flow MH'!DA5-1)))</f>
        <v>40012.381128935674</v>
      </c>
      <c r="DB41" s="1664">
        <f>(('Assumptions MH'!$Q$11*'Cash Flow MH'!DB30)/DB$16*((1+DB$13)^('Cash Flow MH'!DB5-1)))</f>
        <v>39906.262036703352</v>
      </c>
      <c r="DC41" s="1664">
        <f>(('Assumptions MH'!$Q$11*'Cash Flow MH'!DC30)/DC$16*((1+DC$13)^('Cash Flow MH'!DC5-1)))</f>
        <v>39336.315422799045</v>
      </c>
      <c r="DD41" s="1664">
        <f>(('Assumptions MH'!$Q$11*'Cash Flow MH'!DD30)/DD$16*((1+DD$13)^('Cash Flow MH'!DD5-1)))</f>
        <v>39557.585019368569</v>
      </c>
      <c r="DE41" s="1664">
        <f>(('Assumptions MH'!$Q$11*'Cash Flow MH'!DE30)/DE$16*((1+DE$13)^('Cash Flow MH'!DE5-1)))</f>
        <v>42885.982930448678</v>
      </c>
      <c r="DF41" s="1664">
        <f>(('Assumptions MH'!$Q$11*'Cash Flow MH'!DF30)/DF$16*((1+DF$13)^('Cash Flow MH'!DF5-1)))</f>
        <v>36944.926517600099</v>
      </c>
      <c r="DG41" s="1664">
        <f>(('Assumptions MH'!$Q$11*'Cash Flow MH'!DG30)/DG$16*((1+DG$13)^('Cash Flow MH'!DG5-1)))</f>
        <v>32826.925148207745</v>
      </c>
      <c r="DH41" s="1664">
        <f>(('Assumptions MH'!$Q$11*'Cash Flow MH'!DH30)/DH$16*((1+DH$13)^('Cash Flow MH'!DH5-1)))</f>
        <v>31504.74899458377</v>
      </c>
      <c r="DI41" s="1664">
        <f>(('Assumptions MH'!$Q$11*'Cash Flow MH'!DI30)/DI$16*((1+DI$13)^('Cash Flow MH'!DI5-1)))</f>
        <v>34623.363329989152</v>
      </c>
      <c r="DJ41" s="1664">
        <f>(('Assumptions MH'!$Q$11*'Cash Flow MH'!DJ30)/DJ$16*((1+DJ$13)^('Cash Flow MH'!DJ5-1)))</f>
        <v>42833.68782885711</v>
      </c>
      <c r="DK41" s="1664">
        <f>(('Assumptions MH'!$Q$11*'Cash Flow MH'!DK30)/DK$16*((1+DK$13)^('Cash Flow MH'!DK5-1)))</f>
        <v>41661.258938940657</v>
      </c>
      <c r="DL41" s="1664">
        <f>(('Assumptions MH'!$Q$11*'Cash Flow MH'!DL30)/DL$16*((1+DL$13)^('Cash Flow MH'!DL5-1)))</f>
        <v>42843.986864160979</v>
      </c>
      <c r="DM41" s="1664">
        <f>(('Assumptions MH'!$Q$11*'Cash Flow MH'!DM30)/DM$16*((1+DM$13)^('Cash Flow MH'!DM5-1)))</f>
        <v>41212.75256280374</v>
      </c>
      <c r="DN41" s="1664">
        <f>(('Assumptions MH'!$Q$11*'Cash Flow MH'!DN30)/DN$16*((1+DN$13)^('Cash Flow MH'!DN5-1)))</f>
        <v>41103.44989780445</v>
      </c>
      <c r="DO41" s="1664">
        <f>(('Assumptions MH'!$Q$11*'Cash Flow MH'!DO30)/DO$16*((1+DO$13)^('Cash Flow MH'!DO5-1)))</f>
        <v>40516.404885483018</v>
      </c>
      <c r="DP41" s="1664">
        <f>(('Assumptions MH'!$Q$11*'Cash Flow MH'!DP30)/DP$16*((1+DP$13)^('Cash Flow MH'!DP5-1)))</f>
        <v>40744.31256994963</v>
      </c>
      <c r="DQ41" s="1664">
        <f>(('Assumptions MH'!$Q$11*'Cash Flow MH'!DQ30)/DQ$16*((1+DQ$13)^('Cash Flow MH'!DQ5-1)))</f>
        <v>44172.562418362133</v>
      </c>
      <c r="DR41" s="1664">
        <f>(('Assumptions MH'!$Q$11*'Cash Flow MH'!DR30)/DR$16*((1+DR$13)^('Cash Flow MH'!DR5-1)))</f>
        <v>38053.274313128102</v>
      </c>
      <c r="DS41" s="1664">
        <f>(('Assumptions MH'!$Q$11*'Cash Flow MH'!DS30)/DS$16*((1+DS$13)^('Cash Flow MH'!DS5-1)))</f>
        <v>33811.732902653981</v>
      </c>
      <c r="DT41" s="1485" t="s">
        <v>65</v>
      </c>
    </row>
    <row r="42" spans="1:124">
      <c r="B42" s="1724" t="s">
        <v>1081</v>
      </c>
      <c r="D42" s="1726">
        <f>(('Assumptions MH'!$Q$12*'Cash Flow MH'!D30)/D$16*((1+D$13)^('Cash Flow MH'!D5-1)))</f>
        <v>1300.1566726472722</v>
      </c>
      <c r="E42" s="1726">
        <f>(('Assumptions MH'!$Q$12*'Cash Flow MH'!E30)/E$16*((1+E$13)^('Cash Flow MH'!E5-1)))</f>
        <v>1684.010624118928</v>
      </c>
      <c r="F42" s="1726">
        <f>(('Assumptions MH'!$Q$12*'Cash Flow MH'!F30)/F$16*((1+F$13)^('Cash Flow MH'!F5-1)))</f>
        <v>2399.0024851552821</v>
      </c>
      <c r="G42" s="1726">
        <f>(('Assumptions MH'!$Q$12*'Cash Flow MH'!G30)/G$16*((1+G$13)^('Cash Flow MH'!G5-1)))</f>
        <v>2640.3559528386513</v>
      </c>
      <c r="H42" s="1726">
        <f>(('Assumptions MH'!$Q$12*'Cash Flow MH'!H30)/H$16*((1+H$13)^('Cash Flow MH'!H5-1)))</f>
        <v>3031.0475458157111</v>
      </c>
      <c r="I42" s="1726">
        <f>(('Assumptions MH'!$Q$12*'Cash Flow MH'!I30)/I$16*((1+I$13)^('Cash Flow MH'!I5-1)))</f>
        <v>3219.3568979879528</v>
      </c>
      <c r="J42" s="1726">
        <f>(('Assumptions MH'!$Q$12*'Cash Flow MH'!J30)/J$16*((1+J$13)^('Cash Flow MH'!J5-1)))</f>
        <v>3513.7260807808957</v>
      </c>
      <c r="K42" s="1726">
        <f>(('Assumptions MH'!$Q$12*'Cash Flow MH'!K30)/K$16*((1+K$13)^('Cash Flow MH'!K5-1)))</f>
        <v>3762.123827374086</v>
      </c>
      <c r="L42" s="1726">
        <f>(('Assumptions MH'!$Q$12*'Cash Flow MH'!L30)/L$16*((1+L$13)^('Cash Flow MH'!L5-1)))</f>
        <v>3885.3747148532607</v>
      </c>
      <c r="M42" s="1726">
        <f>(('Assumptions MH'!$Q$12*'Cash Flow MH'!M30)/M$16*((1+M$13)^('Cash Flow MH'!M5-1)))</f>
        <v>4322.9708441197818</v>
      </c>
      <c r="N42" s="1726">
        <f>(('Assumptions MH'!$Q$12*'Cash Flow MH'!N30)/N$16*((1+N$13)^('Cash Flow MH'!N5-1)))</f>
        <v>3819.4495482506732</v>
      </c>
      <c r="O42" s="1726">
        <f>(('Assumptions MH'!$Q$12*'Cash Flow MH'!O30)/O$16*((1+O$13)^('Cash Flow MH'!O5-1)))</f>
        <v>3478.4397570378915</v>
      </c>
      <c r="P42" s="1726">
        <f>(('Assumptions MH'!$Q$12*'Cash Flow MH'!P30)/P$16*((1+P$13)^('Cash Flow MH'!P5-1)))</f>
        <v>3419.6442198967279</v>
      </c>
      <c r="Q42" s="1726">
        <f>(('Assumptions MH'!$Q$12*'Cash Flow MH'!Q30)/Q$16*((1+Q$13)^('Cash Flow MH'!Q5-1)))</f>
        <v>3847.5050004869918</v>
      </c>
      <c r="R42" s="1726">
        <f>(('Assumptions MH'!$Q$12*'Cash Flow MH'!R30)/R$16*((1+R$13)^('Cash Flow MH'!R5-1)))</f>
        <v>4870.4169663756456</v>
      </c>
      <c r="S42" s="1726">
        <f>(('Assumptions MH'!$Q$12*'Cash Flow MH'!S30)/S$16*((1+S$13)^('Cash Flow MH'!S5-1)))</f>
        <v>4844.6233480712535</v>
      </c>
      <c r="T42" s="1726">
        <f>(('Assumptions MH'!$Q$12*'Cash Flow MH'!T30)/T$16*((1+T$13)^('Cash Flow MH'!T5-1)))</f>
        <v>5092.7281983852345</v>
      </c>
      <c r="U42" s="1726">
        <f>(('Assumptions MH'!$Q$12*'Cash Flow MH'!U30)/U$16*((1+U$13)^('Cash Flow MH'!U5-1)))</f>
        <v>5005.1888376265524</v>
      </c>
      <c r="V42" s="1726">
        <f>(('Assumptions MH'!$Q$12*'Cash Flow MH'!V30)/V$16*((1+V$13)^('Cash Flow MH'!V5-1)))</f>
        <v>4991.9142940749289</v>
      </c>
      <c r="W42" s="1726">
        <f>(('Assumptions MH'!$Q$12*'Cash Flow MH'!W30)/W$16*((1+W$13)^('Cash Flow MH'!W5-1)))</f>
        <v>4920.6191012003937</v>
      </c>
      <c r="X42" s="1726">
        <f>(('Assumptions MH'!$Q$12*'Cash Flow MH'!X30)/X$16*((1+X$13)^('Cash Flow MH'!X5-1)))</f>
        <v>4948.2979366910158</v>
      </c>
      <c r="Y42" s="1726">
        <f>(('Assumptions MH'!$Q$12*'Cash Flow MH'!Y30)/Y$16*((1+Y$13)^('Cash Flow MH'!Y5-1)))</f>
        <v>5364.6505655944284</v>
      </c>
      <c r="Z42" s="1726">
        <f>(('Assumptions MH'!$Q$12*'Cash Flow MH'!Z30)/Z$16*((1+Z$13)^('Cash Flow MH'!Z5-1)))</f>
        <v>4621.4778674868639</v>
      </c>
      <c r="AA42" s="1726">
        <f>(('Assumptions MH'!$Q$12*'Cash Flow MH'!AA30)/AA$16*((1+AA$13)^('Cash Flow MH'!AA5-1)))</f>
        <v>4106.3529510017515</v>
      </c>
      <c r="AB42" s="1726">
        <f>(('Assumptions MH'!$Q$12*'Cash Flow MH'!AB30)/AB$16*((1+AB$13)^('Cash Flow MH'!AB5-1)))</f>
        <v>3940.9606114614035</v>
      </c>
      <c r="AC42" s="1726">
        <f>(('Assumptions MH'!$Q$12*'Cash Flow MH'!AC30)/AC$16*((1+AC$13)^('Cash Flow MH'!AC5-1)))</f>
        <v>4331.0712027339905</v>
      </c>
      <c r="AD42" s="1726">
        <f>(('Assumptions MH'!$Q$12*'Cash Flow MH'!AD30)/AD$16*((1+AD$13)^('Cash Flow MH'!AD5-1)))</f>
        <v>5358.1089189499762</v>
      </c>
      <c r="AE42" s="1726">
        <f>(('Assumptions MH'!$Q$12*'Cash Flow MH'!AE30)/AE$16*((1+AE$13)^('Cash Flow MH'!AE5-1)))</f>
        <v>5211.4486146353947</v>
      </c>
      <c r="AF42" s="1726">
        <f>(('Assumptions MH'!$Q$12*'Cash Flow MH'!AF30)/AF$16*((1+AF$13)^('Cash Flow MH'!AF5-1)))</f>
        <v>5359.3972355931455</v>
      </c>
      <c r="AG42" s="1726">
        <f>(('Assumptions MH'!$Q$12*'Cash Flow MH'!AG30)/AG$16*((1+AG$13)^('Cash Flow MH'!AG5-1)))</f>
        <v>5155.3445027553498</v>
      </c>
      <c r="AH42" s="1726">
        <f>(('Assumptions MH'!$Q$12*'Cash Flow MH'!AH30)/AH$16*((1+AH$13)^('Cash Flow MH'!AH5-1)))</f>
        <v>5141.6717228971756</v>
      </c>
      <c r="AI42" s="1726">
        <f>(('Assumptions MH'!$Q$12*'Cash Flow MH'!AI30)/AI$16*((1+AI$13)^('Cash Flow MH'!AI5-1)))</f>
        <v>5068.2376742364049</v>
      </c>
      <c r="AJ42" s="1726">
        <f>(('Assumptions MH'!$Q$12*'Cash Flow MH'!AJ30)/AJ$16*((1+AJ$13)^('Cash Flow MH'!AJ5-1)))</f>
        <v>5096.7468747917455</v>
      </c>
      <c r="AK42" s="1726">
        <f>(('Assumptions MH'!$Q$12*'Cash Flow MH'!AK30)/AK$16*((1+AK$13)^('Cash Flow MH'!AK5-1)))</f>
        <v>5525.5900825622612</v>
      </c>
      <c r="AL42" s="1726">
        <f>(('Assumptions MH'!$Q$12*'Cash Flow MH'!AL30)/AL$16*((1+AL$13)^('Cash Flow MH'!AL5-1)))</f>
        <v>4760.1222035114688</v>
      </c>
      <c r="AM42" s="1726">
        <f>(('Assumptions MH'!$Q$12*'Cash Flow MH'!AM30)/AM$16*((1+AM$13)^('Cash Flow MH'!AM5-1)))</f>
        <v>4229.5435395318036</v>
      </c>
      <c r="AN42" s="1726">
        <f>(('Assumptions MH'!$Q$12*'Cash Flow MH'!AN30)/AN$16*((1+AN$13)^('Cash Flow MH'!AN5-1)))</f>
        <v>4059.1894298052457</v>
      </c>
      <c r="AO42" s="1726">
        <f>(('Assumptions MH'!$Q$12*'Cash Flow MH'!AO30)/AO$16*((1+AO$13)^('Cash Flow MH'!AO5-1)))</f>
        <v>4620.3248866308677</v>
      </c>
      <c r="AP42" s="1726">
        <f>(('Assumptions MH'!$Q$12*'Cash Flow MH'!AP30)/AP$16*((1+AP$13)^('Cash Flow MH'!AP5-1)))</f>
        <v>5518.8521865184757</v>
      </c>
      <c r="AQ42" s="1726">
        <f>(('Assumptions MH'!$Q$12*'Cash Flow MH'!AQ30)/AQ$16*((1+AQ$13)^('Cash Flow MH'!AQ5-1)))</f>
        <v>5367.7920730744563</v>
      </c>
      <c r="AR42" s="1726">
        <f>(('Assumptions MH'!$Q$12*'Cash Flow MH'!AR30)/AR$16*((1+AR$13)^('Cash Flow MH'!AR5-1)))</f>
        <v>5520.1791526609404</v>
      </c>
      <c r="AS42" s="1726">
        <f>(('Assumptions MH'!$Q$12*'Cash Flow MH'!AS30)/AS$16*((1+AS$13)^('Cash Flow MH'!AS5-1)))</f>
        <v>5310.0048378380106</v>
      </c>
      <c r="AT42" s="1726">
        <f>(('Assumptions MH'!$Q$12*'Cash Flow MH'!AT30)/AT$16*((1+AT$13)^('Cash Flow MH'!AT5-1)))</f>
        <v>5295.9218745840917</v>
      </c>
      <c r="AU42" s="1726">
        <f>(('Assumptions MH'!$Q$12*'Cash Flow MH'!AU30)/AU$16*((1+AU$13)^('Cash Flow MH'!AU5-1)))</f>
        <v>5220.2848044634975</v>
      </c>
      <c r="AV42" s="1726">
        <f>(('Assumptions MH'!$Q$12*'Cash Flow MH'!AV30)/AV$16*((1+AV$13)^('Cash Flow MH'!AV5-1)))</f>
        <v>5249.6492810354985</v>
      </c>
      <c r="AW42" s="1726">
        <f>(('Assumptions MH'!$Q$12*'Cash Flow MH'!AW30)/AW$16*((1+AW$13)^('Cash Flow MH'!AW5-1)))</f>
        <v>5691.3577850391284</v>
      </c>
      <c r="AX42" s="1726">
        <f>(('Assumptions MH'!$Q$12*'Cash Flow MH'!AX30)/AX$16*((1+AX$13)^('Cash Flow MH'!AX5-1)))</f>
        <v>4902.9258696168135</v>
      </c>
      <c r="AY42" s="1726">
        <f>(('Assumptions MH'!$Q$12*'Cash Flow MH'!AY30)/AY$16*((1+AY$13)^('Cash Flow MH'!AY5-1)))</f>
        <v>4356.4298457177583</v>
      </c>
      <c r="AZ42" s="1726">
        <f>(('Assumptions MH'!$Q$12*'Cash Flow MH'!AZ30)/AZ$16*((1+AZ$13)^('Cash Flow MH'!AZ5-1)))</f>
        <v>4180.9651126994031</v>
      </c>
      <c r="BA42" s="1726">
        <f>(('Assumptions MH'!$Q$12*'Cash Flow MH'!BA30)/BA$16*((1+BA$13)^('Cash Flow MH'!BA5-1)))</f>
        <v>4594.8334389804904</v>
      </c>
      <c r="BB42" s="1726">
        <f>(('Assumptions MH'!$Q$12*'Cash Flow MH'!BB30)/BB$16*((1+BB$13)^('Cash Flow MH'!BB5-1)))</f>
        <v>5684.41775211403</v>
      </c>
      <c r="BC42" s="1726">
        <f>(('Assumptions MH'!$Q$12*'Cash Flow MH'!BC30)/BC$16*((1+BC$13)^('Cash Flow MH'!BC5-1)))</f>
        <v>5528.8258352666899</v>
      </c>
      <c r="BD42" s="1726">
        <f>(('Assumptions MH'!$Q$12*'Cash Flow MH'!BD30)/BD$16*((1+BD$13)^('Cash Flow MH'!BD5-1)))</f>
        <v>5685.7845272407685</v>
      </c>
      <c r="BE42" s="1726">
        <f>(('Assumptions MH'!$Q$12*'Cash Flow MH'!BE30)/BE$16*((1+BE$13)^('Cash Flow MH'!BE5-1)))</f>
        <v>5469.3049829731508</v>
      </c>
      <c r="BF42" s="1726">
        <f>(('Assumptions MH'!$Q$12*'Cash Flow MH'!BF30)/BF$16*((1+BF$13)^('Cash Flow MH'!BF5-1)))</f>
        <v>5454.7995308216141</v>
      </c>
      <c r="BG42" s="1726">
        <f>(('Assumptions MH'!$Q$12*'Cash Flow MH'!BG30)/BG$16*((1+BG$13)^('Cash Flow MH'!BG5-1)))</f>
        <v>5376.8933485974021</v>
      </c>
      <c r="BH42" s="1726">
        <f>(('Assumptions MH'!$Q$12*'Cash Flow MH'!BH30)/BH$16*((1+BH$13)^('Cash Flow MH'!BH5-1)))</f>
        <v>5407.138759466563</v>
      </c>
      <c r="BI42" s="1726">
        <f>(('Assumptions MH'!$Q$12*'Cash Flow MH'!BI30)/BI$16*((1+BI$13)^('Cash Flow MH'!BI5-1)))</f>
        <v>5862.0985185903019</v>
      </c>
      <c r="BJ42" s="1726">
        <f>(('Assumptions MH'!$Q$12*'Cash Flow MH'!BJ30)/BJ$16*((1+BJ$13)^('Cash Flow MH'!BJ5-1)))</f>
        <v>5050.0136457053177</v>
      </c>
      <c r="BK42" s="1726">
        <f>(('Assumptions MH'!$Q$12*'Cash Flow MH'!BK30)/BK$16*((1+BK$13)^('Cash Flow MH'!BK5-1)))</f>
        <v>4487.1227410892907</v>
      </c>
      <c r="BL42" s="1726">
        <f>(('Assumptions MH'!$Q$12*'Cash Flow MH'!BL30)/BL$16*((1+BL$13)^('Cash Flow MH'!BL5-1)))</f>
        <v>4306.3940660803846</v>
      </c>
      <c r="BM42" s="1726">
        <f>(('Assumptions MH'!$Q$12*'Cash Flow MH'!BM30)/BM$16*((1+BM$13)^('Cash Flow MH'!BM5-1)))</f>
        <v>4732.6784421499051</v>
      </c>
      <c r="BN42" s="1726">
        <f>(('Assumptions MH'!$Q$12*'Cash Flow MH'!BN30)/BN$16*((1+BN$13)^('Cash Flow MH'!BN5-1)))</f>
        <v>5854.9502846774503</v>
      </c>
      <c r="BO42" s="1726">
        <f>(('Assumptions MH'!$Q$12*'Cash Flow MH'!BO30)/BO$16*((1+BO$13)^('Cash Flow MH'!BO5-1)))</f>
        <v>5694.6906103246902</v>
      </c>
      <c r="BP42" s="1726">
        <f>(('Assumptions MH'!$Q$12*'Cash Flow MH'!BP30)/BP$16*((1+BP$13)^('Cash Flow MH'!BP5-1)))</f>
        <v>5856.3580630579909</v>
      </c>
      <c r="BQ42" s="1726">
        <f>(('Assumptions MH'!$Q$12*'Cash Flow MH'!BQ30)/BQ$16*((1+BQ$13)^('Cash Flow MH'!BQ5-1)))</f>
        <v>5633.3841324623445</v>
      </c>
      <c r="BR42" s="1726">
        <f>(('Assumptions MH'!$Q$12*'Cash Flow MH'!BR30)/BR$16*((1+BR$13)^('Cash Flow MH'!BR5-1)))</f>
        <v>5618.4435167462616</v>
      </c>
      <c r="BS42" s="1726">
        <f>(('Assumptions MH'!$Q$12*'Cash Flow MH'!BS30)/BS$16*((1+BS$13)^('Cash Flow MH'!BS5-1)))</f>
        <v>5538.2001490553239</v>
      </c>
      <c r="BT42" s="1726">
        <f>(('Assumptions MH'!$Q$12*'Cash Flow MH'!BT30)/BT$16*((1+BT$13)^('Cash Flow MH'!BT5-1)))</f>
        <v>5569.3529222505595</v>
      </c>
      <c r="BU42" s="1726">
        <f>(('Assumptions MH'!$Q$12*'Cash Flow MH'!BU30)/BU$16*((1+BU$13)^('Cash Flow MH'!BU5-1)))</f>
        <v>6037.9614741480109</v>
      </c>
      <c r="BV42" s="1726">
        <f>(('Assumptions MH'!$Q$12*'Cash Flow MH'!BV30)/BV$16*((1+BV$13)^('Cash Flow MH'!BV5-1)))</f>
        <v>5201.5140550764763</v>
      </c>
      <c r="BW42" s="1726">
        <f>(('Assumptions MH'!$Q$12*'Cash Flow MH'!BW30)/BW$16*((1+BW$13)^('Cash Flow MH'!BW5-1)))</f>
        <v>4621.7364233219687</v>
      </c>
      <c r="BX42" s="1726">
        <f>(('Assumptions MH'!$Q$12*'Cash Flow MH'!BX30)/BX$16*((1+BX$13)^('Cash Flow MH'!BX5-1)))</f>
        <v>4435.5858880627966</v>
      </c>
      <c r="BY42" s="1726">
        <f>(('Assumptions MH'!$Q$12*'Cash Flow MH'!BY30)/BY$16*((1+BY$13)^('Cash Flow MH'!BY5-1)))</f>
        <v>4874.6587954144024</v>
      </c>
      <c r="BZ42" s="1726">
        <f>(('Assumptions MH'!$Q$12*'Cash Flow MH'!BZ30)/BZ$16*((1+BZ$13)^('Cash Flow MH'!BZ5-1)))</f>
        <v>6030.5987932177741</v>
      </c>
      <c r="CA42" s="1726">
        <f>(('Assumptions MH'!$Q$12*'Cash Flow MH'!CA30)/CA$16*((1+CA$13)^('Cash Flow MH'!CA5-1)))</f>
        <v>5865.5313286344317</v>
      </c>
      <c r="CB42" s="1726">
        <f>(('Assumptions MH'!$Q$12*'Cash Flow MH'!CB30)/CB$16*((1+CB$13)^('Cash Flow MH'!CB5-1)))</f>
        <v>6032.0488049497308</v>
      </c>
      <c r="CC42" s="1726">
        <f>(('Assumptions MH'!$Q$12*'Cash Flow MH'!CC30)/CC$16*((1+CC$13)^('Cash Flow MH'!CC5-1)))</f>
        <v>5802.385656436215</v>
      </c>
      <c r="CD42" s="1726">
        <f>(('Assumptions MH'!$Q$12*'Cash Flow MH'!CD30)/CD$16*((1+CD$13)^('Cash Flow MH'!CD5-1)))</f>
        <v>5786.9968222486505</v>
      </c>
      <c r="CE42" s="1726">
        <f>(('Assumptions MH'!$Q$12*'Cash Flow MH'!CE30)/CE$16*((1+CE$13)^('Cash Flow MH'!CE5-1)))</f>
        <v>5704.3461535269835</v>
      </c>
      <c r="CF42" s="1726">
        <f>(('Assumptions MH'!$Q$12*'Cash Flow MH'!CF30)/CF$16*((1+CF$13)^('Cash Flow MH'!CF5-1)))</f>
        <v>5736.4335099180762</v>
      </c>
      <c r="CG42" s="1726">
        <f>(('Assumptions MH'!$Q$12*'Cash Flow MH'!CG30)/CG$16*((1+CG$13)^('Cash Flow MH'!CG5-1)))</f>
        <v>6219.1003183724515</v>
      </c>
      <c r="CH42" s="1726">
        <f>(('Assumptions MH'!$Q$12*'Cash Flow MH'!CH30)/CH$16*((1+CH$13)^('Cash Flow MH'!CH5-1)))</f>
        <v>5357.5594767287712</v>
      </c>
      <c r="CI42" s="1726">
        <f>(('Assumptions MH'!$Q$12*'Cash Flow MH'!CI30)/CI$16*((1+CI$13)^('Cash Flow MH'!CI5-1)))</f>
        <v>4760.3885160216287</v>
      </c>
      <c r="CJ42" s="1726">
        <f>(('Assumptions MH'!$Q$12*'Cash Flow MH'!CJ30)/CJ$16*((1+CJ$13)^('Cash Flow MH'!CJ5-1)))</f>
        <v>4568.6534647046801</v>
      </c>
      <c r="CK42" s="1726">
        <f>(('Assumptions MH'!$Q$12*'Cash Flow MH'!CK30)/CK$16*((1+CK$13)^('Cash Flow MH'!CK5-1)))</f>
        <v>5200.2163649652921</v>
      </c>
      <c r="CL42" s="1726">
        <f>(('Assumptions MH'!$Q$12*'Cash Flow MH'!CL30)/CL$16*((1+CL$13)^('Cash Flow MH'!CL5-1)))</f>
        <v>6211.5167570143076</v>
      </c>
      <c r="CM42" s="1726">
        <f>(('Assumptions MH'!$Q$12*'Cash Flow MH'!CM30)/CM$16*((1+CM$13)^('Cash Flow MH'!CM5-1)))</f>
        <v>6041.4972684934646</v>
      </c>
      <c r="CN42" s="1726">
        <f>(('Assumptions MH'!$Q$12*'Cash Flow MH'!CN30)/CN$16*((1+CN$13)^('Cash Flow MH'!CN5-1)))</f>
        <v>6213.010269098223</v>
      </c>
      <c r="CO42" s="1726">
        <f>(('Assumptions MH'!$Q$12*'Cash Flow MH'!CO30)/CO$16*((1+CO$13)^('Cash Flow MH'!CO5-1)))</f>
        <v>5976.4572261293024</v>
      </c>
      <c r="CP42" s="1726">
        <f>(('Assumptions MH'!$Q$12*'Cash Flow MH'!CP30)/CP$16*((1+CP$13)^('Cash Flow MH'!CP5-1)))</f>
        <v>5960.6067269161103</v>
      </c>
      <c r="CQ42" s="1726">
        <f>(('Assumptions MH'!$Q$12*'Cash Flow MH'!CQ30)/CQ$16*((1+CQ$13)^('Cash Flow MH'!CQ5-1)))</f>
        <v>5875.4765381327934</v>
      </c>
      <c r="CR42" s="1726">
        <f>(('Assumptions MH'!$Q$12*'Cash Flow MH'!CR30)/CR$16*((1+CR$13)^('Cash Flow MH'!CR5-1)))</f>
        <v>5908.5265152156189</v>
      </c>
      <c r="CS42" s="1726">
        <f>(('Assumptions MH'!$Q$12*'Cash Flow MH'!CS30)/CS$16*((1+CS$13)^('Cash Flow MH'!CS5-1)))</f>
        <v>6405.6733279236259</v>
      </c>
      <c r="CT42" s="1726">
        <f>(('Assumptions MH'!$Q$12*'Cash Flow MH'!CT30)/CT$16*((1+CT$13)^('Cash Flow MH'!CT5-1)))</f>
        <v>5518.2862610306347</v>
      </c>
      <c r="CU42" s="1726">
        <f>(('Assumptions MH'!$Q$12*'Cash Flow MH'!CU30)/CU$16*((1+CU$13)^('Cash Flow MH'!CU5-1)))</f>
        <v>4903.200171502278</v>
      </c>
      <c r="CV42" s="1726">
        <f>(('Assumptions MH'!$Q$12*'Cash Flow MH'!CV30)/CV$16*((1+CV$13)^('Cash Flow MH'!CV5-1)))</f>
        <v>4705.7130686458204</v>
      </c>
      <c r="CW42" s="1726">
        <f>(('Assumptions MH'!$Q$12*'Cash Flow MH'!CW30)/CW$16*((1+CW$13)^('Cash Flow MH'!CW5-1)))</f>
        <v>5171.5255160551387</v>
      </c>
      <c r="CX42" s="1726">
        <f>(('Assumptions MH'!$Q$12*'Cash Flow MH'!CX30)/CX$16*((1+CX$13)^('Cash Flow MH'!CX5-1)))</f>
        <v>6397.8622597247368</v>
      </c>
      <c r="CY42" s="1726">
        <f>(('Assumptions MH'!$Q$12*'Cash Flow MH'!CY30)/CY$16*((1+CY$13)^('Cash Flow MH'!CY5-1)))</f>
        <v>6222.7421865482675</v>
      </c>
      <c r="CZ42" s="1726">
        <f>(('Assumptions MH'!$Q$12*'Cash Flow MH'!CZ30)/CZ$16*((1+CZ$13)^('Cash Flow MH'!CZ5-1)))</f>
        <v>6399.4005771711691</v>
      </c>
      <c r="DA42" s="1726">
        <f>(('Assumptions MH'!$Q$12*'Cash Flow MH'!DA30)/DA$16*((1+DA$13)^('Cash Flow MH'!DA5-1)))</f>
        <v>6155.7509429131806</v>
      </c>
      <c r="DB42" s="1726">
        <f>(('Assumptions MH'!$Q$12*'Cash Flow MH'!DB30)/DB$16*((1+DB$13)^('Cash Flow MH'!DB5-1)))</f>
        <v>6139.4249287235925</v>
      </c>
      <c r="DC42" s="1726">
        <f>(('Assumptions MH'!$Q$12*'Cash Flow MH'!DC30)/DC$16*((1+DC$13)^('Cash Flow MH'!DC5-1)))</f>
        <v>6051.7408342767767</v>
      </c>
      <c r="DD42" s="1726">
        <f>(('Assumptions MH'!$Q$12*'Cash Flow MH'!DD30)/DD$16*((1+DD$13)^('Cash Flow MH'!DD5-1)))</f>
        <v>6085.7823106720871</v>
      </c>
      <c r="DE42" s="1726">
        <f>(('Assumptions MH'!$Q$12*'Cash Flow MH'!DE30)/DE$16*((1+DE$13)^('Cash Flow MH'!DE5-1)))</f>
        <v>6597.8435277613335</v>
      </c>
      <c r="DF42" s="1726">
        <f>(('Assumptions MH'!$Q$12*'Cash Flow MH'!DF30)/DF$16*((1+DF$13)^('Cash Flow MH'!DF5-1)))</f>
        <v>5683.8348488615529</v>
      </c>
      <c r="DG42" s="1726">
        <f>(('Assumptions MH'!$Q$12*'Cash Flow MH'!DG30)/DG$16*((1+DG$13)^('Cash Flow MH'!DG5-1)))</f>
        <v>5050.2961766473454</v>
      </c>
      <c r="DH42" s="1726">
        <f>(('Assumptions MH'!$Q$12*'Cash Flow MH'!DH30)/DH$16*((1+DH$13)^('Cash Flow MH'!DH5-1)))</f>
        <v>4846.8844607051951</v>
      </c>
      <c r="DI42" s="1726">
        <f>(('Assumptions MH'!$Q$12*'Cash Flow MH'!DI30)/DI$16*((1+DI$13)^('Cash Flow MH'!DI5-1)))</f>
        <v>5326.6712815367937</v>
      </c>
      <c r="DJ42" s="1726">
        <f>(('Assumptions MH'!$Q$12*'Cash Flow MH'!DJ30)/DJ$16*((1+DJ$13)^('Cash Flow MH'!DJ5-1)))</f>
        <v>6589.7981275164784</v>
      </c>
      <c r="DK42" s="1726">
        <f>(('Assumptions MH'!$Q$12*'Cash Flow MH'!DK30)/DK$16*((1+DK$13)^('Cash Flow MH'!DK5-1)))</f>
        <v>6409.4244521447163</v>
      </c>
      <c r="DL42" s="1726">
        <f>(('Assumptions MH'!$Q$12*'Cash Flow MH'!DL30)/DL$16*((1+DL$13)^('Cash Flow MH'!DL5-1)))</f>
        <v>6591.3825944863047</v>
      </c>
      <c r="DM42" s="1726">
        <f>(('Assumptions MH'!$Q$12*'Cash Flow MH'!DM30)/DM$16*((1+DM$13)^('Cash Flow MH'!DM5-1)))</f>
        <v>6340.4234712005764</v>
      </c>
      <c r="DN42" s="1726">
        <f>(('Assumptions MH'!$Q$12*'Cash Flow MH'!DN30)/DN$16*((1+DN$13)^('Cash Flow MH'!DN5-1)))</f>
        <v>6323.6076765853004</v>
      </c>
      <c r="DO42" s="1726">
        <f>(('Assumptions MH'!$Q$12*'Cash Flow MH'!DO30)/DO$16*((1+DO$13)^('Cash Flow MH'!DO5-1)))</f>
        <v>6233.2930593050805</v>
      </c>
      <c r="DP42" s="1726">
        <f>(('Assumptions MH'!$Q$12*'Cash Flow MH'!DP30)/DP$16*((1+DP$13)^('Cash Flow MH'!DP5-1)))</f>
        <v>6268.3557799922501</v>
      </c>
      <c r="DQ42" s="1726">
        <f>(('Assumptions MH'!$Q$12*'Cash Flow MH'!DQ30)/DQ$16*((1+DQ$13)^('Cash Flow MH'!DQ5-1)))</f>
        <v>6795.7788335941741</v>
      </c>
      <c r="DR42" s="1726">
        <f>(('Assumptions MH'!$Q$12*'Cash Flow MH'!DR30)/DR$16*((1+DR$13)^('Cash Flow MH'!DR5-1)))</f>
        <v>5854.3498943273999</v>
      </c>
      <c r="DS42" s="1726">
        <f>(('Assumptions MH'!$Q$12*'Cash Flow MH'!DS30)/DS$16*((1+DS$13)^('Cash Flow MH'!DS5-1)))</f>
        <v>5201.8050619467658</v>
      </c>
      <c r="DT42" s="1485" t="s">
        <v>65</v>
      </c>
    </row>
    <row r="43" spans="1:124">
      <c r="B43" s="1724" t="s">
        <v>1082</v>
      </c>
      <c r="D43" s="1726">
        <f>(('Assumptions MH'!$Q$13*'Cash Flow MH'!D30)/D$16*((1+D$13)^('Cash Flow MH'!D5-1)))</f>
        <v>2600.3133452945444</v>
      </c>
      <c r="E43" s="1726">
        <f>(('Assumptions MH'!$Q$13*'Cash Flow MH'!E30)/E$16*((1+E$13)^('Cash Flow MH'!E5-1)))</f>
        <v>3368.0212482378561</v>
      </c>
      <c r="F43" s="1726">
        <f>(('Assumptions MH'!$Q$13*'Cash Flow MH'!F30)/F$16*((1+F$13)^('Cash Flow MH'!F5-1)))</f>
        <v>4798.0049703105642</v>
      </c>
      <c r="G43" s="1726">
        <f>(('Assumptions MH'!$Q$13*'Cash Flow MH'!G30)/G$16*((1+G$13)^('Cash Flow MH'!G5-1)))</f>
        <v>5280.7119056773026</v>
      </c>
      <c r="H43" s="1726">
        <f>(('Assumptions MH'!$Q$13*'Cash Flow MH'!H30)/H$16*((1+H$13)^('Cash Flow MH'!H5-1)))</f>
        <v>6062.0950916314223</v>
      </c>
      <c r="I43" s="1726">
        <f>(('Assumptions MH'!$Q$13*'Cash Flow MH'!I30)/I$16*((1+I$13)^('Cash Flow MH'!I5-1)))</f>
        <v>6438.7137959759057</v>
      </c>
      <c r="J43" s="1726">
        <f>(('Assumptions MH'!$Q$13*'Cash Flow MH'!J30)/J$16*((1+J$13)^('Cash Flow MH'!J5-1)))</f>
        <v>7027.4521615617914</v>
      </c>
      <c r="K43" s="1726">
        <f>(('Assumptions MH'!$Q$13*'Cash Flow MH'!K30)/K$16*((1+K$13)^('Cash Flow MH'!K5-1)))</f>
        <v>7524.247654748172</v>
      </c>
      <c r="L43" s="1726">
        <f>(('Assumptions MH'!$Q$13*'Cash Flow MH'!L30)/L$16*((1+L$13)^('Cash Flow MH'!L5-1)))</f>
        <v>7770.7494297065214</v>
      </c>
      <c r="M43" s="1726">
        <f>(('Assumptions MH'!$Q$13*'Cash Flow MH'!M30)/M$16*((1+M$13)^('Cash Flow MH'!M5-1)))</f>
        <v>8645.9416882395635</v>
      </c>
      <c r="N43" s="1726">
        <f>(('Assumptions MH'!$Q$13*'Cash Flow MH'!N30)/N$16*((1+N$13)^('Cash Flow MH'!N5-1)))</f>
        <v>7638.8990965013463</v>
      </c>
      <c r="O43" s="1726">
        <f>(('Assumptions MH'!$Q$13*'Cash Flow MH'!O30)/O$16*((1+O$13)^('Cash Flow MH'!O5-1)))</f>
        <v>6956.8795140757829</v>
      </c>
      <c r="P43" s="1726">
        <f>(('Assumptions MH'!$Q$13*'Cash Flow MH'!P30)/P$16*((1+P$13)^('Cash Flow MH'!P5-1)))</f>
        <v>6839.2884397934558</v>
      </c>
      <c r="Q43" s="1726">
        <f>(('Assumptions MH'!$Q$13*'Cash Flow MH'!Q30)/Q$16*((1+Q$13)^('Cash Flow MH'!Q5-1)))</f>
        <v>7695.0100009739836</v>
      </c>
      <c r="R43" s="1726">
        <f>(('Assumptions MH'!$Q$13*'Cash Flow MH'!R30)/R$16*((1+R$13)^('Cash Flow MH'!R5-1)))</f>
        <v>9740.8339327512913</v>
      </c>
      <c r="S43" s="1726">
        <f>(('Assumptions MH'!$Q$13*'Cash Flow MH'!S30)/S$16*((1+S$13)^('Cash Flow MH'!S5-1)))</f>
        <v>9689.2466961425071</v>
      </c>
      <c r="T43" s="1726">
        <f>(('Assumptions MH'!$Q$13*'Cash Flow MH'!T30)/T$16*((1+T$13)^('Cash Flow MH'!T5-1)))</f>
        <v>10185.456396770469</v>
      </c>
      <c r="U43" s="1726">
        <f>(('Assumptions MH'!$Q$13*'Cash Flow MH'!U30)/U$16*((1+U$13)^('Cash Flow MH'!U5-1)))</f>
        <v>10010.377675253105</v>
      </c>
      <c r="V43" s="1726">
        <f>(('Assumptions MH'!$Q$13*'Cash Flow MH'!V30)/V$16*((1+V$13)^('Cash Flow MH'!V5-1)))</f>
        <v>9983.8285881498578</v>
      </c>
      <c r="W43" s="1726">
        <f>(('Assumptions MH'!$Q$13*'Cash Flow MH'!W30)/W$16*((1+W$13)^('Cash Flow MH'!W5-1)))</f>
        <v>9841.2382024007875</v>
      </c>
      <c r="X43" s="1726">
        <f>(('Assumptions MH'!$Q$13*'Cash Flow MH'!X30)/X$16*((1+X$13)^('Cash Flow MH'!X5-1)))</f>
        <v>9896.5958733820316</v>
      </c>
      <c r="Y43" s="1726">
        <f>(('Assumptions MH'!$Q$13*'Cash Flow MH'!Y30)/Y$16*((1+Y$13)^('Cash Flow MH'!Y5-1)))</f>
        <v>10729.301131188857</v>
      </c>
      <c r="Z43" s="1726">
        <f>(('Assumptions MH'!$Q$13*'Cash Flow MH'!Z30)/Z$16*((1+Z$13)^('Cash Flow MH'!Z5-1)))</f>
        <v>9242.9557349737279</v>
      </c>
      <c r="AA43" s="1726">
        <f>(('Assumptions MH'!$Q$13*'Cash Flow MH'!AA30)/AA$16*((1+AA$13)^('Cash Flow MH'!AA5-1)))</f>
        <v>8212.7059020035031</v>
      </c>
      <c r="AB43" s="1726">
        <f>(('Assumptions MH'!$Q$13*'Cash Flow MH'!AB30)/AB$16*((1+AB$13)^('Cash Flow MH'!AB5-1)))</f>
        <v>7881.9212229228069</v>
      </c>
      <c r="AC43" s="1726">
        <f>(('Assumptions MH'!$Q$13*'Cash Flow MH'!AC30)/AC$16*((1+AC$13)^('Cash Flow MH'!AC5-1)))</f>
        <v>8662.142405467981</v>
      </c>
      <c r="AD43" s="1726">
        <f>(('Assumptions MH'!$Q$13*'Cash Flow MH'!AD30)/AD$16*((1+AD$13)^('Cash Flow MH'!AD5-1)))</f>
        <v>10716.217837899952</v>
      </c>
      <c r="AE43" s="1726">
        <f>(('Assumptions MH'!$Q$13*'Cash Flow MH'!AE30)/AE$16*((1+AE$13)^('Cash Flow MH'!AE5-1)))</f>
        <v>10422.897229270789</v>
      </c>
      <c r="AF43" s="1726">
        <f>(('Assumptions MH'!$Q$13*'Cash Flow MH'!AF30)/AF$16*((1+AF$13)^('Cash Flow MH'!AF5-1)))</f>
        <v>10718.794471186291</v>
      </c>
      <c r="AG43" s="1726">
        <f>(('Assumptions MH'!$Q$13*'Cash Flow MH'!AG30)/AG$16*((1+AG$13)^('Cash Flow MH'!AG5-1)))</f>
        <v>10310.6890055107</v>
      </c>
      <c r="AH43" s="1726">
        <f>(('Assumptions MH'!$Q$13*'Cash Flow MH'!AH30)/AH$16*((1+AH$13)^('Cash Flow MH'!AH5-1)))</f>
        <v>10283.343445794351</v>
      </c>
      <c r="AI43" s="1726">
        <f>(('Assumptions MH'!$Q$13*'Cash Flow MH'!AI30)/AI$16*((1+AI$13)^('Cash Flow MH'!AI5-1)))</f>
        <v>10136.47534847281</v>
      </c>
      <c r="AJ43" s="1726">
        <f>(('Assumptions MH'!$Q$13*'Cash Flow MH'!AJ30)/AJ$16*((1+AJ$13)^('Cash Flow MH'!AJ5-1)))</f>
        <v>10193.493749583491</v>
      </c>
      <c r="AK43" s="1726">
        <f>(('Assumptions MH'!$Q$13*'Cash Flow MH'!AK30)/AK$16*((1+AK$13)^('Cash Flow MH'!AK5-1)))</f>
        <v>11051.180165124522</v>
      </c>
      <c r="AL43" s="1726">
        <f>(('Assumptions MH'!$Q$13*'Cash Flow MH'!AL30)/AL$16*((1+AL$13)^('Cash Flow MH'!AL5-1)))</f>
        <v>9520.2444070229376</v>
      </c>
      <c r="AM43" s="1726">
        <f>(('Assumptions MH'!$Q$13*'Cash Flow MH'!AM30)/AM$16*((1+AM$13)^('Cash Flow MH'!AM5-1)))</f>
        <v>8459.0870790636072</v>
      </c>
      <c r="AN43" s="1726">
        <f>(('Assumptions MH'!$Q$13*'Cash Flow MH'!AN30)/AN$16*((1+AN$13)^('Cash Flow MH'!AN5-1)))</f>
        <v>8118.3788596104914</v>
      </c>
      <c r="AO43" s="1726">
        <f>(('Assumptions MH'!$Q$13*'Cash Flow MH'!AO30)/AO$16*((1+AO$13)^('Cash Flow MH'!AO5-1)))</f>
        <v>9240.6497732617354</v>
      </c>
      <c r="AP43" s="1726">
        <f>(('Assumptions MH'!$Q$13*'Cash Flow MH'!AP30)/AP$16*((1+AP$13)^('Cash Flow MH'!AP5-1)))</f>
        <v>11037.704373036951</v>
      </c>
      <c r="AQ43" s="1726">
        <f>(('Assumptions MH'!$Q$13*'Cash Flow MH'!AQ30)/AQ$16*((1+AQ$13)^('Cash Flow MH'!AQ5-1)))</f>
        <v>10735.584146148913</v>
      </c>
      <c r="AR43" s="1726">
        <f>(('Assumptions MH'!$Q$13*'Cash Flow MH'!AR30)/AR$16*((1+AR$13)^('Cash Flow MH'!AR5-1)))</f>
        <v>11040.358305321881</v>
      </c>
      <c r="AS43" s="1726">
        <f>(('Assumptions MH'!$Q$13*'Cash Flow MH'!AS30)/AS$16*((1+AS$13)^('Cash Flow MH'!AS5-1)))</f>
        <v>10620.009675676021</v>
      </c>
      <c r="AT43" s="1726">
        <f>(('Assumptions MH'!$Q$13*'Cash Flow MH'!AT30)/AT$16*((1+AT$13)^('Cash Flow MH'!AT5-1)))</f>
        <v>10591.843749168183</v>
      </c>
      <c r="AU43" s="1726">
        <f>(('Assumptions MH'!$Q$13*'Cash Flow MH'!AU30)/AU$16*((1+AU$13)^('Cash Flow MH'!AU5-1)))</f>
        <v>10440.569608926995</v>
      </c>
      <c r="AV43" s="1726">
        <f>(('Assumptions MH'!$Q$13*'Cash Flow MH'!AV30)/AV$16*((1+AV$13)^('Cash Flow MH'!AV5-1)))</f>
        <v>10499.298562070997</v>
      </c>
      <c r="AW43" s="1726">
        <f>(('Assumptions MH'!$Q$13*'Cash Flow MH'!AW30)/AW$16*((1+AW$13)^('Cash Flow MH'!AW5-1)))</f>
        <v>11382.715570078257</v>
      </c>
      <c r="AX43" s="1726">
        <f>(('Assumptions MH'!$Q$13*'Cash Flow MH'!AX30)/AX$16*((1+AX$13)^('Cash Flow MH'!AX5-1)))</f>
        <v>9805.8517392336271</v>
      </c>
      <c r="AY43" s="1726">
        <f>(('Assumptions MH'!$Q$13*'Cash Flow MH'!AY30)/AY$16*((1+AY$13)^('Cash Flow MH'!AY5-1)))</f>
        <v>8712.8596914355167</v>
      </c>
      <c r="AZ43" s="1726">
        <f>(('Assumptions MH'!$Q$13*'Cash Flow MH'!AZ30)/AZ$16*((1+AZ$13)^('Cash Flow MH'!AZ5-1)))</f>
        <v>8361.9302253988062</v>
      </c>
      <c r="BA43" s="1726">
        <f>(('Assumptions MH'!$Q$13*'Cash Flow MH'!BA30)/BA$16*((1+BA$13)^('Cash Flow MH'!BA5-1)))</f>
        <v>9189.6668779609809</v>
      </c>
      <c r="BB43" s="1726">
        <f>(('Assumptions MH'!$Q$13*'Cash Flow MH'!BB30)/BB$16*((1+BB$13)^('Cash Flow MH'!BB5-1)))</f>
        <v>11368.83550422806</v>
      </c>
      <c r="BC43" s="1726">
        <f>(('Assumptions MH'!$Q$13*'Cash Flow MH'!BC30)/BC$16*((1+BC$13)^('Cash Flow MH'!BC5-1)))</f>
        <v>11057.65167053338</v>
      </c>
      <c r="BD43" s="1726">
        <f>(('Assumptions MH'!$Q$13*'Cash Flow MH'!BD30)/BD$16*((1+BD$13)^('Cash Flow MH'!BD5-1)))</f>
        <v>11371.569054481537</v>
      </c>
      <c r="BE43" s="1726">
        <f>(('Assumptions MH'!$Q$13*'Cash Flow MH'!BE30)/BE$16*((1+BE$13)^('Cash Flow MH'!BE5-1)))</f>
        <v>10938.609965946302</v>
      </c>
      <c r="BF43" s="1726">
        <f>(('Assumptions MH'!$Q$13*'Cash Flow MH'!BF30)/BF$16*((1+BF$13)^('Cash Flow MH'!BF5-1)))</f>
        <v>10909.599061643228</v>
      </c>
      <c r="BG43" s="1726">
        <f>(('Assumptions MH'!$Q$13*'Cash Flow MH'!BG30)/BG$16*((1+BG$13)^('Cash Flow MH'!BG5-1)))</f>
        <v>10753.786697194804</v>
      </c>
      <c r="BH43" s="1726">
        <f>(('Assumptions MH'!$Q$13*'Cash Flow MH'!BH30)/BH$16*((1+BH$13)^('Cash Flow MH'!BH5-1)))</f>
        <v>10814.277518933126</v>
      </c>
      <c r="BI43" s="1726">
        <f>(('Assumptions MH'!$Q$13*'Cash Flow MH'!BI30)/BI$16*((1+BI$13)^('Cash Flow MH'!BI5-1)))</f>
        <v>11724.197037180604</v>
      </c>
      <c r="BJ43" s="1726">
        <f>(('Assumptions MH'!$Q$13*'Cash Flow MH'!BJ30)/BJ$16*((1+BJ$13)^('Cash Flow MH'!BJ5-1)))</f>
        <v>10100.027291410635</v>
      </c>
      <c r="BK43" s="1726">
        <f>(('Assumptions MH'!$Q$13*'Cash Flow MH'!BK30)/BK$16*((1+BK$13)^('Cash Flow MH'!BK5-1)))</f>
        <v>8974.2454821785814</v>
      </c>
      <c r="BL43" s="1726">
        <f>(('Assumptions MH'!$Q$13*'Cash Flow MH'!BL30)/BL$16*((1+BL$13)^('Cash Flow MH'!BL5-1)))</f>
        <v>8612.7881321607692</v>
      </c>
      <c r="BM43" s="1726">
        <f>(('Assumptions MH'!$Q$13*'Cash Flow MH'!BM30)/BM$16*((1+BM$13)^('Cash Flow MH'!BM5-1)))</f>
        <v>9465.3568842998102</v>
      </c>
      <c r="BN43" s="1726">
        <f>(('Assumptions MH'!$Q$13*'Cash Flow MH'!BN30)/BN$16*((1+BN$13)^('Cash Flow MH'!BN5-1)))</f>
        <v>11709.900569354901</v>
      </c>
      <c r="BO43" s="1726">
        <f>(('Assumptions MH'!$Q$13*'Cash Flow MH'!BO30)/BO$16*((1+BO$13)^('Cash Flow MH'!BO5-1)))</f>
        <v>11389.38122064938</v>
      </c>
      <c r="BP43" s="1726">
        <f>(('Assumptions MH'!$Q$13*'Cash Flow MH'!BP30)/BP$16*((1+BP$13)^('Cash Flow MH'!BP5-1)))</f>
        <v>11712.716126115982</v>
      </c>
      <c r="BQ43" s="1726">
        <f>(('Assumptions MH'!$Q$13*'Cash Flow MH'!BQ30)/BQ$16*((1+BQ$13)^('Cash Flow MH'!BQ5-1)))</f>
        <v>11266.768264924689</v>
      </c>
      <c r="BR43" s="1726">
        <f>(('Assumptions MH'!$Q$13*'Cash Flow MH'!BR30)/BR$16*((1+BR$13)^('Cash Flow MH'!BR5-1)))</f>
        <v>11236.887033492523</v>
      </c>
      <c r="BS43" s="1726">
        <f>(('Assumptions MH'!$Q$13*'Cash Flow MH'!BS30)/BS$16*((1+BS$13)^('Cash Flow MH'!BS5-1)))</f>
        <v>11076.400298110648</v>
      </c>
      <c r="BT43" s="1726">
        <f>(('Assumptions MH'!$Q$13*'Cash Flow MH'!BT30)/BT$16*((1+BT$13)^('Cash Flow MH'!BT5-1)))</f>
        <v>11138.705844501119</v>
      </c>
      <c r="BU43" s="1726">
        <f>(('Assumptions MH'!$Q$13*'Cash Flow MH'!BU30)/BU$16*((1+BU$13)^('Cash Flow MH'!BU5-1)))</f>
        <v>12075.922948296022</v>
      </c>
      <c r="BV43" s="1726">
        <f>(('Assumptions MH'!$Q$13*'Cash Flow MH'!BV30)/BV$16*((1+BV$13)^('Cash Flow MH'!BV5-1)))</f>
        <v>10403.028110152953</v>
      </c>
      <c r="BW43" s="1726">
        <f>(('Assumptions MH'!$Q$13*'Cash Flow MH'!BW30)/BW$16*((1+BW$13)^('Cash Flow MH'!BW5-1)))</f>
        <v>9243.4728466439374</v>
      </c>
      <c r="BX43" s="1726">
        <f>(('Assumptions MH'!$Q$13*'Cash Flow MH'!BX30)/BX$16*((1+BX$13)^('Cash Flow MH'!BX5-1)))</f>
        <v>8871.1717761255932</v>
      </c>
      <c r="BY43" s="1726">
        <f>(('Assumptions MH'!$Q$13*'Cash Flow MH'!BY30)/BY$16*((1+BY$13)^('Cash Flow MH'!BY5-1)))</f>
        <v>9749.3175908288049</v>
      </c>
      <c r="BZ43" s="1726">
        <f>(('Assumptions MH'!$Q$13*'Cash Flow MH'!BZ30)/BZ$16*((1+BZ$13)^('Cash Flow MH'!BZ5-1)))</f>
        <v>12061.197586435548</v>
      </c>
      <c r="CA43" s="1726">
        <f>(('Assumptions MH'!$Q$13*'Cash Flow MH'!CA30)/CA$16*((1+CA$13)^('Cash Flow MH'!CA5-1)))</f>
        <v>11731.062657268863</v>
      </c>
      <c r="CB43" s="1726">
        <f>(('Assumptions MH'!$Q$13*'Cash Flow MH'!CB30)/CB$16*((1+CB$13)^('Cash Flow MH'!CB5-1)))</f>
        <v>12064.097609899462</v>
      </c>
      <c r="CC43" s="1726">
        <f>(('Assumptions MH'!$Q$13*'Cash Flow MH'!CC30)/CC$16*((1+CC$13)^('Cash Flow MH'!CC5-1)))</f>
        <v>11604.77131287243</v>
      </c>
      <c r="CD43" s="1726">
        <f>(('Assumptions MH'!$Q$13*'Cash Flow MH'!CD30)/CD$16*((1+CD$13)^('Cash Flow MH'!CD5-1)))</f>
        <v>11573.993644497301</v>
      </c>
      <c r="CE43" s="1726">
        <f>(('Assumptions MH'!$Q$13*'Cash Flow MH'!CE30)/CE$16*((1+CE$13)^('Cash Flow MH'!CE5-1)))</f>
        <v>11408.692307053967</v>
      </c>
      <c r="CF43" s="1726">
        <f>(('Assumptions MH'!$Q$13*'Cash Flow MH'!CF30)/CF$16*((1+CF$13)^('Cash Flow MH'!CF5-1)))</f>
        <v>11472.867019836152</v>
      </c>
      <c r="CG43" s="1726">
        <f>(('Assumptions MH'!$Q$13*'Cash Flow MH'!CG30)/CG$16*((1+CG$13)^('Cash Flow MH'!CG5-1)))</f>
        <v>12438.200636744903</v>
      </c>
      <c r="CH43" s="1726">
        <f>(('Assumptions MH'!$Q$13*'Cash Flow MH'!CH30)/CH$16*((1+CH$13)^('Cash Flow MH'!CH5-1)))</f>
        <v>10715.118953457542</v>
      </c>
      <c r="CI43" s="1726">
        <f>(('Assumptions MH'!$Q$13*'Cash Flow MH'!CI30)/CI$16*((1+CI$13)^('Cash Flow MH'!CI5-1)))</f>
        <v>9520.7770320432573</v>
      </c>
      <c r="CJ43" s="1726">
        <f>(('Assumptions MH'!$Q$13*'Cash Flow MH'!CJ30)/CJ$16*((1+CJ$13)^('Cash Flow MH'!CJ5-1)))</f>
        <v>9137.3069294093602</v>
      </c>
      <c r="CK43" s="1726">
        <f>(('Assumptions MH'!$Q$13*'Cash Flow MH'!CK30)/CK$16*((1+CK$13)^('Cash Flow MH'!CK5-1)))</f>
        <v>10400.432729930584</v>
      </c>
      <c r="CL43" s="1726">
        <f>(('Assumptions MH'!$Q$13*'Cash Flow MH'!CL30)/CL$16*((1+CL$13)^('Cash Flow MH'!CL5-1)))</f>
        <v>12423.033514028615</v>
      </c>
      <c r="CM43" s="1726">
        <f>(('Assumptions MH'!$Q$13*'Cash Flow MH'!CM30)/CM$16*((1+CM$13)^('Cash Flow MH'!CM5-1)))</f>
        <v>12082.994536986929</v>
      </c>
      <c r="CN43" s="1726">
        <f>(('Assumptions MH'!$Q$13*'Cash Flow MH'!CN30)/CN$16*((1+CN$13)^('Cash Flow MH'!CN5-1)))</f>
        <v>12426.020538196446</v>
      </c>
      <c r="CO43" s="1726">
        <f>(('Assumptions MH'!$Q$13*'Cash Flow MH'!CO30)/CO$16*((1+CO$13)^('Cash Flow MH'!CO5-1)))</f>
        <v>11952.914452258605</v>
      </c>
      <c r="CP43" s="1726">
        <f>(('Assumptions MH'!$Q$13*'Cash Flow MH'!CP30)/CP$16*((1+CP$13)^('Cash Flow MH'!CP5-1)))</f>
        <v>11921.213453832221</v>
      </c>
      <c r="CQ43" s="1726">
        <f>(('Assumptions MH'!$Q$13*'Cash Flow MH'!CQ30)/CQ$16*((1+CQ$13)^('Cash Flow MH'!CQ5-1)))</f>
        <v>11750.953076265587</v>
      </c>
      <c r="CR43" s="1726">
        <f>(('Assumptions MH'!$Q$13*'Cash Flow MH'!CR30)/CR$16*((1+CR$13)^('Cash Flow MH'!CR5-1)))</f>
        <v>11817.053030431238</v>
      </c>
      <c r="CS43" s="1726">
        <f>(('Assumptions MH'!$Q$13*'Cash Flow MH'!CS30)/CS$16*((1+CS$13)^('Cash Flow MH'!CS5-1)))</f>
        <v>12811.346655847252</v>
      </c>
      <c r="CT43" s="1726">
        <f>(('Assumptions MH'!$Q$13*'Cash Flow MH'!CT30)/CT$16*((1+CT$13)^('Cash Flow MH'!CT5-1)))</f>
        <v>11036.572522061269</v>
      </c>
      <c r="CU43" s="1726">
        <f>(('Assumptions MH'!$Q$13*'Cash Flow MH'!CU30)/CU$16*((1+CU$13)^('Cash Flow MH'!CU5-1)))</f>
        <v>9806.4003430045559</v>
      </c>
      <c r="CV43" s="1726">
        <f>(('Assumptions MH'!$Q$13*'Cash Flow MH'!CV30)/CV$16*((1+CV$13)^('Cash Flow MH'!CV5-1)))</f>
        <v>9411.4261372916408</v>
      </c>
      <c r="CW43" s="1726">
        <f>(('Assumptions MH'!$Q$13*'Cash Flow MH'!CW30)/CW$16*((1+CW$13)^('Cash Flow MH'!CW5-1)))</f>
        <v>10343.051032110277</v>
      </c>
      <c r="CX43" s="1726">
        <f>(('Assumptions MH'!$Q$13*'Cash Flow MH'!CX30)/CX$16*((1+CX$13)^('Cash Flow MH'!CX5-1)))</f>
        <v>12795.724519449474</v>
      </c>
      <c r="CY43" s="1726">
        <f>(('Assumptions MH'!$Q$13*'Cash Flow MH'!CY30)/CY$16*((1+CY$13)^('Cash Flow MH'!CY5-1)))</f>
        <v>12445.484373096535</v>
      </c>
      <c r="CZ43" s="1726">
        <f>(('Assumptions MH'!$Q$13*'Cash Flow MH'!CZ30)/CZ$16*((1+CZ$13)^('Cash Flow MH'!CZ5-1)))</f>
        <v>12798.801154342338</v>
      </c>
      <c r="DA43" s="1726">
        <f>(('Assumptions MH'!$Q$13*'Cash Flow MH'!DA30)/DA$16*((1+DA$13)^('Cash Flow MH'!DA5-1)))</f>
        <v>12311.501885826361</v>
      </c>
      <c r="DB43" s="1726">
        <f>(('Assumptions MH'!$Q$13*'Cash Flow MH'!DB30)/DB$16*((1+DB$13)^('Cash Flow MH'!DB5-1)))</f>
        <v>12278.849857447185</v>
      </c>
      <c r="DC43" s="1726">
        <f>(('Assumptions MH'!$Q$13*'Cash Flow MH'!DC30)/DC$16*((1+DC$13)^('Cash Flow MH'!DC5-1)))</f>
        <v>12103.481668553553</v>
      </c>
      <c r="DD43" s="1726">
        <f>(('Assumptions MH'!$Q$13*'Cash Flow MH'!DD30)/DD$16*((1+DD$13)^('Cash Flow MH'!DD5-1)))</f>
        <v>12171.564621344174</v>
      </c>
      <c r="DE43" s="1726">
        <f>(('Assumptions MH'!$Q$13*'Cash Flow MH'!DE30)/DE$16*((1+DE$13)^('Cash Flow MH'!DE5-1)))</f>
        <v>13195.687055522667</v>
      </c>
      <c r="DF43" s="1726">
        <f>(('Assumptions MH'!$Q$13*'Cash Flow MH'!DF30)/DF$16*((1+DF$13)^('Cash Flow MH'!DF5-1)))</f>
        <v>11367.669697723106</v>
      </c>
      <c r="DG43" s="1726">
        <f>(('Assumptions MH'!$Q$13*'Cash Flow MH'!DG30)/DG$16*((1+DG$13)^('Cash Flow MH'!DG5-1)))</f>
        <v>10100.592353294691</v>
      </c>
      <c r="DH43" s="1726">
        <f>(('Assumptions MH'!$Q$13*'Cash Flow MH'!DH30)/DH$16*((1+DH$13)^('Cash Flow MH'!DH5-1)))</f>
        <v>9693.7689214103902</v>
      </c>
      <c r="DI43" s="1726">
        <f>(('Assumptions MH'!$Q$13*'Cash Flow MH'!DI30)/DI$16*((1+DI$13)^('Cash Flow MH'!DI5-1)))</f>
        <v>10653.342563073587</v>
      </c>
      <c r="DJ43" s="1726">
        <f>(('Assumptions MH'!$Q$13*'Cash Flow MH'!DJ30)/DJ$16*((1+DJ$13)^('Cash Flow MH'!DJ5-1)))</f>
        <v>13179.596255032957</v>
      </c>
      <c r="DK43" s="1726">
        <f>(('Assumptions MH'!$Q$13*'Cash Flow MH'!DK30)/DK$16*((1+DK$13)^('Cash Flow MH'!DK5-1)))</f>
        <v>12818.848904289433</v>
      </c>
      <c r="DL43" s="1726">
        <f>(('Assumptions MH'!$Q$13*'Cash Flow MH'!DL30)/DL$16*((1+DL$13)^('Cash Flow MH'!DL5-1)))</f>
        <v>13182.765188972609</v>
      </c>
      <c r="DM43" s="1726">
        <f>(('Assumptions MH'!$Q$13*'Cash Flow MH'!DM30)/DM$16*((1+DM$13)^('Cash Flow MH'!DM5-1)))</f>
        <v>12680.846942401153</v>
      </c>
      <c r="DN43" s="1726">
        <f>(('Assumptions MH'!$Q$13*'Cash Flow MH'!DN30)/DN$16*((1+DN$13)^('Cash Flow MH'!DN5-1)))</f>
        <v>12647.215353170601</v>
      </c>
      <c r="DO43" s="1726">
        <f>(('Assumptions MH'!$Q$13*'Cash Flow MH'!DO30)/DO$16*((1+DO$13)^('Cash Flow MH'!DO5-1)))</f>
        <v>12466.586118610161</v>
      </c>
      <c r="DP43" s="1726">
        <f>(('Assumptions MH'!$Q$13*'Cash Flow MH'!DP30)/DP$16*((1+DP$13)^('Cash Flow MH'!DP5-1)))</f>
        <v>12536.7115599845</v>
      </c>
      <c r="DQ43" s="1726">
        <f>(('Assumptions MH'!$Q$13*'Cash Flow MH'!DQ30)/DQ$16*((1+DQ$13)^('Cash Flow MH'!DQ5-1)))</f>
        <v>13591.557667188348</v>
      </c>
      <c r="DR43" s="1726">
        <f>(('Assumptions MH'!$Q$13*'Cash Flow MH'!DR30)/DR$16*((1+DR$13)^('Cash Flow MH'!DR5-1)))</f>
        <v>11708.6997886548</v>
      </c>
      <c r="DS43" s="1726">
        <f>(('Assumptions MH'!$Q$13*'Cash Flow MH'!DS30)/DS$16*((1+DS$13)^('Cash Flow MH'!DS5-1)))</f>
        <v>10403.610123893532</v>
      </c>
      <c r="DT43" s="1485" t="s">
        <v>65</v>
      </c>
    </row>
    <row r="44" spans="1:124">
      <c r="B44" s="1724" t="s">
        <v>857</v>
      </c>
      <c r="D44" s="1726">
        <f ca="1">'Cash Flow MH'!D$27*'Assumptions MH'!$Q14*((1+D$13)^('Cash Flow MH'!D$5-1))</f>
        <v>39161.971640000003</v>
      </c>
      <c r="E44" s="1726">
        <f ca="1">'Cash Flow MH'!E$27*'Assumptions MH'!$Q14*((1+E$13)^('Cash Flow MH'!E$5-1))</f>
        <v>39161.971640000003</v>
      </c>
      <c r="F44" s="1726">
        <f ca="1">'Cash Flow MH'!F$27*'Assumptions MH'!$Q14*((1+F$13)^('Cash Flow MH'!F$5-1))</f>
        <v>39161.971640000003</v>
      </c>
      <c r="G44" s="1726">
        <f ca="1">'Cash Flow MH'!G$27*'Assumptions MH'!$Q14*((1+G$13)^('Cash Flow MH'!G$5-1))</f>
        <v>39161.971640000003</v>
      </c>
      <c r="H44" s="1726">
        <f ca="1">'Cash Flow MH'!H$27*'Assumptions MH'!$Q14*((1+H$13)^('Cash Flow MH'!H$5-1))</f>
        <v>39161.971640000003</v>
      </c>
      <c r="I44" s="1726">
        <f ca="1">'Cash Flow MH'!I$27*'Assumptions MH'!$Q14*((1+I$13)^('Cash Flow MH'!I$5-1))</f>
        <v>39161.971640000003</v>
      </c>
      <c r="J44" s="1726">
        <f ca="1">'Cash Flow MH'!J$27*'Assumptions MH'!$Q14*((1+J$13)^('Cash Flow MH'!J$5-1))</f>
        <v>39161.971640000003</v>
      </c>
      <c r="K44" s="1726">
        <f ca="1">'Cash Flow MH'!K$27*'Assumptions MH'!$Q14*((1+K$13)^('Cash Flow MH'!K$5-1))</f>
        <v>39161.971640000003</v>
      </c>
      <c r="L44" s="1726">
        <f ca="1">'Cash Flow MH'!L$27*'Assumptions MH'!$Q14*((1+L$13)^('Cash Flow MH'!L$5-1))</f>
        <v>39161.971640000003</v>
      </c>
      <c r="M44" s="1726">
        <f ca="1">'Cash Flow MH'!M$27*'Assumptions MH'!$Q14*((1+M$13)^('Cash Flow MH'!M$5-1))</f>
        <v>39161.971640000003</v>
      </c>
      <c r="N44" s="1726">
        <f ca="1">'Cash Flow MH'!N$27*'Assumptions MH'!$Q14*((1+N$13)^('Cash Flow MH'!N$5-1))</f>
        <v>39161.971640000003</v>
      </c>
      <c r="O44" s="1726">
        <f ca="1">'Cash Flow MH'!O$27*'Assumptions MH'!$Q14*((1+O$13)^('Cash Flow MH'!O$5-1))</f>
        <v>39161.971640000003</v>
      </c>
      <c r="P44" s="1726">
        <f ca="1">'Cash Flow MH'!P$27*'Assumptions MH'!$Q14*((1+P$13)^('Cash Flow MH'!P$5-1))</f>
        <v>40336.830789200001</v>
      </c>
      <c r="Q44" s="1726">
        <f ca="1">'Cash Flow MH'!Q$27*'Assumptions MH'!$Q14*((1+Q$13)^('Cash Flow MH'!Q$5-1))</f>
        <v>40336.830789200001</v>
      </c>
      <c r="R44" s="1726">
        <f ca="1">'Cash Flow MH'!R$27*'Assumptions MH'!$Q14*((1+R$13)^('Cash Flow MH'!R$5-1))</f>
        <v>40336.830789200001</v>
      </c>
      <c r="S44" s="1726">
        <f ca="1">'Cash Flow MH'!S$27*'Assumptions MH'!$Q14*((1+S$13)^('Cash Flow MH'!S$5-1))</f>
        <v>40336.830789200001</v>
      </c>
      <c r="T44" s="1726">
        <f ca="1">'Cash Flow MH'!T$27*'Assumptions MH'!$Q14*((1+T$13)^('Cash Flow MH'!T$5-1))</f>
        <v>40336.830789200001</v>
      </c>
      <c r="U44" s="1726">
        <f ca="1">'Cash Flow MH'!U$27*'Assumptions MH'!$Q14*((1+U$13)^('Cash Flow MH'!U$5-1))</f>
        <v>40336.830789200001</v>
      </c>
      <c r="V44" s="1726">
        <f ca="1">'Cash Flow MH'!V$27*'Assumptions MH'!$Q14*((1+V$13)^('Cash Flow MH'!V$5-1))</f>
        <v>40336.830789200001</v>
      </c>
      <c r="W44" s="1726">
        <f ca="1">'Cash Flow MH'!W$27*'Assumptions MH'!$Q14*((1+W$13)^('Cash Flow MH'!W$5-1))</f>
        <v>40336.830789200001</v>
      </c>
      <c r="X44" s="1726">
        <f ca="1">'Cash Flow MH'!X$27*'Assumptions MH'!$Q14*((1+X$13)^('Cash Flow MH'!X$5-1))</f>
        <v>40336.830789200001</v>
      </c>
      <c r="Y44" s="1726">
        <f ca="1">'Cash Flow MH'!Y$27*'Assumptions MH'!$Q14*((1+Y$13)^('Cash Flow MH'!Y$5-1))</f>
        <v>40336.830789200001</v>
      </c>
      <c r="Z44" s="1726">
        <f ca="1">'Cash Flow MH'!Z$27*'Assumptions MH'!$Q14*((1+Z$13)^('Cash Flow MH'!Z$5-1))</f>
        <v>40336.830789200001</v>
      </c>
      <c r="AA44" s="1726">
        <f ca="1">'Cash Flow MH'!AA$27*'Assumptions MH'!$Q14*((1+AA$13)^('Cash Flow MH'!AA$5-1))</f>
        <v>40336.830789200001</v>
      </c>
      <c r="AB44" s="1726">
        <f ca="1">'Cash Flow MH'!AB$27*'Assumptions MH'!$Q14*((1+AB$13)^('Cash Flow MH'!AB$5-1))</f>
        <v>41546.935712876002</v>
      </c>
      <c r="AC44" s="1726">
        <f ca="1">'Cash Flow MH'!AC$27*'Assumptions MH'!$Q14*((1+AC$13)^('Cash Flow MH'!AC$5-1))</f>
        <v>41546.935712876002</v>
      </c>
      <c r="AD44" s="1726">
        <f ca="1">'Cash Flow MH'!AD$27*'Assumptions MH'!$Q14*((1+AD$13)^('Cash Flow MH'!AD$5-1))</f>
        <v>41546.935712876002</v>
      </c>
      <c r="AE44" s="1726">
        <f ca="1">'Cash Flow MH'!AE$27*'Assumptions MH'!$Q14*((1+AE$13)^('Cash Flow MH'!AE$5-1))</f>
        <v>41546.935712876002</v>
      </c>
      <c r="AF44" s="1726">
        <f ca="1">'Cash Flow MH'!AF$27*'Assumptions MH'!$Q14*((1+AF$13)^('Cash Flow MH'!AF$5-1))</f>
        <v>41546.935712876002</v>
      </c>
      <c r="AG44" s="1726">
        <f ca="1">'Cash Flow MH'!AG$27*'Assumptions MH'!$Q14*((1+AG$13)^('Cash Flow MH'!AG$5-1))</f>
        <v>41546.935712876002</v>
      </c>
      <c r="AH44" s="1726">
        <f ca="1">'Cash Flow MH'!AH$27*'Assumptions MH'!$Q14*((1+AH$13)^('Cash Flow MH'!AH$5-1))</f>
        <v>41546.935712876002</v>
      </c>
      <c r="AI44" s="1726">
        <f ca="1">'Cash Flow MH'!AI$27*'Assumptions MH'!$Q14*((1+AI$13)^('Cash Flow MH'!AI$5-1))</f>
        <v>41546.935712876002</v>
      </c>
      <c r="AJ44" s="1726">
        <f ca="1">'Cash Flow MH'!AJ$27*'Assumptions MH'!$Q14*((1+AJ$13)^('Cash Flow MH'!AJ$5-1))</f>
        <v>41546.935712876002</v>
      </c>
      <c r="AK44" s="1726">
        <f ca="1">'Cash Flow MH'!AK$27*'Assumptions MH'!$Q14*((1+AK$13)^('Cash Flow MH'!AK$5-1))</f>
        <v>41546.935712876002</v>
      </c>
      <c r="AL44" s="1726">
        <f ca="1">'Cash Flow MH'!AL$27*'Assumptions MH'!$Q14*((1+AL$13)^('Cash Flow MH'!AL$5-1))</f>
        <v>41546.935712876002</v>
      </c>
      <c r="AM44" s="1726">
        <f ca="1">'Cash Flow MH'!AM$27*'Assumptions MH'!$Q14*((1+AM$13)^('Cash Flow MH'!AM$5-1))</f>
        <v>41546.935712876002</v>
      </c>
      <c r="AN44" s="1726">
        <f ca="1">'Cash Flow MH'!AN$27*'Assumptions MH'!$Q14*((1+AN$13)^('Cash Flow MH'!AN$5-1))</f>
        <v>42793.343784262281</v>
      </c>
      <c r="AO44" s="1726">
        <f ca="1">'Cash Flow MH'!AO$27*'Assumptions MH'!$Q14*((1+AO$13)^('Cash Flow MH'!AO$5-1))</f>
        <v>42793.343784262281</v>
      </c>
      <c r="AP44" s="1726">
        <f ca="1">'Cash Flow MH'!AP$27*'Assumptions MH'!$Q14*((1+AP$13)^('Cash Flow MH'!AP$5-1))</f>
        <v>42793.343784262281</v>
      </c>
      <c r="AQ44" s="1726">
        <f ca="1">'Cash Flow MH'!AQ$27*'Assumptions MH'!$Q14*((1+AQ$13)^('Cash Flow MH'!AQ$5-1))</f>
        <v>42793.343784262281</v>
      </c>
      <c r="AR44" s="1726">
        <f ca="1">'Cash Flow MH'!AR$27*'Assumptions MH'!$Q14*((1+AR$13)^('Cash Flow MH'!AR$5-1))</f>
        <v>42793.343784262281</v>
      </c>
      <c r="AS44" s="1726">
        <f ca="1">'Cash Flow MH'!AS$27*'Assumptions MH'!$Q14*((1+AS$13)^('Cash Flow MH'!AS$5-1))</f>
        <v>42793.343784262281</v>
      </c>
      <c r="AT44" s="1726">
        <f ca="1">'Cash Flow MH'!AT$27*'Assumptions MH'!$Q14*((1+AT$13)^('Cash Flow MH'!AT$5-1))</f>
        <v>42793.343784262281</v>
      </c>
      <c r="AU44" s="1726">
        <f ca="1">'Cash Flow MH'!AU$27*'Assumptions MH'!$Q14*((1+AU$13)^('Cash Flow MH'!AU$5-1))</f>
        <v>42793.343784262281</v>
      </c>
      <c r="AV44" s="1726">
        <f ca="1">'Cash Flow MH'!AV$27*'Assumptions MH'!$Q14*((1+AV$13)^('Cash Flow MH'!AV$5-1))</f>
        <v>42793.343784262281</v>
      </c>
      <c r="AW44" s="1726">
        <f ca="1">'Cash Flow MH'!AW$27*'Assumptions MH'!$Q14*((1+AW$13)^('Cash Flow MH'!AW$5-1))</f>
        <v>42793.343784262281</v>
      </c>
      <c r="AX44" s="1726">
        <f ca="1">'Cash Flow MH'!AX$27*'Assumptions MH'!$Q14*((1+AX$13)^('Cash Flow MH'!AX$5-1))</f>
        <v>42793.343784262281</v>
      </c>
      <c r="AY44" s="1726">
        <f ca="1">'Cash Flow MH'!AY$27*'Assumptions MH'!$Q14*((1+AY$13)^('Cash Flow MH'!AY$5-1))</f>
        <v>42793.343784262281</v>
      </c>
      <c r="AZ44" s="1726">
        <f ca="1">'Cash Flow MH'!AZ$27*'Assumptions MH'!$Q14*((1+AZ$13)^('Cash Flow MH'!AZ$5-1))</f>
        <v>44077.144097790151</v>
      </c>
      <c r="BA44" s="1726">
        <f ca="1">'Cash Flow MH'!BA$27*'Assumptions MH'!$Q14*((1+BA$13)^('Cash Flow MH'!BA$5-1))</f>
        <v>44077.144097790151</v>
      </c>
      <c r="BB44" s="1726">
        <f ca="1">'Cash Flow MH'!BB$27*'Assumptions MH'!$Q14*((1+BB$13)^('Cash Flow MH'!BB$5-1))</f>
        <v>44077.144097790151</v>
      </c>
      <c r="BC44" s="1726">
        <f ca="1">'Cash Flow MH'!BC$27*'Assumptions MH'!$Q14*((1+BC$13)^('Cash Flow MH'!BC$5-1))</f>
        <v>44077.144097790151</v>
      </c>
      <c r="BD44" s="1726">
        <f ca="1">'Cash Flow MH'!BD$27*'Assumptions MH'!$Q14*((1+BD$13)^('Cash Flow MH'!BD$5-1))</f>
        <v>44077.144097790151</v>
      </c>
      <c r="BE44" s="1726">
        <f ca="1">'Cash Flow MH'!BE$27*'Assumptions MH'!$Q14*((1+BE$13)^('Cash Flow MH'!BE$5-1))</f>
        <v>44077.144097790151</v>
      </c>
      <c r="BF44" s="1726">
        <f ca="1">'Cash Flow MH'!BF$27*'Assumptions MH'!$Q14*((1+BF$13)^('Cash Flow MH'!BF$5-1))</f>
        <v>44077.144097790151</v>
      </c>
      <c r="BG44" s="1726">
        <f ca="1">'Cash Flow MH'!BG$27*'Assumptions MH'!$Q14*((1+BG$13)^('Cash Flow MH'!BG$5-1))</f>
        <v>44077.144097790151</v>
      </c>
      <c r="BH44" s="1726">
        <f ca="1">'Cash Flow MH'!BH$27*'Assumptions MH'!$Q14*((1+BH$13)^('Cash Flow MH'!BH$5-1))</f>
        <v>44077.144097790151</v>
      </c>
      <c r="BI44" s="1726">
        <f ca="1">'Cash Flow MH'!BI$27*'Assumptions MH'!$Q14*((1+BI$13)^('Cash Flow MH'!BI$5-1))</f>
        <v>44077.144097790151</v>
      </c>
      <c r="BJ44" s="1726">
        <f ca="1">'Cash Flow MH'!BJ$27*'Assumptions MH'!$Q14*((1+BJ$13)^('Cash Flow MH'!BJ$5-1))</f>
        <v>44077.144097790151</v>
      </c>
      <c r="BK44" s="1726">
        <f ca="1">'Cash Flow MH'!BK$27*'Assumptions MH'!$Q14*((1+BK$13)^('Cash Flow MH'!BK$5-1))</f>
        <v>44077.144097790151</v>
      </c>
      <c r="BL44" s="1726">
        <f ca="1">'Cash Flow MH'!BL$27*'Assumptions MH'!$Q14*((1+BL$13)^('Cash Flow MH'!BL$5-1))</f>
        <v>45399.458420723851</v>
      </c>
      <c r="BM44" s="1726">
        <f ca="1">'Cash Flow MH'!BM$27*'Assumptions MH'!$Q14*((1+BM$13)^('Cash Flow MH'!BM$5-1))</f>
        <v>45399.458420723851</v>
      </c>
      <c r="BN44" s="1726">
        <f ca="1">'Cash Flow MH'!BN$27*'Assumptions MH'!$Q14*((1+BN$13)^('Cash Flow MH'!BN$5-1))</f>
        <v>45399.458420723851</v>
      </c>
      <c r="BO44" s="1726">
        <f ca="1">'Cash Flow MH'!BO$27*'Assumptions MH'!$Q14*((1+BO$13)^('Cash Flow MH'!BO$5-1))</f>
        <v>45399.458420723851</v>
      </c>
      <c r="BP44" s="1726">
        <f ca="1">'Cash Flow MH'!BP$27*'Assumptions MH'!$Q14*((1+BP$13)^('Cash Flow MH'!BP$5-1))</f>
        <v>45399.458420723851</v>
      </c>
      <c r="BQ44" s="1726">
        <f ca="1">'Cash Flow MH'!BQ$27*'Assumptions MH'!$Q14*((1+BQ$13)^('Cash Flow MH'!BQ$5-1))</f>
        <v>45399.458420723851</v>
      </c>
      <c r="BR44" s="1726">
        <f ca="1">'Cash Flow MH'!BR$27*'Assumptions MH'!$Q14*((1+BR$13)^('Cash Flow MH'!BR$5-1))</f>
        <v>45399.458420723851</v>
      </c>
      <c r="BS44" s="1726">
        <f ca="1">'Cash Flow MH'!BS$27*'Assumptions MH'!$Q14*((1+BS$13)^('Cash Flow MH'!BS$5-1))</f>
        <v>45399.458420723851</v>
      </c>
      <c r="BT44" s="1726">
        <f ca="1">'Cash Flow MH'!BT$27*'Assumptions MH'!$Q14*((1+BT$13)^('Cash Flow MH'!BT$5-1))</f>
        <v>45399.458420723851</v>
      </c>
      <c r="BU44" s="1726">
        <f ca="1">'Cash Flow MH'!BU$27*'Assumptions MH'!$Q14*((1+BU$13)^('Cash Flow MH'!BU$5-1))</f>
        <v>45399.458420723851</v>
      </c>
      <c r="BV44" s="1726">
        <f ca="1">'Cash Flow MH'!BV$27*'Assumptions MH'!$Q14*((1+BV$13)^('Cash Flow MH'!BV$5-1))</f>
        <v>45399.458420723851</v>
      </c>
      <c r="BW44" s="1726">
        <f ca="1">'Cash Flow MH'!BW$27*'Assumptions MH'!$Q14*((1+BW$13)^('Cash Flow MH'!BW$5-1))</f>
        <v>45399.458420723851</v>
      </c>
      <c r="BX44" s="1726">
        <f ca="1">'Cash Flow MH'!BX$27*'Assumptions MH'!$Q14*((1+BX$13)^('Cash Flow MH'!BX$5-1))</f>
        <v>46761.442173345567</v>
      </c>
      <c r="BY44" s="1726">
        <f ca="1">'Cash Flow MH'!BY$27*'Assumptions MH'!$Q14*((1+BY$13)^('Cash Flow MH'!BY$5-1))</f>
        <v>46761.442173345567</v>
      </c>
      <c r="BZ44" s="1726">
        <f ca="1">'Cash Flow MH'!BZ$27*'Assumptions MH'!$Q14*((1+BZ$13)^('Cash Flow MH'!BZ$5-1))</f>
        <v>46761.442173345567</v>
      </c>
      <c r="CA44" s="1726">
        <f ca="1">'Cash Flow MH'!CA$27*'Assumptions MH'!$Q14*((1+CA$13)^('Cash Flow MH'!CA$5-1))</f>
        <v>46761.442173345567</v>
      </c>
      <c r="CB44" s="1726">
        <f ca="1">'Cash Flow MH'!CB$27*'Assumptions MH'!$Q14*((1+CB$13)^('Cash Flow MH'!CB$5-1))</f>
        <v>46761.442173345567</v>
      </c>
      <c r="CC44" s="1726">
        <f ca="1">'Cash Flow MH'!CC$27*'Assumptions MH'!$Q14*((1+CC$13)^('Cash Flow MH'!CC$5-1))</f>
        <v>46761.442173345567</v>
      </c>
      <c r="CD44" s="1726">
        <f ca="1">'Cash Flow MH'!CD$27*'Assumptions MH'!$Q14*((1+CD$13)^('Cash Flow MH'!CD$5-1))</f>
        <v>46761.442173345567</v>
      </c>
      <c r="CE44" s="1726">
        <f ca="1">'Cash Flow MH'!CE$27*'Assumptions MH'!$Q14*((1+CE$13)^('Cash Flow MH'!CE$5-1))</f>
        <v>46761.442173345567</v>
      </c>
      <c r="CF44" s="1726">
        <f ca="1">'Cash Flow MH'!CF$27*'Assumptions MH'!$Q14*((1+CF$13)^('Cash Flow MH'!CF$5-1))</f>
        <v>46761.442173345567</v>
      </c>
      <c r="CG44" s="1726">
        <f ca="1">'Cash Flow MH'!CG$27*'Assumptions MH'!$Q14*((1+CG$13)^('Cash Flow MH'!CG$5-1))</f>
        <v>46761.442173345567</v>
      </c>
      <c r="CH44" s="1726">
        <f ca="1">'Cash Flow MH'!CH$27*'Assumptions MH'!$Q14*((1+CH$13)^('Cash Flow MH'!CH$5-1))</f>
        <v>46761.442173345567</v>
      </c>
      <c r="CI44" s="1726">
        <f ca="1">'Cash Flow MH'!CI$27*'Assumptions MH'!$Q14*((1+CI$13)^('Cash Flow MH'!CI$5-1))</f>
        <v>46761.442173345567</v>
      </c>
      <c r="CJ44" s="1726">
        <f ca="1">'Cash Flow MH'!CJ$27*'Assumptions MH'!$Q14*((1+CJ$13)^('Cash Flow MH'!CJ$5-1))</f>
        <v>48164.285438545936</v>
      </c>
      <c r="CK44" s="1726">
        <f ca="1">'Cash Flow MH'!CK$27*'Assumptions MH'!$Q14*((1+CK$13)^('Cash Flow MH'!CK$5-1))</f>
        <v>48164.285438545936</v>
      </c>
      <c r="CL44" s="1726">
        <f ca="1">'Cash Flow MH'!CL$27*'Assumptions MH'!$Q14*((1+CL$13)^('Cash Flow MH'!CL$5-1))</f>
        <v>48164.285438545936</v>
      </c>
      <c r="CM44" s="1726">
        <f ca="1">'Cash Flow MH'!CM$27*'Assumptions MH'!$Q14*((1+CM$13)^('Cash Flow MH'!CM$5-1))</f>
        <v>48164.285438545936</v>
      </c>
      <c r="CN44" s="1726">
        <f ca="1">'Cash Flow MH'!CN$27*'Assumptions MH'!$Q14*((1+CN$13)^('Cash Flow MH'!CN$5-1))</f>
        <v>48164.285438545936</v>
      </c>
      <c r="CO44" s="1726">
        <f ca="1">'Cash Flow MH'!CO$27*'Assumptions MH'!$Q14*((1+CO$13)^('Cash Flow MH'!CO$5-1))</f>
        <v>48164.285438545936</v>
      </c>
      <c r="CP44" s="1726">
        <f ca="1">'Cash Flow MH'!CP$27*'Assumptions MH'!$Q14*((1+CP$13)^('Cash Flow MH'!CP$5-1))</f>
        <v>48164.285438545936</v>
      </c>
      <c r="CQ44" s="1726">
        <f ca="1">'Cash Flow MH'!CQ$27*'Assumptions MH'!$Q14*((1+CQ$13)^('Cash Flow MH'!CQ$5-1))</f>
        <v>48164.285438545936</v>
      </c>
      <c r="CR44" s="1726">
        <f ca="1">'Cash Flow MH'!CR$27*'Assumptions MH'!$Q14*((1+CR$13)^('Cash Flow MH'!CR$5-1))</f>
        <v>48164.285438545936</v>
      </c>
      <c r="CS44" s="1726">
        <f ca="1">'Cash Flow MH'!CS$27*'Assumptions MH'!$Q14*((1+CS$13)^('Cash Flow MH'!CS$5-1))</f>
        <v>48164.285438545936</v>
      </c>
      <c r="CT44" s="1726">
        <f ca="1">'Cash Flow MH'!CT$27*'Assumptions MH'!$Q14*((1+CT$13)^('Cash Flow MH'!CT$5-1))</f>
        <v>48164.285438545936</v>
      </c>
      <c r="CU44" s="1726">
        <f ca="1">'Cash Flow MH'!CU$27*'Assumptions MH'!$Q14*((1+CU$13)^('Cash Flow MH'!CU$5-1))</f>
        <v>48164.285438545936</v>
      </c>
      <c r="CV44" s="1726">
        <f ca="1">'Cash Flow MH'!CV$27*'Assumptions MH'!$Q14*((1+CV$13)^('Cash Flow MH'!CV$5-1))</f>
        <v>49609.214001702312</v>
      </c>
      <c r="CW44" s="1726">
        <f ca="1">'Cash Flow MH'!CW$27*'Assumptions MH'!$Q14*((1+CW$13)^('Cash Flow MH'!CW$5-1))</f>
        <v>49609.214001702312</v>
      </c>
      <c r="CX44" s="1726">
        <f ca="1">'Cash Flow MH'!CX$27*'Assumptions MH'!$Q14*((1+CX$13)^('Cash Flow MH'!CX$5-1))</f>
        <v>49609.214001702312</v>
      </c>
      <c r="CY44" s="1726">
        <f ca="1">'Cash Flow MH'!CY$27*'Assumptions MH'!$Q14*((1+CY$13)^('Cash Flow MH'!CY$5-1))</f>
        <v>49609.214001702312</v>
      </c>
      <c r="CZ44" s="1726">
        <f ca="1">'Cash Flow MH'!CZ$27*'Assumptions MH'!$Q14*((1+CZ$13)^('Cash Flow MH'!CZ$5-1))</f>
        <v>49609.214001702312</v>
      </c>
      <c r="DA44" s="1726">
        <f ca="1">'Cash Flow MH'!DA$27*'Assumptions MH'!$Q14*((1+DA$13)^('Cash Flow MH'!DA$5-1))</f>
        <v>49609.214001702312</v>
      </c>
      <c r="DB44" s="1726">
        <f ca="1">'Cash Flow MH'!DB$27*'Assumptions MH'!$Q14*((1+DB$13)^('Cash Flow MH'!DB$5-1))</f>
        <v>49609.214001702312</v>
      </c>
      <c r="DC44" s="1726">
        <f ca="1">'Cash Flow MH'!DC$27*'Assumptions MH'!$Q14*((1+DC$13)^('Cash Flow MH'!DC$5-1))</f>
        <v>49609.214001702312</v>
      </c>
      <c r="DD44" s="1726">
        <f ca="1">'Cash Flow MH'!DD$27*'Assumptions MH'!$Q14*((1+DD$13)^('Cash Flow MH'!DD$5-1))</f>
        <v>49609.214001702312</v>
      </c>
      <c r="DE44" s="1726">
        <f ca="1">'Cash Flow MH'!DE$27*'Assumptions MH'!$Q14*((1+DE$13)^('Cash Flow MH'!DE$5-1))</f>
        <v>49609.214001702312</v>
      </c>
      <c r="DF44" s="1726">
        <f ca="1">'Cash Flow MH'!DF$27*'Assumptions MH'!$Q14*((1+DF$13)^('Cash Flow MH'!DF$5-1))</f>
        <v>49609.214001702312</v>
      </c>
      <c r="DG44" s="1726">
        <f ca="1">'Cash Flow MH'!DG$27*'Assumptions MH'!$Q14*((1+DG$13)^('Cash Flow MH'!DG$5-1))</f>
        <v>49609.214001702312</v>
      </c>
      <c r="DH44" s="1726">
        <f ca="1">'Cash Flow MH'!DH$27*'Assumptions MH'!$Q14*((1+DH$13)^('Cash Flow MH'!DH$5-1))</f>
        <v>51097.490421753384</v>
      </c>
      <c r="DI44" s="1726">
        <f ca="1">'Cash Flow MH'!DI$27*'Assumptions MH'!$Q14*((1+DI$13)^('Cash Flow MH'!DI$5-1))</f>
        <v>51097.490421753384</v>
      </c>
      <c r="DJ44" s="1726">
        <f ca="1">'Cash Flow MH'!DJ$27*'Assumptions MH'!$Q14*((1+DJ$13)^('Cash Flow MH'!DJ$5-1))</f>
        <v>51097.490421753384</v>
      </c>
      <c r="DK44" s="1726">
        <f ca="1">'Cash Flow MH'!DK$27*'Assumptions MH'!$Q14*((1+DK$13)^('Cash Flow MH'!DK$5-1))</f>
        <v>51097.490421753384</v>
      </c>
      <c r="DL44" s="1726">
        <f ca="1">'Cash Flow MH'!DL$27*'Assumptions MH'!$Q14*((1+DL$13)^('Cash Flow MH'!DL$5-1))</f>
        <v>51097.490421753384</v>
      </c>
      <c r="DM44" s="1726">
        <f ca="1">'Cash Flow MH'!DM$27*'Assumptions MH'!$Q14*((1+DM$13)^('Cash Flow MH'!DM$5-1))</f>
        <v>51097.490421753384</v>
      </c>
      <c r="DN44" s="1726">
        <f ca="1">'Cash Flow MH'!DN$27*'Assumptions MH'!$Q14*((1+DN$13)^('Cash Flow MH'!DN$5-1))</f>
        <v>51097.490421753384</v>
      </c>
      <c r="DO44" s="1726">
        <f ca="1">'Cash Flow MH'!DO$27*'Assumptions MH'!$Q14*((1+DO$13)^('Cash Flow MH'!DO$5-1))</f>
        <v>51097.490421753384</v>
      </c>
      <c r="DP44" s="1726">
        <f ca="1">'Cash Flow MH'!DP$27*'Assumptions MH'!$Q14*((1+DP$13)^('Cash Flow MH'!DP$5-1))</f>
        <v>51097.490421753384</v>
      </c>
      <c r="DQ44" s="1726">
        <f ca="1">'Cash Flow MH'!DQ$27*'Assumptions MH'!$Q14*((1+DQ$13)^('Cash Flow MH'!DQ$5-1))</f>
        <v>51097.490421753384</v>
      </c>
      <c r="DR44" s="1726">
        <f ca="1">'Cash Flow MH'!DR$27*'Assumptions MH'!$Q14*((1+DR$13)^('Cash Flow MH'!DR$5-1))</f>
        <v>51097.490421753384</v>
      </c>
      <c r="DS44" s="1726">
        <f ca="1">'Cash Flow MH'!DS$27*'Assumptions MH'!$Q14*((1+DS$13)^('Cash Flow MH'!DS$5-1))</f>
        <v>51097.490421753384</v>
      </c>
      <c r="DT44" s="1485" t="s">
        <v>65</v>
      </c>
    </row>
    <row r="45" spans="1:124">
      <c r="B45" s="1724" t="s">
        <v>1083</v>
      </c>
      <c r="D45" s="1726">
        <f>+D37*(1-'Assumptions MH'!$L$44)</f>
        <v>1404.1692064590545</v>
      </c>
      <c r="E45" s="1726">
        <f>+E37*(1-'Assumptions MH'!$L$44)</f>
        <v>1818.7314740484428</v>
      </c>
      <c r="F45" s="1726">
        <f>+F37*(1-'Assumptions MH'!$L$44)</f>
        <v>2590.9226839677053</v>
      </c>
      <c r="G45" s="1726">
        <f>+G37*(1-'Assumptions MH'!$L$44)</f>
        <v>2851.5844290657442</v>
      </c>
      <c r="H45" s="1726">
        <f>+H37*(1-'Assumptions MH'!$L$44)</f>
        <v>3273.5313494809689</v>
      </c>
      <c r="I45" s="1726">
        <f>+I37*(1-'Assumptions MH'!$L$44)</f>
        <v>3476.9054498269898</v>
      </c>
      <c r="J45" s="1726">
        <f>+J37*(1-'Assumptions MH'!$L$44)</f>
        <v>3794.8241672433683</v>
      </c>
      <c r="K45" s="1726">
        <f>+K37*(1-'Assumptions MH'!$L$44)</f>
        <v>4063.0937335640137</v>
      </c>
      <c r="L45" s="1726">
        <f>+L37*(1-'Assumptions MH'!$L$44)</f>
        <v>4196.2046920415223</v>
      </c>
      <c r="M45" s="1726">
        <f>+M37*(1-'Assumptions MH'!$L$44)</f>
        <v>4668.8085116493648</v>
      </c>
      <c r="N45" s="1726">
        <f>+N37*(1-'Assumptions MH'!$L$44)</f>
        <v>4125.0055121107271</v>
      </c>
      <c r="O45" s="1726">
        <f>+O37*(1-'Assumptions MH'!$L$44)</f>
        <v>3756.7149376009233</v>
      </c>
      <c r="P45" s="1726">
        <f>+P37*(1-'Assumptions MH'!$L$44)</f>
        <v>3693.2157574884664</v>
      </c>
      <c r="Q45" s="1726">
        <f>+Q37*(1-'Assumptions MH'!$L$44)</f>
        <v>4155.3054005259528</v>
      </c>
      <c r="R45" s="1726">
        <f>+R37*(1-'Assumptions MH'!$L$44)</f>
        <v>5260.0503236856985</v>
      </c>
      <c r="S45" s="1726">
        <f>+S37*(1-'Assumptions MH'!$L$44)</f>
        <v>5232.1932159169546</v>
      </c>
      <c r="T45" s="1726">
        <f>+T37*(1-'Assumptions MH'!$L$44)</f>
        <v>5500.1464542560543</v>
      </c>
      <c r="U45" s="1726">
        <f>+U37*(1-'Assumptions MH'!$L$44)</f>
        <v>5405.6039446366776</v>
      </c>
      <c r="V45" s="1726">
        <f>+V37*(1-'Assumptions MH'!$L$44)</f>
        <v>5391.2674376009236</v>
      </c>
      <c r="W45" s="1726">
        <f>+W37*(1-'Assumptions MH'!$L$44)</f>
        <v>5314.2686292964263</v>
      </c>
      <c r="X45" s="1726">
        <f>+X37*(1-'Assumptions MH'!$L$44)</f>
        <v>5344.1617716262981</v>
      </c>
      <c r="Y45" s="1726">
        <f>+Y37*(1-'Assumptions MH'!$L$44)</f>
        <v>5793.8226108419831</v>
      </c>
      <c r="Z45" s="1726">
        <f>+Z37*(1-'Assumptions MH'!$L$44)</f>
        <v>4991.1960968858148</v>
      </c>
      <c r="AA45" s="1726">
        <f>+AA37*(1-'Assumptions MH'!$L$44)</f>
        <v>4434.8611870818922</v>
      </c>
      <c r="AB45" s="1726">
        <f>+AB37*(1-'Assumptions MH'!$L$44)</f>
        <v>4256.2374603783164</v>
      </c>
      <c r="AC45" s="1726">
        <f>+AC37*(1-'Assumptions MH'!$L$44)</f>
        <v>4677.5568989527101</v>
      </c>
      <c r="AD45" s="1726">
        <f>+AD37*(1-'Assumptions MH'!$L$44)</f>
        <v>5786.7576324659758</v>
      </c>
      <c r="AE45" s="1726">
        <f>+AE37*(1-'Assumptions MH'!$L$44)</f>
        <v>5628.3645038062277</v>
      </c>
      <c r="AF45" s="1726">
        <f>+AF37*(1-'Assumptions MH'!$L$44)</f>
        <v>5788.1490144405998</v>
      </c>
      <c r="AG45" s="1726">
        <f>+AG37*(1-'Assumptions MH'!$L$44)</f>
        <v>5567.7720629757796</v>
      </c>
      <c r="AH45" s="1726">
        <f>+AH37*(1-'Assumptions MH'!$L$44)</f>
        <v>5553.0054607289512</v>
      </c>
      <c r="AI45" s="1726">
        <f>+AI37*(1-'Assumptions MH'!$L$44)</f>
        <v>5473.6966881753178</v>
      </c>
      <c r="AJ45" s="1726">
        <f>+AJ37*(1-'Assumptions MH'!$L$44)</f>
        <v>5504.486624775087</v>
      </c>
      <c r="AK45" s="1726">
        <f>+AK37*(1-'Assumptions MH'!$L$44)</f>
        <v>5967.6372891672436</v>
      </c>
      <c r="AL45" s="1726">
        <f>+AL37*(1-'Assumptions MH'!$L$44)</f>
        <v>5140.931979792389</v>
      </c>
      <c r="AM45" s="1726">
        <f>+AM37*(1-'Assumptions MH'!$L$44)</f>
        <v>4567.9070226943486</v>
      </c>
      <c r="AN45" s="1726">
        <f>+AN37*(1-'Assumptions MH'!$L$44)</f>
        <v>4383.9245841896663</v>
      </c>
      <c r="AO45" s="1726">
        <f>+AO37*(1-'Assumptions MH'!$L$44)</f>
        <v>4989.9508775613385</v>
      </c>
      <c r="AP45" s="1726">
        <f>+AP37*(1-'Assumptions MH'!$L$44)</f>
        <v>5960.3603614399553</v>
      </c>
      <c r="AQ45" s="1726">
        <f>+AQ37*(1-'Assumptions MH'!$L$44)</f>
        <v>5797.2154389204152</v>
      </c>
      <c r="AR45" s="1726">
        <f>+AR37*(1-'Assumptions MH'!$L$44)</f>
        <v>5961.7934848738178</v>
      </c>
      <c r="AS45" s="1726">
        <f>+AS37*(1-'Assumptions MH'!$L$44)</f>
        <v>5734.8052248650529</v>
      </c>
      <c r="AT45" s="1726">
        <f>+AT37*(1-'Assumptions MH'!$L$44)</f>
        <v>5719.5956245508196</v>
      </c>
      <c r="AU45" s="1726">
        <f>+AU37*(1-'Assumptions MH'!$L$44)</f>
        <v>5637.907588820578</v>
      </c>
      <c r="AV45" s="1726">
        <f>+AV37*(1-'Assumptions MH'!$L$44)</f>
        <v>5669.6212235183402</v>
      </c>
      <c r="AW45" s="1726">
        <f>+AW37*(1-'Assumptions MH'!$L$44)</f>
        <v>6146.6664078422609</v>
      </c>
      <c r="AX45" s="1726">
        <f>+AX37*(1-'Assumptions MH'!$L$44)</f>
        <v>5295.159939186161</v>
      </c>
      <c r="AY45" s="1726">
        <f>+AY37*(1-'Assumptions MH'!$L$44)</f>
        <v>4704.9442333751795</v>
      </c>
      <c r="AZ45" s="1726">
        <f>+AZ37*(1-'Assumptions MH'!$L$44)</f>
        <v>4515.4423217153562</v>
      </c>
      <c r="BA45" s="1726">
        <f>+BA37*(1-'Assumptions MH'!$L$44)</f>
        <v>4962.4201140989298</v>
      </c>
      <c r="BB45" s="1726">
        <f>+BB37*(1-'Assumptions MH'!$L$44)</f>
        <v>6139.1711722831533</v>
      </c>
      <c r="BC45" s="1726">
        <f>+BC37*(1-'Assumptions MH'!$L$44)</f>
        <v>5971.1319020880273</v>
      </c>
      <c r="BD45" s="1726">
        <f>+BD37*(1-'Assumptions MH'!$L$44)</f>
        <v>6140.6472894200315</v>
      </c>
      <c r="BE45" s="1726">
        <f>+BE37*(1-'Assumptions MH'!$L$44)</f>
        <v>5906.8493816110049</v>
      </c>
      <c r="BF45" s="1726">
        <f>+BF37*(1-'Assumptions MH'!$L$44)</f>
        <v>5891.1834932873435</v>
      </c>
      <c r="BG45" s="1726">
        <f>+BG37*(1-'Assumptions MH'!$L$44)</f>
        <v>5807.044816485195</v>
      </c>
      <c r="BH45" s="1726">
        <f>+BH37*(1-'Assumptions MH'!$L$44)</f>
        <v>5839.7098602238902</v>
      </c>
      <c r="BI45" s="1726">
        <f>+BI37*(1-'Assumptions MH'!$L$44)</f>
        <v>6331.0664000775278</v>
      </c>
      <c r="BJ45" s="1726">
        <f>+BJ37*(1-'Assumptions MH'!$L$44)</f>
        <v>5454.0147373617447</v>
      </c>
      <c r="BK45" s="1726">
        <f>+BK37*(1-'Assumptions MH'!$L$44)</f>
        <v>4846.0925603764354</v>
      </c>
      <c r="BL45" s="1726">
        <f>+BL37*(1-'Assumptions MH'!$L$44)</f>
        <v>4650.9055913668171</v>
      </c>
      <c r="BM45" s="1726">
        <f>+BM37*(1-'Assumptions MH'!$L$44)</f>
        <v>5111.2927175218974</v>
      </c>
      <c r="BN45" s="1726">
        <f>+BN37*(1-'Assumptions MH'!$L$44)</f>
        <v>6323.3463074516485</v>
      </c>
      <c r="BO45" s="1726">
        <f>+BO37*(1-'Assumptions MH'!$L$44)</f>
        <v>6150.2658591506679</v>
      </c>
      <c r="BP45" s="1726">
        <f>+BP37*(1-'Assumptions MH'!$L$44)</f>
        <v>6324.8667081026324</v>
      </c>
      <c r="BQ45" s="1726">
        <f>+BQ37*(1-'Assumptions MH'!$L$44)</f>
        <v>6084.0548630593339</v>
      </c>
      <c r="BR45" s="1726">
        <f>+BR37*(1-'Assumptions MH'!$L$44)</f>
        <v>6067.9189980859637</v>
      </c>
      <c r="BS45" s="1726">
        <f>+BS37*(1-'Assumptions MH'!$L$44)</f>
        <v>5981.2561609797503</v>
      </c>
      <c r="BT45" s="1726">
        <f>+BT37*(1-'Assumptions MH'!$L$44)</f>
        <v>6014.9011560306053</v>
      </c>
      <c r="BU45" s="1726">
        <f>+BU37*(1-'Assumptions MH'!$L$44)</f>
        <v>6520.9983920798531</v>
      </c>
      <c r="BV45" s="1726">
        <f>+BV37*(1-'Assumptions MH'!$L$44)</f>
        <v>5617.6351794825978</v>
      </c>
      <c r="BW45" s="1726">
        <f>+BW37*(1-'Assumptions MH'!$L$44)</f>
        <v>4991.4753371877277</v>
      </c>
      <c r="BX45" s="1726">
        <f>+BX37*(1-'Assumptions MH'!$L$44)</f>
        <v>4790.4327591078209</v>
      </c>
      <c r="BY45" s="1726">
        <f>+BY37*(1-'Assumptions MH'!$L$44)</f>
        <v>5264.6314990475548</v>
      </c>
      <c r="BZ45" s="1726">
        <f>+BZ37*(1-'Assumptions MH'!$L$44)</f>
        <v>6513.0466966751974</v>
      </c>
      <c r="CA45" s="1726">
        <f>+CA37*(1-'Assumptions MH'!$L$44)</f>
        <v>6334.7738349251877</v>
      </c>
      <c r="CB45" s="1726">
        <f>+CB37*(1-'Assumptions MH'!$L$44)</f>
        <v>6514.6127093457117</v>
      </c>
      <c r="CC45" s="1726">
        <f>+CC37*(1-'Assumptions MH'!$L$44)</f>
        <v>6266.5765089511151</v>
      </c>
      <c r="CD45" s="1726">
        <f>+CD37*(1-'Assumptions MH'!$L$44)</f>
        <v>6249.9565680285423</v>
      </c>
      <c r="CE45" s="1726">
        <f>+CE37*(1-'Assumptions MH'!$L$44)</f>
        <v>6160.6938458091436</v>
      </c>
      <c r="CF45" s="1726">
        <f>+CF37*(1-'Assumptions MH'!$L$44)</f>
        <v>6195.3481907115247</v>
      </c>
      <c r="CG45" s="1726">
        <f>+CG37*(1-'Assumptions MH'!$L$44)</f>
        <v>6716.6283438422488</v>
      </c>
      <c r="CH45" s="1726">
        <f>+CH37*(1-'Assumptions MH'!$L$44)</f>
        <v>5786.1642348670757</v>
      </c>
      <c r="CI45" s="1726">
        <f>+CI37*(1-'Assumptions MH'!$L$44)</f>
        <v>5141.2195973033595</v>
      </c>
      <c r="CJ45" s="1726">
        <f>+CJ37*(1-'Assumptions MH'!$L$44)</f>
        <v>4934.145741881056</v>
      </c>
      <c r="CK45" s="1726">
        <f>+CK37*(1-'Assumptions MH'!$L$44)</f>
        <v>5616.2336741625177</v>
      </c>
      <c r="CL45" s="1726">
        <f>+CL37*(1-'Assumptions MH'!$L$44)</f>
        <v>6708.4380975754548</v>
      </c>
      <c r="CM45" s="1726">
        <f>+CM37*(1-'Assumptions MH'!$L$44)</f>
        <v>6524.8170499729431</v>
      </c>
      <c r="CN45" s="1726">
        <f>+CN37*(1-'Assumptions MH'!$L$44)</f>
        <v>6710.0510906260834</v>
      </c>
      <c r="CO45" s="1726">
        <f>+CO37*(1-'Assumptions MH'!$L$44)</f>
        <v>6454.5738042196481</v>
      </c>
      <c r="CP45" s="1726">
        <f>+CP37*(1-'Assumptions MH'!$L$44)</f>
        <v>6437.4552650693995</v>
      </c>
      <c r="CQ45" s="1726">
        <f>+CQ37*(1-'Assumptions MH'!$L$44)</f>
        <v>6345.514661183418</v>
      </c>
      <c r="CR45" s="1726">
        <f>+CR37*(1-'Assumptions MH'!$L$44)</f>
        <v>6381.2086364328707</v>
      </c>
      <c r="CS45" s="1726">
        <f>+CS37*(1-'Assumptions MH'!$L$44)</f>
        <v>6918.1271941575178</v>
      </c>
      <c r="CT45" s="1726">
        <f>+CT37*(1-'Assumptions MH'!$L$44)</f>
        <v>5959.7491619130878</v>
      </c>
      <c r="CU45" s="1726">
        <f>+CU37*(1-'Assumptions MH'!$L$44)</f>
        <v>5295.4561852224615</v>
      </c>
      <c r="CV45" s="1726">
        <f>+CV37*(1-'Assumptions MH'!$L$44)</f>
        <v>5082.170114137487</v>
      </c>
      <c r="CW45" s="1726">
        <f>+CW37*(1-'Assumptions MH'!$L$44)</f>
        <v>5585.2475573395513</v>
      </c>
      <c r="CX45" s="1726">
        <f>+CX37*(1-'Assumptions MH'!$L$44)</f>
        <v>6909.6912405027169</v>
      </c>
      <c r="CY45" s="1726">
        <f>+CY37*(1-'Assumptions MH'!$L$44)</f>
        <v>6720.561561472131</v>
      </c>
      <c r="CZ45" s="1726">
        <f>+CZ37*(1-'Assumptions MH'!$L$44)</f>
        <v>6911.3526233448656</v>
      </c>
      <c r="DA45" s="1726">
        <f>+DA37*(1-'Assumptions MH'!$L$44)</f>
        <v>6648.2110183462364</v>
      </c>
      <c r="DB45" s="1726">
        <f>+DB37*(1-'Assumptions MH'!$L$44)</f>
        <v>6630.5789230214805</v>
      </c>
      <c r="DC45" s="1726">
        <f>+DC37*(1-'Assumptions MH'!$L$44)</f>
        <v>6535.880101018919</v>
      </c>
      <c r="DD45" s="1726">
        <f>+DD37*(1-'Assumptions MH'!$L$44)</f>
        <v>6572.6448955258566</v>
      </c>
      <c r="DE45" s="1726">
        <f>+DE37*(1-'Assumptions MH'!$L$44)</f>
        <v>7125.6710099822421</v>
      </c>
      <c r="DF45" s="1726">
        <f>+DF37*(1-'Assumptions MH'!$L$44)</f>
        <v>6138.5416367704793</v>
      </c>
      <c r="DG45" s="1726">
        <f>+DG37*(1-'Assumptions MH'!$L$44)</f>
        <v>5454.3198707791344</v>
      </c>
      <c r="DH45" s="1726">
        <f>+DH37*(1-'Assumptions MH'!$L$44)</f>
        <v>5234.6352175616121</v>
      </c>
      <c r="DI45" s="1726">
        <f>+DI37*(1-'Assumptions MH'!$L$44)</f>
        <v>5752.8049840597369</v>
      </c>
      <c r="DJ45" s="1726">
        <f>+DJ37*(1-'Assumptions MH'!$L$44)</f>
        <v>7116.9819777177991</v>
      </c>
      <c r="DK45" s="1726">
        <f>+DK37*(1-'Assumptions MH'!$L$44)</f>
        <v>6922.1784083162947</v>
      </c>
      <c r="DL45" s="1726">
        <f>+DL37*(1-'Assumptions MH'!$L$44)</f>
        <v>7118.6932020452114</v>
      </c>
      <c r="DM45" s="1726">
        <f>+DM37*(1-'Assumptions MH'!$L$44)</f>
        <v>6847.6573488966251</v>
      </c>
      <c r="DN45" s="1726">
        <f>+DN37*(1-'Assumptions MH'!$L$44)</f>
        <v>6829.4962907121262</v>
      </c>
      <c r="DO45" s="1726">
        <f>+DO37*(1-'Assumptions MH'!$L$44)</f>
        <v>6731.9565040494881</v>
      </c>
      <c r="DP45" s="1726">
        <f>+DP37*(1-'Assumptions MH'!$L$44)</f>
        <v>6769.8242423916317</v>
      </c>
      <c r="DQ45" s="1726">
        <f>+DQ37*(1-'Assumptions MH'!$L$44)</f>
        <v>7339.4411402817086</v>
      </c>
      <c r="DR45" s="1726">
        <f>+DR37*(1-'Assumptions MH'!$L$44)</f>
        <v>6322.6978858735938</v>
      </c>
      <c r="DS45" s="1726">
        <f>+DS37*(1-'Assumptions MH'!$L$44)</f>
        <v>5617.9494669025089</v>
      </c>
      <c r="DT45" s="1485" t="s">
        <v>65</v>
      </c>
    </row>
    <row r="46" spans="1:124">
      <c r="B46" s="1727" t="s">
        <v>1127</v>
      </c>
      <c r="C46" s="1742"/>
      <c r="D46" s="1729">
        <f ca="1">SUM(D41:D45)</f>
        <v>52917.62923660814</v>
      </c>
      <c r="E46" s="1729">
        <f t="shared" ref="E46:BP46" ca="1" si="22">SUM(E41:E45)</f>
        <v>56978.804043178265</v>
      </c>
      <c r="F46" s="1729">
        <f t="shared" ca="1" si="22"/>
        <v>64543.417932942895</v>
      </c>
      <c r="G46" s="1729">
        <f t="shared" ca="1" si="22"/>
        <v>67096.937621032936</v>
      </c>
      <c r="H46" s="1729">
        <f t="shared" ca="1" si="22"/>
        <v>71230.454674730223</v>
      </c>
      <c r="I46" s="1729">
        <f t="shared" ca="1" si="22"/>
        <v>73222.767620712533</v>
      </c>
      <c r="J46" s="1729">
        <f t="shared" ca="1" si="22"/>
        <v>76337.193574661869</v>
      </c>
      <c r="K46" s="1729">
        <f t="shared" ca="1" si="22"/>
        <v>78965.241733617848</v>
      </c>
      <c r="L46" s="1729">
        <f t="shared" ca="1" si="22"/>
        <v>80269.236123147493</v>
      </c>
      <c r="M46" s="1729">
        <f t="shared" ca="1" si="22"/>
        <v>84899.003170787299</v>
      </c>
      <c r="N46" s="1729">
        <f t="shared" ca="1" si="22"/>
        <v>79571.74786049212</v>
      </c>
      <c r="O46" s="1729">
        <f t="shared" ca="1" si="22"/>
        <v>75963.864269460886</v>
      </c>
      <c r="P46" s="1729">
        <f t="shared" ca="1" si="22"/>
        <v>76516.666635707385</v>
      </c>
      <c r="Q46" s="1729">
        <f t="shared" ca="1" si="22"/>
        <v>81043.433694352367</v>
      </c>
      <c r="R46" s="1729">
        <f t="shared" ca="1" si="22"/>
        <v>91865.842293454334</v>
      </c>
      <c r="S46" s="1729">
        <f t="shared" ca="1" si="22"/>
        <v>91592.945811793863</v>
      </c>
      <c r="T46" s="1729">
        <f t="shared" ca="1" si="22"/>
        <v>94217.895128115779</v>
      </c>
      <c r="U46" s="1729">
        <f t="shared" ca="1" si="22"/>
        <v>93291.728691288939</v>
      </c>
      <c r="V46" s="1729">
        <f t="shared" ca="1" si="22"/>
        <v>93151.284020512758</v>
      </c>
      <c r="W46" s="1729">
        <f t="shared" ca="1" si="22"/>
        <v>92396.980879900162</v>
      </c>
      <c r="X46" s="1729">
        <f t="shared" ca="1" si="22"/>
        <v>92689.822959390964</v>
      </c>
      <c r="Y46" s="1729">
        <f t="shared" ca="1" si="22"/>
        <v>97094.83377318905</v>
      </c>
      <c r="Z46" s="1729">
        <f t="shared" ca="1" si="22"/>
        <v>89232.066627211039</v>
      </c>
      <c r="AA46" s="1729">
        <f t="shared" ca="1" si="22"/>
        <v>83782.045010798538</v>
      </c>
      <c r="AB46" s="1729">
        <f t="shared" ca="1" si="22"/>
        <v>83242.29898213764</v>
      </c>
      <c r="AC46" s="1729">
        <f t="shared" ca="1" si="22"/>
        <v>87369.669037801621</v>
      </c>
      <c r="AD46" s="1729">
        <f t="shared" ca="1" si="22"/>
        <v>98235.728075366758</v>
      </c>
      <c r="AE46" s="1729">
        <f t="shared" ca="1" si="22"/>
        <v>96684.062055718474</v>
      </c>
      <c r="AF46" s="1729">
        <f t="shared" ca="1" si="22"/>
        <v>98249.358465451485</v>
      </c>
      <c r="AG46" s="1729">
        <f t="shared" ca="1" si="22"/>
        <v>96090.480552027599</v>
      </c>
      <c r="AH46" s="1729">
        <f t="shared" ca="1" si="22"/>
        <v>95945.822541128116</v>
      </c>
      <c r="AI46" s="1729">
        <f t="shared" ca="1" si="22"/>
        <v>95168.890306297166</v>
      </c>
      <c r="AJ46" s="1729">
        <f t="shared" ca="1" si="22"/>
        <v>95470.517648172681</v>
      </c>
      <c r="AK46" s="1729">
        <f t="shared" ca="1" si="22"/>
        <v>100007.67878638473</v>
      </c>
      <c r="AL46" s="1729">
        <f t="shared" ca="1" si="22"/>
        <v>91909.028626027342</v>
      </c>
      <c r="AM46" s="1729">
        <f t="shared" ca="1" si="22"/>
        <v>86295.50636112249</v>
      </c>
      <c r="AN46" s="1729">
        <f t="shared" ca="1" si="22"/>
        <v>85739.567951601784</v>
      </c>
      <c r="AO46" s="1729">
        <f t="shared" ca="1" si="22"/>
        <v>91676.381084816865</v>
      </c>
      <c r="AP46" s="1729">
        <f t="shared" ca="1" si="22"/>
        <v>101182.79991762777</v>
      </c>
      <c r="AQ46" s="1729">
        <f t="shared" ca="1" si="22"/>
        <v>99584.583917390031</v>
      </c>
      <c r="AR46" s="1729">
        <f t="shared" ca="1" si="22"/>
        <v>101196.83921941504</v>
      </c>
      <c r="AS46" s="1729">
        <f t="shared" ca="1" si="22"/>
        <v>98973.194968588432</v>
      </c>
      <c r="AT46" s="1729">
        <f t="shared" ca="1" si="22"/>
        <v>98824.197217361958</v>
      </c>
      <c r="AU46" s="1729">
        <f t="shared" ca="1" si="22"/>
        <v>98023.957015486085</v>
      </c>
      <c r="AV46" s="1729">
        <f t="shared" ca="1" si="22"/>
        <v>98334.633177617856</v>
      </c>
      <c r="AW46" s="1729">
        <f t="shared" ca="1" si="22"/>
        <v>103007.90914997627</v>
      </c>
      <c r="AX46" s="1729">
        <f t="shared" ca="1" si="22"/>
        <v>94666.299484808187</v>
      </c>
      <c r="AY46" s="1729">
        <f t="shared" ca="1" si="22"/>
        <v>88884.371551956167</v>
      </c>
      <c r="AZ46" s="1729">
        <f t="shared" ca="1" si="22"/>
        <v>88311.754990149828</v>
      </c>
      <c r="BA46" s="1729">
        <f t="shared" ca="1" si="22"/>
        <v>92690.481882203749</v>
      </c>
      <c r="BB46" s="1729">
        <f t="shared" ca="1" si="22"/>
        <v>104218.28391515659</v>
      </c>
      <c r="BC46" s="1729">
        <f t="shared" ca="1" si="22"/>
        <v>102572.12143491174</v>
      </c>
      <c r="BD46" s="1729">
        <f t="shared" ca="1" si="22"/>
        <v>104232.74439599748</v>
      </c>
      <c r="BE46" s="1729">
        <f t="shared" ca="1" si="22"/>
        <v>101942.39081764608</v>
      </c>
      <c r="BF46" s="1729">
        <f t="shared" ca="1" si="22"/>
        <v>101788.92313388282</v>
      </c>
      <c r="BG46" s="1729">
        <f t="shared" ca="1" si="22"/>
        <v>100964.67572595067</v>
      </c>
      <c r="BH46" s="1729">
        <f t="shared" ca="1" si="22"/>
        <v>101284.67217294639</v>
      </c>
      <c r="BI46" s="1729">
        <f t="shared" ca="1" si="22"/>
        <v>106098.14642447555</v>
      </c>
      <c r="BJ46" s="1729">
        <f t="shared" ca="1" si="22"/>
        <v>97506.288469352425</v>
      </c>
      <c r="BK46" s="1729">
        <f t="shared" ca="1" si="22"/>
        <v>91550.902698514852</v>
      </c>
      <c r="BL46" s="1729">
        <f t="shared" ca="1" si="22"/>
        <v>90961.107639854308</v>
      </c>
      <c r="BM46" s="1729">
        <f t="shared" ca="1" si="22"/>
        <v>95471.196338669833</v>
      </c>
      <c r="BN46" s="1729">
        <f t="shared" ca="1" si="22"/>
        <v>107344.83243261128</v>
      </c>
      <c r="BO46" s="1729">
        <f t="shared" ca="1" si="22"/>
        <v>105649.28507795908</v>
      </c>
      <c r="BP46" s="1729">
        <f t="shared" ca="1" si="22"/>
        <v>107359.72672787739</v>
      </c>
      <c r="BQ46" s="1729">
        <f t="shared" ref="BQ46:DS46" ca="1" si="23">SUM(BQ41:BQ45)</f>
        <v>105000.66254217546</v>
      </c>
      <c r="BR46" s="1729">
        <f t="shared" ca="1" si="23"/>
        <v>104842.5908278993</v>
      </c>
      <c r="BS46" s="1729">
        <f t="shared" ca="1" si="23"/>
        <v>103993.61599772917</v>
      </c>
      <c r="BT46" s="1729">
        <f t="shared" ca="1" si="23"/>
        <v>104323.21233813478</v>
      </c>
      <c r="BU46" s="1729">
        <f t="shared" ca="1" si="23"/>
        <v>109281.09081720981</v>
      </c>
      <c r="BV46" s="1729">
        <f t="shared" ca="1" si="23"/>
        <v>100431.477123433</v>
      </c>
      <c r="BW46" s="1729">
        <f t="shared" ca="1" si="23"/>
        <v>94297.429779470287</v>
      </c>
      <c r="BX46" s="1729">
        <f t="shared" ca="1" si="23"/>
        <v>93689.940869049955</v>
      </c>
      <c r="BY46" s="1729">
        <f t="shared" ca="1" si="23"/>
        <v>98335.332228829939</v>
      </c>
      <c r="BZ46" s="1729">
        <f t="shared" ca="1" si="23"/>
        <v>110565.17740558962</v>
      </c>
      <c r="CA46" s="1729">
        <f t="shared" ca="1" si="23"/>
        <v>108818.76363029786</v>
      </c>
      <c r="CB46" s="1729">
        <f t="shared" ca="1" si="23"/>
        <v>110580.51852971374</v>
      </c>
      <c r="CC46" s="1729">
        <f t="shared" ca="1" si="23"/>
        <v>108150.68241844073</v>
      </c>
      <c r="CD46" s="1729">
        <f t="shared" ca="1" si="23"/>
        <v>107987.86855273628</v>
      </c>
      <c r="CE46" s="1729">
        <f t="shared" ca="1" si="23"/>
        <v>107113.42447766106</v>
      </c>
      <c r="CF46" s="1729">
        <f t="shared" ca="1" si="23"/>
        <v>107452.90870827882</v>
      </c>
      <c r="CG46" s="1729">
        <f t="shared" ca="1" si="23"/>
        <v>112559.52354172611</v>
      </c>
      <c r="CH46" s="1729">
        <f t="shared" ca="1" si="23"/>
        <v>103444.42143713597</v>
      </c>
      <c r="CI46" s="1729">
        <f t="shared" ca="1" si="23"/>
        <v>97126.352672854409</v>
      </c>
      <c r="CJ46" s="1729">
        <f t="shared" ca="1" si="23"/>
        <v>96500.639095121456</v>
      </c>
      <c r="CK46" s="1729">
        <f t="shared" ca="1" si="23"/>
        <v>103182.57457987874</v>
      </c>
      <c r="CL46" s="1729">
        <f t="shared" ca="1" si="23"/>
        <v>113882.13272775733</v>
      </c>
      <c r="CM46" s="1729">
        <f t="shared" ca="1" si="23"/>
        <v>112083.3265392068</v>
      </c>
      <c r="CN46" s="1729">
        <f t="shared" ca="1" si="23"/>
        <v>113897.93408560516</v>
      </c>
      <c r="CO46" s="1729">
        <f t="shared" ca="1" si="23"/>
        <v>111395.20289099395</v>
      </c>
      <c r="CP46" s="1729">
        <f t="shared" ca="1" si="23"/>
        <v>111227.50460931838</v>
      </c>
      <c r="CQ46" s="1729">
        <f t="shared" ca="1" si="23"/>
        <v>110326.82721199089</v>
      </c>
      <c r="CR46" s="1729">
        <f t="shared" ca="1" si="23"/>
        <v>110676.4959695272</v>
      </c>
      <c r="CS46" s="1729">
        <f t="shared" ca="1" si="23"/>
        <v>115936.30924797792</v>
      </c>
      <c r="CT46" s="1729">
        <f t="shared" ca="1" si="23"/>
        <v>106547.75408025006</v>
      </c>
      <c r="CU46" s="1729">
        <f t="shared" ca="1" si="23"/>
        <v>100040.14325304003</v>
      </c>
      <c r="CV46" s="1729">
        <f t="shared" ca="1" si="23"/>
        <v>99395.658267975086</v>
      </c>
      <c r="CW46" s="1729">
        <f t="shared" ca="1" si="23"/>
        <v>104323.95396156568</v>
      </c>
      <c r="CX46" s="1729">
        <f t="shared" ca="1" si="23"/>
        <v>117298.59670959001</v>
      </c>
      <c r="CY46" s="1729">
        <f t="shared" ca="1" si="23"/>
        <v>115445.826335383</v>
      </c>
      <c r="CZ46" s="1729">
        <f t="shared" ca="1" si="23"/>
        <v>117314.87210817329</v>
      </c>
      <c r="DA46" s="1729">
        <f t="shared" ca="1" si="23"/>
        <v>114737.05897772378</v>
      </c>
      <c r="DB46" s="1729">
        <f t="shared" ca="1" si="23"/>
        <v>114564.32974759793</v>
      </c>
      <c r="DC46" s="1729">
        <f t="shared" ca="1" si="23"/>
        <v>113636.63202835061</v>
      </c>
      <c r="DD46" s="1729">
        <f t="shared" ca="1" si="23"/>
        <v>113996.79084861299</v>
      </c>
      <c r="DE46" s="1729">
        <f t="shared" ca="1" si="23"/>
        <v>119414.39852541723</v>
      </c>
      <c r="DF46" s="1729">
        <f t="shared" ca="1" si="23"/>
        <v>109744.18670265755</v>
      </c>
      <c r="DG46" s="1729">
        <f t="shared" ca="1" si="23"/>
        <v>103041.34755063122</v>
      </c>
      <c r="DH46" s="1729">
        <f t="shared" ca="1" si="23"/>
        <v>102377.52801601434</v>
      </c>
      <c r="DI46" s="1729">
        <f t="shared" ca="1" si="23"/>
        <v>107453.67258041265</v>
      </c>
      <c r="DJ46" s="1729">
        <f t="shared" ca="1" si="23"/>
        <v>120817.55461087773</v>
      </c>
      <c r="DK46" s="1729">
        <f t="shared" ca="1" si="23"/>
        <v>118909.20112544448</v>
      </c>
      <c r="DL46" s="1729">
        <f t="shared" ca="1" si="23"/>
        <v>120834.31827141849</v>
      </c>
      <c r="DM46" s="1729">
        <f t="shared" ca="1" si="23"/>
        <v>118179.17074705548</v>
      </c>
      <c r="DN46" s="1729">
        <f t="shared" ca="1" si="23"/>
        <v>118001.25964002585</v>
      </c>
      <c r="DO46" s="1729">
        <f t="shared" ca="1" si="23"/>
        <v>117045.73098920114</v>
      </c>
      <c r="DP46" s="1729">
        <f t="shared" ca="1" si="23"/>
        <v>117416.6945740714</v>
      </c>
      <c r="DQ46" s="1729">
        <f t="shared" ca="1" si="23"/>
        <v>122996.83048117974</v>
      </c>
      <c r="DR46" s="1729">
        <f t="shared" ca="1" si="23"/>
        <v>113036.51230373728</v>
      </c>
      <c r="DS46" s="1729">
        <f t="shared" ca="1" si="23"/>
        <v>106132.58797715018</v>
      </c>
      <c r="DT46" s="1485" t="s">
        <v>65</v>
      </c>
    </row>
    <row r="47" spans="1:124">
      <c r="B47" s="1749"/>
      <c r="D47" s="1794"/>
      <c r="E47" s="1794"/>
      <c r="F47" s="1794"/>
      <c r="G47" s="1794"/>
      <c r="H47" s="1794"/>
      <c r="I47" s="1794"/>
      <c r="J47" s="1794"/>
      <c r="K47" s="1794"/>
      <c r="L47" s="1794"/>
      <c r="M47" s="1794"/>
      <c r="N47" s="1794"/>
      <c r="O47" s="1794"/>
      <c r="P47" s="1794"/>
      <c r="Q47" s="1794"/>
      <c r="R47" s="1794"/>
      <c r="S47" s="1794"/>
      <c r="T47" s="1794"/>
      <c r="U47" s="1794"/>
      <c r="V47" s="1794"/>
      <c r="W47" s="1794"/>
      <c r="X47" s="1794"/>
      <c r="Y47" s="1794"/>
      <c r="Z47" s="1794"/>
      <c r="AA47" s="1794"/>
      <c r="AB47" s="1794"/>
      <c r="AC47" s="1794"/>
      <c r="AD47" s="1794"/>
      <c r="AE47" s="1794"/>
      <c r="AF47" s="1794"/>
      <c r="AG47" s="1794"/>
      <c r="AH47" s="1794"/>
      <c r="AI47" s="1794"/>
      <c r="AJ47" s="1794"/>
      <c r="AK47" s="1794"/>
      <c r="AL47" s="1794"/>
      <c r="AM47" s="1794"/>
      <c r="AN47" s="1794"/>
      <c r="AO47" s="1794"/>
      <c r="AP47" s="1794"/>
      <c r="AQ47" s="1794"/>
      <c r="AR47" s="1794"/>
      <c r="AS47" s="1794"/>
      <c r="AT47" s="1794"/>
      <c r="AU47" s="1794"/>
      <c r="AV47" s="1794"/>
      <c r="AW47" s="1794"/>
      <c r="AX47" s="1794"/>
      <c r="AY47" s="1794"/>
      <c r="AZ47" s="1794"/>
      <c r="BA47" s="1794"/>
      <c r="BB47" s="1794"/>
      <c r="BC47" s="1794"/>
      <c r="BD47" s="1794"/>
      <c r="BE47" s="1794"/>
      <c r="BF47" s="1794"/>
      <c r="BG47" s="1794"/>
      <c r="BH47" s="1794"/>
      <c r="BI47" s="1794"/>
      <c r="BJ47" s="1794"/>
      <c r="BK47" s="1794"/>
      <c r="BL47" s="1794"/>
      <c r="BM47" s="1794"/>
      <c r="BN47" s="1794"/>
      <c r="BO47" s="1794"/>
      <c r="BP47" s="1794"/>
      <c r="BQ47" s="1794"/>
      <c r="BR47" s="1794"/>
      <c r="BS47" s="1794"/>
      <c r="BT47" s="1794"/>
      <c r="BU47" s="1794"/>
      <c r="BV47" s="1794"/>
      <c r="BW47" s="1794"/>
      <c r="BX47" s="1794"/>
      <c r="BY47" s="1794"/>
      <c r="BZ47" s="1794"/>
      <c r="CA47" s="1794"/>
      <c r="CB47" s="1794"/>
      <c r="CC47" s="1794"/>
      <c r="CD47" s="1794"/>
      <c r="CE47" s="1794"/>
      <c r="CF47" s="1794"/>
      <c r="CG47" s="1794"/>
      <c r="CH47" s="1794"/>
      <c r="CI47" s="1794"/>
      <c r="CJ47" s="1794"/>
      <c r="CK47" s="1794"/>
      <c r="CL47" s="1794"/>
      <c r="CM47" s="1794"/>
      <c r="CN47" s="1794"/>
      <c r="CO47" s="1794"/>
      <c r="CP47" s="1794"/>
      <c r="CQ47" s="1794"/>
      <c r="CR47" s="1794"/>
      <c r="CS47" s="1794"/>
      <c r="CT47" s="1794"/>
      <c r="CU47" s="1794"/>
      <c r="CV47" s="1794"/>
      <c r="CW47" s="1794"/>
      <c r="CX47" s="1794"/>
      <c r="CY47" s="1794"/>
      <c r="CZ47" s="1794"/>
      <c r="DA47" s="1794"/>
      <c r="DB47" s="1794"/>
      <c r="DC47" s="1794"/>
      <c r="DD47" s="1794"/>
      <c r="DE47" s="1794"/>
      <c r="DF47" s="1794"/>
      <c r="DG47" s="1794"/>
      <c r="DH47" s="1794"/>
      <c r="DI47" s="1794"/>
      <c r="DJ47" s="1794"/>
      <c r="DK47" s="1794"/>
      <c r="DL47" s="1794"/>
      <c r="DM47" s="1794"/>
      <c r="DN47" s="1794"/>
      <c r="DO47" s="1794"/>
      <c r="DP47" s="1794"/>
      <c r="DQ47" s="1794"/>
      <c r="DR47" s="1794"/>
      <c r="DS47" s="1794"/>
      <c r="DT47" s="1485" t="s">
        <v>65</v>
      </c>
    </row>
    <row r="48" spans="1:124">
      <c r="A48" s="1487" t="s">
        <v>65</v>
      </c>
      <c r="B48" s="1727" t="s">
        <v>1085</v>
      </c>
      <c r="C48" s="1742"/>
      <c r="D48" s="1729">
        <f t="shared" ref="D48:BO48" ca="1" si="24">D38-D46</f>
        <v>142715.43864800991</v>
      </c>
      <c r="E48" s="1729">
        <f t="shared" ca="1" si="24"/>
        <v>218461.32342951698</v>
      </c>
      <c r="F48" s="1729">
        <f t="shared" ca="1" si="24"/>
        <v>349148.07202383887</v>
      </c>
      <c r="G48" s="1729">
        <f t="shared" ca="1" si="24"/>
        <v>395989.58913123491</v>
      </c>
      <c r="H48" s="1729">
        <f t="shared" ca="1" si="24"/>
        <v>457179.66609083454</v>
      </c>
      <c r="I48" s="1729">
        <f t="shared" ca="1" si="24"/>
        <v>517412.87479328678</v>
      </c>
      <c r="J48" s="1729">
        <f t="shared" ca="1" si="24"/>
        <v>495147.34507998324</v>
      </c>
      <c r="K48" s="1729">
        <f t="shared" ca="1" si="24"/>
        <v>538091.66171144217</v>
      </c>
      <c r="L48" s="1729">
        <f t="shared" ca="1" si="24"/>
        <v>596919.47800639807</v>
      </c>
      <c r="M48" s="1729">
        <f t="shared" ca="1" si="24"/>
        <v>726089.0727548399</v>
      </c>
      <c r="N48" s="1729">
        <f t="shared" ca="1" si="24"/>
        <v>571381.69445149496</v>
      </c>
      <c r="O48" s="1729">
        <f t="shared" ca="1" si="24"/>
        <v>476959.89968000527</v>
      </c>
      <c r="P48" s="1729">
        <f t="shared" ca="1" si="24"/>
        <v>438033.23637724604</v>
      </c>
      <c r="Q48" s="1729">
        <f t="shared" ca="1" si="24"/>
        <v>548262.13754599087</v>
      </c>
      <c r="R48" s="1729">
        <f t="shared" ca="1" si="24"/>
        <v>748004.0886459098</v>
      </c>
      <c r="S48" s="1729">
        <f t="shared" ca="1" si="24"/>
        <v>758095.4445998437</v>
      </c>
      <c r="T48" s="1729">
        <f t="shared" ca="1" si="24"/>
        <v>793610.1846556766</v>
      </c>
      <c r="U48" s="1729">
        <f t="shared" ca="1" si="24"/>
        <v>824979.5342316078</v>
      </c>
      <c r="V48" s="1729">
        <f t="shared" ca="1" si="24"/>
        <v>718750.88813712122</v>
      </c>
      <c r="W48" s="1729">
        <f t="shared" ca="1" si="24"/>
        <v>714674.27061014669</v>
      </c>
      <c r="X48" s="1729">
        <f t="shared" ca="1" si="24"/>
        <v>769757.62749307521</v>
      </c>
      <c r="Y48" s="1729">
        <f t="shared" ca="1" si="24"/>
        <v>909312.05562849273</v>
      </c>
      <c r="Z48" s="1729">
        <f t="shared" ca="1" si="24"/>
        <v>698412.03978259407</v>
      </c>
      <c r="AA48" s="1729">
        <f t="shared" ca="1" si="24"/>
        <v>568953.17202983215</v>
      </c>
      <c r="AB48" s="1729">
        <f t="shared" ca="1" si="24"/>
        <v>509749.47735726606</v>
      </c>
      <c r="AC48" s="1729">
        <f t="shared" ca="1" si="24"/>
        <v>621028.95213985257</v>
      </c>
      <c r="AD48" s="1729">
        <f t="shared" ca="1" si="24"/>
        <v>825733.32812494854</v>
      </c>
      <c r="AE48" s="1729">
        <f t="shared" ca="1" si="24"/>
        <v>817341.04721215309</v>
      </c>
      <c r="AF48" s="1729">
        <f t="shared" ca="1" si="24"/>
        <v>836067.80340152816</v>
      </c>
      <c r="AG48" s="1729">
        <f t="shared" ca="1" si="24"/>
        <v>849728.92025855649</v>
      </c>
      <c r="AH48" s="1729">
        <f t="shared" ca="1" si="24"/>
        <v>740313.41478123458</v>
      </c>
      <c r="AI48" s="1729">
        <f t="shared" ca="1" si="24"/>
        <v>736114.49872845132</v>
      </c>
      <c r="AJ48" s="1729">
        <f t="shared" ca="1" si="24"/>
        <v>792850.35631786741</v>
      </c>
      <c r="AK48" s="1729">
        <f t="shared" ca="1" si="24"/>
        <v>936591.41729734757</v>
      </c>
      <c r="AL48" s="1729">
        <f t="shared" ca="1" si="24"/>
        <v>719364.40097607183</v>
      </c>
      <c r="AM48" s="1729">
        <f t="shared" ca="1" si="24"/>
        <v>586021.76719072682</v>
      </c>
      <c r="AN48" s="1729">
        <f t="shared" ca="1" si="24"/>
        <v>525041.96167798399</v>
      </c>
      <c r="AO48" s="1729">
        <f t="shared" ca="1" si="24"/>
        <v>664033.14800720208</v>
      </c>
      <c r="AP48" s="1729">
        <f t="shared" ca="1" si="24"/>
        <v>850505.32796869683</v>
      </c>
      <c r="AQ48" s="1729">
        <f t="shared" ca="1" si="24"/>
        <v>841861.27862851764</v>
      </c>
      <c r="AR48" s="1729">
        <f t="shared" ca="1" si="24"/>
        <v>861149.83750357386</v>
      </c>
      <c r="AS48" s="1729">
        <f t="shared" ca="1" si="24"/>
        <v>875220.78786631301</v>
      </c>
      <c r="AT48" s="1729">
        <f t="shared" ca="1" si="24"/>
        <v>762522.81722467183</v>
      </c>
      <c r="AU48" s="1729">
        <f t="shared" ca="1" si="24"/>
        <v>758197.93369030464</v>
      </c>
      <c r="AV48" s="1729">
        <f t="shared" ca="1" si="24"/>
        <v>816635.86700740317</v>
      </c>
      <c r="AW48" s="1729">
        <f t="shared" ca="1" si="24"/>
        <v>964689.1598162679</v>
      </c>
      <c r="AX48" s="1729">
        <f t="shared" ca="1" si="24"/>
        <v>740945.33300535392</v>
      </c>
      <c r="AY48" s="1729">
        <f t="shared" ca="1" si="24"/>
        <v>603602.42020644865</v>
      </c>
      <c r="AZ48" s="1729">
        <f t="shared" ca="1" si="24"/>
        <v>540793.22052832344</v>
      </c>
      <c r="BA48" s="1729">
        <f t="shared" ca="1" si="24"/>
        <v>658849.61532516964</v>
      </c>
      <c r="BB48" s="1729">
        <f t="shared" ca="1" si="24"/>
        <v>876020.48780775792</v>
      </c>
      <c r="BC48" s="1729">
        <f t="shared" ca="1" si="24"/>
        <v>867117.11698737321</v>
      </c>
      <c r="BD48" s="1729">
        <f t="shared" ca="1" si="24"/>
        <v>886984.33262868121</v>
      </c>
      <c r="BE48" s="1729">
        <f t="shared" ca="1" si="24"/>
        <v>901477.41150230239</v>
      </c>
      <c r="BF48" s="1729">
        <f t="shared" ca="1" si="24"/>
        <v>785398.50174141198</v>
      </c>
      <c r="BG48" s="1729">
        <f t="shared" ca="1" si="24"/>
        <v>780943.87170101376</v>
      </c>
      <c r="BH48" s="1729">
        <f t="shared" ca="1" si="24"/>
        <v>841134.94301762548</v>
      </c>
      <c r="BI48" s="1729">
        <f t="shared" ca="1" si="24"/>
        <v>993629.83461075579</v>
      </c>
      <c r="BJ48" s="1729">
        <f t="shared" ca="1" si="24"/>
        <v>763173.6929955146</v>
      </c>
      <c r="BK48" s="1729">
        <f t="shared" ca="1" si="24"/>
        <v>621710.49281264213</v>
      </c>
      <c r="BL48" s="1729">
        <f t="shared" ca="1" si="24"/>
        <v>557017.01714417327</v>
      </c>
      <c r="BM48" s="1729">
        <f t="shared" ca="1" si="24"/>
        <v>678615.10378492461</v>
      </c>
      <c r="BN48" s="1729">
        <f t="shared" ca="1" si="24"/>
        <v>902301.10244199052</v>
      </c>
      <c r="BO48" s="1729">
        <f t="shared" ca="1" si="24"/>
        <v>893130.63049699436</v>
      </c>
      <c r="BP48" s="1729">
        <f t="shared" ref="BP48:DS48" ca="1" si="25">BP38-BP46</f>
        <v>913593.86260754149</v>
      </c>
      <c r="BQ48" s="1729">
        <f t="shared" ca="1" si="25"/>
        <v>928521.73384737142</v>
      </c>
      <c r="BR48" s="1729">
        <f t="shared" ca="1" si="25"/>
        <v>808960.45679365424</v>
      </c>
      <c r="BS48" s="1729">
        <f t="shared" ca="1" si="25"/>
        <v>804372.18785204401</v>
      </c>
      <c r="BT48" s="1729">
        <f t="shared" ca="1" si="25"/>
        <v>866368.99130815419</v>
      </c>
      <c r="BU48" s="1729">
        <f t="shared" ca="1" si="25"/>
        <v>1023438.7296490786</v>
      </c>
      <c r="BV48" s="1729">
        <f t="shared" ca="1" si="25"/>
        <v>786068.90378538007</v>
      </c>
      <c r="BW48" s="1729">
        <f t="shared" ca="1" si="25"/>
        <v>640361.80759702134</v>
      </c>
      <c r="BX48" s="1729">
        <f t="shared" ca="1" si="25"/>
        <v>573727.52765849826</v>
      </c>
      <c r="BY48" s="1729">
        <f t="shared" ca="1" si="25"/>
        <v>698973.55689847248</v>
      </c>
      <c r="BZ48" s="1729">
        <f t="shared" ca="1" si="25"/>
        <v>929370.13551525038</v>
      </c>
      <c r="CA48" s="1729">
        <f t="shared" ca="1" si="25"/>
        <v>919924.54941190407</v>
      </c>
      <c r="CB48" s="1729">
        <f t="shared" ca="1" si="25"/>
        <v>941001.67848576757</v>
      </c>
      <c r="CC48" s="1729">
        <f t="shared" ca="1" si="25"/>
        <v>956377.38586279238</v>
      </c>
      <c r="CD48" s="1729">
        <f t="shared" ca="1" si="25"/>
        <v>833229.27049746399</v>
      </c>
      <c r="CE48" s="1729">
        <f t="shared" ca="1" si="25"/>
        <v>828503.35348760558</v>
      </c>
      <c r="CF48" s="1729">
        <f t="shared" ca="1" si="25"/>
        <v>892360.06104739895</v>
      </c>
      <c r="CG48" s="1729">
        <f t="shared" ca="1" si="25"/>
        <v>1054141.8915385511</v>
      </c>
      <c r="CH48" s="1729">
        <f t="shared" ca="1" si="25"/>
        <v>809650.97089894139</v>
      </c>
      <c r="CI48" s="1729">
        <f t="shared" ca="1" si="25"/>
        <v>659572.66182493209</v>
      </c>
      <c r="CJ48" s="1729">
        <f t="shared" ca="1" si="25"/>
        <v>590939.35348825343</v>
      </c>
      <c r="CK48" s="1729">
        <f t="shared" ca="1" si="25"/>
        <v>747375.15821413998</v>
      </c>
      <c r="CL48" s="1729">
        <f t="shared" ca="1" si="25"/>
        <v>957251.23958070786</v>
      </c>
      <c r="CM48" s="1729">
        <f t="shared" ca="1" si="25"/>
        <v>947522.28589426097</v>
      </c>
      <c r="CN48" s="1729">
        <f t="shared" ca="1" si="25"/>
        <v>969231.72884034086</v>
      </c>
      <c r="CO48" s="1729">
        <f t="shared" ca="1" si="25"/>
        <v>985068.70743867627</v>
      </c>
      <c r="CP48" s="1729">
        <f t="shared" ca="1" si="25"/>
        <v>858226.14861238794</v>
      </c>
      <c r="CQ48" s="1729">
        <f t="shared" ca="1" si="25"/>
        <v>853358.45409223367</v>
      </c>
      <c r="CR48" s="1729">
        <f t="shared" ca="1" si="25"/>
        <v>919130.86287882086</v>
      </c>
      <c r="CS48" s="1729">
        <f t="shared" ca="1" si="25"/>
        <v>1085766.1482847077</v>
      </c>
      <c r="CT48" s="1729">
        <f t="shared" ca="1" si="25"/>
        <v>833940.50002590986</v>
      </c>
      <c r="CU48" s="1729">
        <f t="shared" ca="1" si="25"/>
        <v>679359.84167968004</v>
      </c>
      <c r="CV48" s="1729">
        <f t="shared" ca="1" si="25"/>
        <v>608667.53409290093</v>
      </c>
      <c r="CW48" s="1729">
        <f t="shared" ca="1" si="25"/>
        <v>741541.04651358933</v>
      </c>
      <c r="CX48" s="1729">
        <f t="shared" ca="1" si="25"/>
        <v>985968.77676812874</v>
      </c>
      <c r="CY48" s="1729">
        <f t="shared" ca="1" si="25"/>
        <v>975947.95447108906</v>
      </c>
      <c r="CZ48" s="1729">
        <f t="shared" ca="1" si="25"/>
        <v>998308.68070555106</v>
      </c>
      <c r="DA48" s="1729">
        <f t="shared" ca="1" si="25"/>
        <v>1014620.7686618366</v>
      </c>
      <c r="DB48" s="1729">
        <f t="shared" ca="1" si="25"/>
        <v>883972.93307075941</v>
      </c>
      <c r="DC48" s="1729">
        <f t="shared" ca="1" si="25"/>
        <v>878959.20771500049</v>
      </c>
      <c r="DD48" s="1729">
        <f t="shared" ca="1" si="25"/>
        <v>946704.78876518528</v>
      </c>
      <c r="DE48" s="1729">
        <f t="shared" ca="1" si="25"/>
        <v>1118339.1327332484</v>
      </c>
      <c r="DF48" s="1729">
        <f t="shared" ca="1" si="25"/>
        <v>858958.7150266869</v>
      </c>
      <c r="DG48" s="1729">
        <f t="shared" ca="1" si="25"/>
        <v>699740.63693007024</v>
      </c>
      <c r="DH48" s="1729">
        <f t="shared" ca="1" si="25"/>
        <v>626927.56011568801</v>
      </c>
      <c r="DI48" s="1729">
        <f t="shared" ca="1" si="25"/>
        <v>763787.27790899714</v>
      </c>
      <c r="DJ48" s="1729">
        <f t="shared" ca="1" si="25"/>
        <v>1015547.8400711727</v>
      </c>
      <c r="DK48" s="1729">
        <f t="shared" ca="1" si="25"/>
        <v>1005226.3931052218</v>
      </c>
      <c r="DL48" s="1729">
        <f t="shared" ca="1" si="25"/>
        <v>1028257.9411267176</v>
      </c>
      <c r="DM48" s="1729">
        <f t="shared" ca="1" si="25"/>
        <v>1045059.3917216917</v>
      </c>
      <c r="DN48" s="1729">
        <f t="shared" ca="1" si="25"/>
        <v>910492.12106288224</v>
      </c>
      <c r="DO48" s="1729">
        <f t="shared" ca="1" si="25"/>
        <v>905327.98394645064</v>
      </c>
      <c r="DP48" s="1729">
        <f t="shared" ca="1" si="25"/>
        <v>975105.93242814101</v>
      </c>
      <c r="DQ48" s="1729">
        <f t="shared" ca="1" si="25"/>
        <v>1151889.3067152463</v>
      </c>
      <c r="DR48" s="1729">
        <f t="shared" ca="1" si="25"/>
        <v>884727.47647748748</v>
      </c>
      <c r="DS48" s="1729">
        <f t="shared" ca="1" si="25"/>
        <v>720732.85603797249</v>
      </c>
      <c r="DT48" s="1485" t="s">
        <v>65</v>
      </c>
    </row>
    <row r="49" spans="1:124">
      <c r="B49" s="1795" t="s">
        <v>1085</v>
      </c>
      <c r="C49" s="1578"/>
      <c r="D49" s="1796">
        <f t="shared" ref="D49:BO49" ca="1" si="26">D48/D38</f>
        <v>0.72950570264625048</v>
      </c>
      <c r="E49" s="1796">
        <f t="shared" ca="1" si="26"/>
        <v>0.7931354281382742</v>
      </c>
      <c r="F49" s="1796">
        <f t="shared" ca="1" si="26"/>
        <v>0.84398176056344365</v>
      </c>
      <c r="G49" s="1796">
        <f t="shared" ca="1" si="26"/>
        <v>0.85510928574925471</v>
      </c>
      <c r="H49" s="1796">
        <f t="shared" ca="1" si="26"/>
        <v>0.86519854205000668</v>
      </c>
      <c r="I49" s="1796">
        <f t="shared" ca="1" si="26"/>
        <v>0.87602717756510218</v>
      </c>
      <c r="J49" s="1796">
        <f t="shared" ca="1" si="26"/>
        <v>0.86642299412969193</v>
      </c>
      <c r="K49" s="1796">
        <f t="shared" ca="1" si="26"/>
        <v>0.87202923864436022</v>
      </c>
      <c r="L49" s="1796">
        <f t="shared" ca="1" si="26"/>
        <v>0.88146696120545198</v>
      </c>
      <c r="M49" s="1796">
        <f t="shared" ca="1" si="26"/>
        <v>0.89531411658070659</v>
      </c>
      <c r="N49" s="1796">
        <f t="shared" ca="1" si="26"/>
        <v>0.87776123039171949</v>
      </c>
      <c r="O49" s="1796">
        <f t="shared" ca="1" si="26"/>
        <v>0.86261421696390761</v>
      </c>
      <c r="P49" s="1796">
        <f t="shared" ca="1" si="26"/>
        <v>0.85129398297878778</v>
      </c>
      <c r="Q49" s="1796">
        <f t="shared" ca="1" si="26"/>
        <v>0.87121767643877979</v>
      </c>
      <c r="R49" s="1796">
        <f t="shared" ca="1" si="26"/>
        <v>0.89061896502151738</v>
      </c>
      <c r="S49" s="1796">
        <f t="shared" ca="1" si="26"/>
        <v>0.89220407522877765</v>
      </c>
      <c r="T49" s="1796">
        <f t="shared" ca="1" si="26"/>
        <v>0.89387822116297544</v>
      </c>
      <c r="U49" s="1796">
        <f t="shared" ca="1" si="26"/>
        <v>0.89840504384909381</v>
      </c>
      <c r="V49" s="1796">
        <f t="shared" ca="1" si="26"/>
        <v>0.88526784726666918</v>
      </c>
      <c r="W49" s="1796">
        <f t="shared" ca="1" si="26"/>
        <v>0.88551570792626644</v>
      </c>
      <c r="X49" s="1796">
        <f t="shared" ca="1" si="26"/>
        <v>0.89252699058851293</v>
      </c>
      <c r="Y49" s="1796">
        <f t="shared" ca="1" si="26"/>
        <v>0.90352328188958153</v>
      </c>
      <c r="Z49" s="1796">
        <f t="shared" ca="1" si="26"/>
        <v>0.88671017036622846</v>
      </c>
      <c r="AA49" s="1796">
        <f t="shared" ca="1" si="26"/>
        <v>0.87164466873620006</v>
      </c>
      <c r="AB49" s="1796">
        <f t="shared" ca="1" si="26"/>
        <v>0.85962318146130035</v>
      </c>
      <c r="AC49" s="1796">
        <f t="shared" ca="1" si="26"/>
        <v>0.87666595271944936</v>
      </c>
      <c r="AD49" s="1796">
        <f t="shared" ca="1" si="26"/>
        <v>0.89368071645240321</v>
      </c>
      <c r="AE49" s="1796">
        <f t="shared" ca="1" si="26"/>
        <v>0.8942216564125226</v>
      </c>
      <c r="AF49" s="1796">
        <f t="shared" ca="1" si="26"/>
        <v>0.89484367570737244</v>
      </c>
      <c r="AG49" s="1796">
        <f t="shared" ca="1" si="26"/>
        <v>0.89840504384909392</v>
      </c>
      <c r="AH49" s="1796">
        <f t="shared" ca="1" si="26"/>
        <v>0.88526784726666907</v>
      </c>
      <c r="AI49" s="1796">
        <f t="shared" ca="1" si="26"/>
        <v>0.88551570792626655</v>
      </c>
      <c r="AJ49" s="1796">
        <f t="shared" ca="1" si="26"/>
        <v>0.89252699058851293</v>
      </c>
      <c r="AK49" s="1796">
        <f t="shared" ca="1" si="26"/>
        <v>0.90352328188958164</v>
      </c>
      <c r="AL49" s="1796">
        <f t="shared" ca="1" si="26"/>
        <v>0.88671017036622846</v>
      </c>
      <c r="AM49" s="1796">
        <f t="shared" ca="1" si="26"/>
        <v>0.87164466873619995</v>
      </c>
      <c r="AN49" s="1796">
        <f t="shared" ca="1" si="26"/>
        <v>0.85962318146130023</v>
      </c>
      <c r="AO49" s="1796">
        <f t="shared" ca="1" si="26"/>
        <v>0.87868833519280143</v>
      </c>
      <c r="AP49" s="1796">
        <f t="shared" ca="1" si="26"/>
        <v>0.8936807164524031</v>
      </c>
      <c r="AQ49" s="1796">
        <f t="shared" ca="1" si="26"/>
        <v>0.89422165641252271</v>
      </c>
      <c r="AR49" s="1796">
        <f t="shared" ca="1" si="26"/>
        <v>0.89484367570737233</v>
      </c>
      <c r="AS49" s="1796">
        <f t="shared" ca="1" si="26"/>
        <v>0.89840504384909381</v>
      </c>
      <c r="AT49" s="1796">
        <f t="shared" ca="1" si="26"/>
        <v>0.88526784726666907</v>
      </c>
      <c r="AU49" s="1796">
        <f t="shared" ca="1" si="26"/>
        <v>0.88551570792626644</v>
      </c>
      <c r="AV49" s="1796">
        <f t="shared" ca="1" si="26"/>
        <v>0.89252699058851281</v>
      </c>
      <c r="AW49" s="1796">
        <f t="shared" ca="1" si="26"/>
        <v>0.90352328188958164</v>
      </c>
      <c r="AX49" s="1796">
        <f t="shared" ca="1" si="26"/>
        <v>0.88671017036622846</v>
      </c>
      <c r="AY49" s="1796">
        <f t="shared" ca="1" si="26"/>
        <v>0.87164466873619995</v>
      </c>
      <c r="AZ49" s="1796">
        <f t="shared" ca="1" si="26"/>
        <v>0.85962318146130023</v>
      </c>
      <c r="BA49" s="1796">
        <f t="shared" ca="1" si="26"/>
        <v>0.87666595271944947</v>
      </c>
      <c r="BB49" s="1796">
        <f t="shared" ca="1" si="26"/>
        <v>0.8936807164524031</v>
      </c>
      <c r="BC49" s="1796">
        <f t="shared" ca="1" si="26"/>
        <v>0.8942216564125226</v>
      </c>
      <c r="BD49" s="1796">
        <f t="shared" ca="1" si="26"/>
        <v>0.89484367570737244</v>
      </c>
      <c r="BE49" s="1796">
        <f t="shared" ca="1" si="26"/>
        <v>0.89840504384909392</v>
      </c>
      <c r="BF49" s="1796">
        <f t="shared" ca="1" si="26"/>
        <v>0.88526784726666918</v>
      </c>
      <c r="BG49" s="1796">
        <f t="shared" ca="1" si="26"/>
        <v>0.88551570792626655</v>
      </c>
      <c r="BH49" s="1796">
        <f t="shared" ca="1" si="26"/>
        <v>0.89252699058851293</v>
      </c>
      <c r="BI49" s="1796">
        <f t="shared" ca="1" si="26"/>
        <v>0.90352328188958153</v>
      </c>
      <c r="BJ49" s="1796">
        <f t="shared" ca="1" si="26"/>
        <v>0.88671017036622846</v>
      </c>
      <c r="BK49" s="1796">
        <f t="shared" ca="1" si="26"/>
        <v>0.87164466873619995</v>
      </c>
      <c r="BL49" s="1796">
        <f t="shared" ca="1" si="26"/>
        <v>0.85962318146130035</v>
      </c>
      <c r="BM49" s="1796">
        <f t="shared" ca="1" si="26"/>
        <v>0.87666595271944947</v>
      </c>
      <c r="BN49" s="1796">
        <f t="shared" ca="1" si="26"/>
        <v>0.89368071645240321</v>
      </c>
      <c r="BO49" s="1796">
        <f t="shared" ca="1" si="26"/>
        <v>0.8942216564125226</v>
      </c>
      <c r="BP49" s="1796">
        <f t="shared" ref="BP49:DS49" ca="1" si="27">BP48/BP38</f>
        <v>0.89484367570737244</v>
      </c>
      <c r="BQ49" s="1796">
        <f t="shared" ca="1" si="27"/>
        <v>0.89840504384909381</v>
      </c>
      <c r="BR49" s="1796">
        <f t="shared" ca="1" si="27"/>
        <v>0.88526784726666918</v>
      </c>
      <c r="BS49" s="1796">
        <f t="shared" ca="1" si="27"/>
        <v>0.88551570792626655</v>
      </c>
      <c r="BT49" s="1796">
        <f t="shared" ca="1" si="27"/>
        <v>0.89252699058851293</v>
      </c>
      <c r="BU49" s="1796">
        <f t="shared" ca="1" si="27"/>
        <v>0.90352328188958164</v>
      </c>
      <c r="BV49" s="1796">
        <f t="shared" ca="1" si="27"/>
        <v>0.88671017036622846</v>
      </c>
      <c r="BW49" s="1796">
        <f t="shared" ca="1" si="27"/>
        <v>0.87164466873619995</v>
      </c>
      <c r="BX49" s="1796">
        <f t="shared" ca="1" si="27"/>
        <v>0.85962318146130023</v>
      </c>
      <c r="BY49" s="1796">
        <f t="shared" ca="1" si="27"/>
        <v>0.87666595271944947</v>
      </c>
      <c r="BZ49" s="1796">
        <f t="shared" ca="1" si="27"/>
        <v>0.89368071645240321</v>
      </c>
      <c r="CA49" s="1796">
        <f t="shared" ca="1" si="27"/>
        <v>0.8942216564125226</v>
      </c>
      <c r="CB49" s="1796">
        <f t="shared" ca="1" si="27"/>
        <v>0.89484367570737244</v>
      </c>
      <c r="CC49" s="1796">
        <f t="shared" ca="1" si="27"/>
        <v>0.89840504384909381</v>
      </c>
      <c r="CD49" s="1796">
        <f t="shared" ca="1" si="27"/>
        <v>0.88526784726666918</v>
      </c>
      <c r="CE49" s="1796">
        <f t="shared" ca="1" si="27"/>
        <v>0.88551570792626655</v>
      </c>
      <c r="CF49" s="1796">
        <f t="shared" ca="1" si="27"/>
        <v>0.89252699058851293</v>
      </c>
      <c r="CG49" s="1796">
        <f t="shared" ca="1" si="27"/>
        <v>0.90352328188958164</v>
      </c>
      <c r="CH49" s="1796">
        <f t="shared" ca="1" si="27"/>
        <v>0.88671017036622846</v>
      </c>
      <c r="CI49" s="1796">
        <f t="shared" ca="1" si="27"/>
        <v>0.87164466873619995</v>
      </c>
      <c r="CJ49" s="1796">
        <f t="shared" ca="1" si="27"/>
        <v>0.85962318146130035</v>
      </c>
      <c r="CK49" s="1796">
        <f t="shared" ca="1" si="27"/>
        <v>0.87868833519280154</v>
      </c>
      <c r="CL49" s="1796">
        <f t="shared" ca="1" si="27"/>
        <v>0.8936807164524031</v>
      </c>
      <c r="CM49" s="1796">
        <f t="shared" ca="1" si="27"/>
        <v>0.8942216564125226</v>
      </c>
      <c r="CN49" s="1796">
        <f t="shared" ca="1" si="27"/>
        <v>0.89484367570737244</v>
      </c>
      <c r="CO49" s="1796">
        <f t="shared" ca="1" si="27"/>
        <v>0.89840504384909392</v>
      </c>
      <c r="CP49" s="1796">
        <f t="shared" ca="1" si="27"/>
        <v>0.88526784726666918</v>
      </c>
      <c r="CQ49" s="1796">
        <f t="shared" ca="1" si="27"/>
        <v>0.88551570792626644</v>
      </c>
      <c r="CR49" s="1796">
        <f t="shared" ca="1" si="27"/>
        <v>0.89252699058851293</v>
      </c>
      <c r="CS49" s="1796">
        <f t="shared" ca="1" si="27"/>
        <v>0.90352328188958153</v>
      </c>
      <c r="CT49" s="1796">
        <f t="shared" ca="1" si="27"/>
        <v>0.88671017036622846</v>
      </c>
      <c r="CU49" s="1796">
        <f t="shared" ca="1" si="27"/>
        <v>0.87164466873619995</v>
      </c>
      <c r="CV49" s="1796">
        <f t="shared" ca="1" si="27"/>
        <v>0.85962318146130035</v>
      </c>
      <c r="CW49" s="1796">
        <f t="shared" ca="1" si="27"/>
        <v>0.87666595271944947</v>
      </c>
      <c r="CX49" s="1796">
        <f t="shared" ca="1" si="27"/>
        <v>0.8936807164524031</v>
      </c>
      <c r="CY49" s="1796">
        <f t="shared" ca="1" si="27"/>
        <v>0.8942216564125226</v>
      </c>
      <c r="CZ49" s="1796">
        <f t="shared" ca="1" si="27"/>
        <v>0.89484367570737244</v>
      </c>
      <c r="DA49" s="1796">
        <f t="shared" ca="1" si="27"/>
        <v>0.89840504384909381</v>
      </c>
      <c r="DB49" s="1796">
        <f t="shared" ca="1" si="27"/>
        <v>0.88526784726666918</v>
      </c>
      <c r="DC49" s="1796">
        <f t="shared" ca="1" si="27"/>
        <v>0.88551570792626644</v>
      </c>
      <c r="DD49" s="1796">
        <f t="shared" ca="1" si="27"/>
        <v>0.89252699058851281</v>
      </c>
      <c r="DE49" s="1796">
        <f t="shared" ca="1" si="27"/>
        <v>0.90352328188958153</v>
      </c>
      <c r="DF49" s="1796">
        <f t="shared" ca="1" si="27"/>
        <v>0.88671017036622846</v>
      </c>
      <c r="DG49" s="1796">
        <f t="shared" ca="1" si="27"/>
        <v>0.87164466873619995</v>
      </c>
      <c r="DH49" s="1796">
        <f t="shared" ca="1" si="27"/>
        <v>0.85962318146130035</v>
      </c>
      <c r="DI49" s="1796">
        <f t="shared" ca="1" si="27"/>
        <v>0.87666595271944947</v>
      </c>
      <c r="DJ49" s="1796">
        <f t="shared" ca="1" si="27"/>
        <v>0.8936807164524031</v>
      </c>
      <c r="DK49" s="1796">
        <f t="shared" ca="1" si="27"/>
        <v>0.8942216564125226</v>
      </c>
      <c r="DL49" s="1796">
        <f t="shared" ca="1" si="27"/>
        <v>0.89484367570737244</v>
      </c>
      <c r="DM49" s="1796">
        <f t="shared" ca="1" si="27"/>
        <v>0.89840504384909392</v>
      </c>
      <c r="DN49" s="1796">
        <f t="shared" ca="1" si="27"/>
        <v>0.88526784726666918</v>
      </c>
      <c r="DO49" s="1796">
        <f t="shared" ca="1" si="27"/>
        <v>0.88551570792626655</v>
      </c>
      <c r="DP49" s="1796">
        <f t="shared" ca="1" si="27"/>
        <v>0.89252699058851281</v>
      </c>
      <c r="DQ49" s="1796">
        <f t="shared" ca="1" si="27"/>
        <v>0.90352328188958164</v>
      </c>
      <c r="DR49" s="1796">
        <f t="shared" ca="1" si="27"/>
        <v>0.88671017036622846</v>
      </c>
      <c r="DS49" s="1796">
        <f t="shared" ca="1" si="27"/>
        <v>0.87164466873619995</v>
      </c>
      <c r="DT49" s="1485" t="s">
        <v>65</v>
      </c>
    </row>
    <row r="50" spans="1:124">
      <c r="DT50" s="1485" t="s">
        <v>65</v>
      </c>
    </row>
    <row r="51" spans="1:124">
      <c r="A51" s="1487" t="s">
        <v>65</v>
      </c>
      <c r="B51" s="1503" t="s">
        <v>1087</v>
      </c>
      <c r="DT51" s="1485" t="s">
        <v>65</v>
      </c>
    </row>
    <row r="52" spans="1:124">
      <c r="B52" s="1724" t="s">
        <v>1088</v>
      </c>
      <c r="D52" s="1664">
        <f ca="1">'Cash Flow MH'!D$27*'Assumptions MH'!$Q15*((1+D$13)^('Cash Flow MH'!D$5-1))</f>
        <v>37178.129713443406</v>
      </c>
      <c r="E52" s="1664">
        <f ca="1">'Cash Flow MH'!E$27*'Assumptions MH'!$Q15*((1+E$13)^('Cash Flow MH'!E$5-1))</f>
        <v>37178.129713443406</v>
      </c>
      <c r="F52" s="1664">
        <f ca="1">'Cash Flow MH'!F$27*'Assumptions MH'!$Q15*((1+F$13)^('Cash Flow MH'!F$5-1))</f>
        <v>37178.129713443406</v>
      </c>
      <c r="G52" s="1664">
        <f ca="1">'Cash Flow MH'!G$27*'Assumptions MH'!$Q15*((1+G$13)^('Cash Flow MH'!G$5-1))</f>
        <v>37178.129713443406</v>
      </c>
      <c r="H52" s="1664">
        <f ca="1">'Cash Flow MH'!H$27*'Assumptions MH'!$Q15*((1+H$13)^('Cash Flow MH'!H$5-1))</f>
        <v>37178.129713443406</v>
      </c>
      <c r="I52" s="1664">
        <f ca="1">'Cash Flow MH'!I$27*'Assumptions MH'!$Q15*((1+I$13)^('Cash Flow MH'!I$5-1))</f>
        <v>37178.129713443406</v>
      </c>
      <c r="J52" s="1664">
        <f ca="1">'Cash Flow MH'!J$27*'Assumptions MH'!$Q15*((1+J$13)^('Cash Flow MH'!J$5-1))</f>
        <v>37178.129713443406</v>
      </c>
      <c r="K52" s="1664">
        <f ca="1">'Cash Flow MH'!K$27*'Assumptions MH'!$Q15*((1+K$13)^('Cash Flow MH'!K$5-1))</f>
        <v>37178.129713443406</v>
      </c>
      <c r="L52" s="1664">
        <f ca="1">'Cash Flow MH'!L$27*'Assumptions MH'!$Q15*((1+L$13)^('Cash Flow MH'!L$5-1))</f>
        <v>37178.129713443406</v>
      </c>
      <c r="M52" s="1664">
        <f ca="1">'Cash Flow MH'!M$27*'Assumptions MH'!$Q15*((1+M$13)^('Cash Flow MH'!M$5-1))</f>
        <v>37178.129713443406</v>
      </c>
      <c r="N52" s="1664">
        <f ca="1">'Cash Flow MH'!N$27*'Assumptions MH'!$Q15*((1+N$13)^('Cash Flow MH'!N$5-1))</f>
        <v>37178.129713443406</v>
      </c>
      <c r="O52" s="1664">
        <f ca="1">'Cash Flow MH'!O$27*'Assumptions MH'!$Q15*((1+O$13)^('Cash Flow MH'!O$5-1))</f>
        <v>37178.129713443406</v>
      </c>
      <c r="P52" s="1664">
        <f ca="1">'Cash Flow MH'!P$27*'Assumptions MH'!$Q15*((1+P$13)^('Cash Flow MH'!P$5-1))</f>
        <v>38293.473604846709</v>
      </c>
      <c r="Q52" s="1664">
        <f ca="1">'Cash Flow MH'!Q$27*'Assumptions MH'!$Q15*((1+Q$13)^('Cash Flow MH'!Q$5-1))</f>
        <v>38293.473604846709</v>
      </c>
      <c r="R52" s="1664">
        <f ca="1">'Cash Flow MH'!R$27*'Assumptions MH'!$Q15*((1+R$13)^('Cash Flow MH'!R$5-1))</f>
        <v>38293.473604846709</v>
      </c>
      <c r="S52" s="1664">
        <f ca="1">'Cash Flow MH'!S$27*'Assumptions MH'!$Q15*((1+S$13)^('Cash Flow MH'!S$5-1))</f>
        <v>38293.473604846709</v>
      </c>
      <c r="T52" s="1664">
        <f ca="1">'Cash Flow MH'!T$27*'Assumptions MH'!$Q15*((1+T$13)^('Cash Flow MH'!T$5-1))</f>
        <v>38293.473604846709</v>
      </c>
      <c r="U52" s="1664">
        <f ca="1">'Cash Flow MH'!U$27*'Assumptions MH'!$Q15*((1+U$13)^('Cash Flow MH'!U$5-1))</f>
        <v>38293.473604846709</v>
      </c>
      <c r="V52" s="1664">
        <f ca="1">'Cash Flow MH'!V$27*'Assumptions MH'!$Q15*((1+V$13)^('Cash Flow MH'!V$5-1))</f>
        <v>38293.473604846709</v>
      </c>
      <c r="W52" s="1664">
        <f ca="1">'Cash Flow MH'!W$27*'Assumptions MH'!$Q15*((1+W$13)^('Cash Flow MH'!W$5-1))</f>
        <v>38293.473604846709</v>
      </c>
      <c r="X52" s="1664">
        <f ca="1">'Cash Flow MH'!X$27*'Assumptions MH'!$Q15*((1+X$13)^('Cash Flow MH'!X$5-1))</f>
        <v>38293.473604846709</v>
      </c>
      <c r="Y52" s="1664">
        <f ca="1">'Cash Flow MH'!Y$27*'Assumptions MH'!$Q15*((1+Y$13)^('Cash Flow MH'!Y$5-1))</f>
        <v>38293.473604846709</v>
      </c>
      <c r="Z52" s="1664">
        <f ca="1">'Cash Flow MH'!Z$27*'Assumptions MH'!$Q15*((1+Z$13)^('Cash Flow MH'!Z$5-1))</f>
        <v>38293.473604846709</v>
      </c>
      <c r="AA52" s="1664">
        <f ca="1">'Cash Flow MH'!AA$27*'Assumptions MH'!$Q15*((1+AA$13)^('Cash Flow MH'!AA$5-1))</f>
        <v>38293.473604846709</v>
      </c>
      <c r="AB52" s="1664">
        <f ca="1">'Cash Flow MH'!AB$27*'Assumptions MH'!$Q15*((1+AB$13)^('Cash Flow MH'!AB$5-1))</f>
        <v>39442.277812992106</v>
      </c>
      <c r="AC52" s="1664">
        <f ca="1">'Cash Flow MH'!AC$27*'Assumptions MH'!$Q15*((1+AC$13)^('Cash Flow MH'!AC$5-1))</f>
        <v>39442.277812992106</v>
      </c>
      <c r="AD52" s="1664">
        <f ca="1">'Cash Flow MH'!AD$27*'Assumptions MH'!$Q15*((1+AD$13)^('Cash Flow MH'!AD$5-1))</f>
        <v>39442.277812992106</v>
      </c>
      <c r="AE52" s="1664">
        <f ca="1">'Cash Flow MH'!AE$27*'Assumptions MH'!$Q15*((1+AE$13)^('Cash Flow MH'!AE$5-1))</f>
        <v>39442.277812992106</v>
      </c>
      <c r="AF52" s="1664">
        <f ca="1">'Cash Flow MH'!AF$27*'Assumptions MH'!$Q15*((1+AF$13)^('Cash Flow MH'!AF$5-1))</f>
        <v>39442.277812992106</v>
      </c>
      <c r="AG52" s="1664">
        <f ca="1">'Cash Flow MH'!AG$27*'Assumptions MH'!$Q15*((1+AG$13)^('Cash Flow MH'!AG$5-1))</f>
        <v>39442.277812992106</v>
      </c>
      <c r="AH52" s="1664">
        <f ca="1">'Cash Flow MH'!AH$27*'Assumptions MH'!$Q15*((1+AH$13)^('Cash Flow MH'!AH$5-1))</f>
        <v>39442.277812992106</v>
      </c>
      <c r="AI52" s="1664">
        <f ca="1">'Cash Flow MH'!AI$27*'Assumptions MH'!$Q15*((1+AI$13)^('Cash Flow MH'!AI$5-1))</f>
        <v>39442.277812992106</v>
      </c>
      <c r="AJ52" s="1664">
        <f ca="1">'Cash Flow MH'!AJ$27*'Assumptions MH'!$Q15*((1+AJ$13)^('Cash Flow MH'!AJ$5-1))</f>
        <v>39442.277812992106</v>
      </c>
      <c r="AK52" s="1664">
        <f ca="1">'Cash Flow MH'!AK$27*'Assumptions MH'!$Q15*((1+AK$13)^('Cash Flow MH'!AK$5-1))</f>
        <v>39442.277812992106</v>
      </c>
      <c r="AL52" s="1664">
        <f ca="1">'Cash Flow MH'!AL$27*'Assumptions MH'!$Q15*((1+AL$13)^('Cash Flow MH'!AL$5-1))</f>
        <v>39442.277812992106</v>
      </c>
      <c r="AM52" s="1664">
        <f ca="1">'Cash Flow MH'!AM$27*'Assumptions MH'!$Q15*((1+AM$13)^('Cash Flow MH'!AM$5-1))</f>
        <v>39442.277812992106</v>
      </c>
      <c r="AN52" s="1664">
        <f ca="1">'Cash Flow MH'!AN$27*'Assumptions MH'!$Q15*((1+AN$13)^('Cash Flow MH'!AN$5-1))</f>
        <v>40625.546147381872</v>
      </c>
      <c r="AO52" s="1664">
        <f ca="1">'Cash Flow MH'!AO$27*'Assumptions MH'!$Q15*((1+AO$13)^('Cash Flow MH'!AO$5-1))</f>
        <v>40625.546147381872</v>
      </c>
      <c r="AP52" s="1664">
        <f ca="1">'Cash Flow MH'!AP$27*'Assumptions MH'!$Q15*((1+AP$13)^('Cash Flow MH'!AP$5-1))</f>
        <v>40625.546147381872</v>
      </c>
      <c r="AQ52" s="1664">
        <f ca="1">'Cash Flow MH'!AQ$27*'Assumptions MH'!$Q15*((1+AQ$13)^('Cash Flow MH'!AQ$5-1))</f>
        <v>40625.546147381872</v>
      </c>
      <c r="AR52" s="1664">
        <f ca="1">'Cash Flow MH'!AR$27*'Assumptions MH'!$Q15*((1+AR$13)^('Cash Flow MH'!AR$5-1))</f>
        <v>40625.546147381872</v>
      </c>
      <c r="AS52" s="1664">
        <f ca="1">'Cash Flow MH'!AS$27*'Assumptions MH'!$Q15*((1+AS$13)^('Cash Flow MH'!AS$5-1))</f>
        <v>40625.546147381872</v>
      </c>
      <c r="AT52" s="1664">
        <f ca="1">'Cash Flow MH'!AT$27*'Assumptions MH'!$Q15*((1+AT$13)^('Cash Flow MH'!AT$5-1))</f>
        <v>40625.546147381872</v>
      </c>
      <c r="AU52" s="1664">
        <f ca="1">'Cash Flow MH'!AU$27*'Assumptions MH'!$Q15*((1+AU$13)^('Cash Flow MH'!AU$5-1))</f>
        <v>40625.546147381872</v>
      </c>
      <c r="AV52" s="1664">
        <f ca="1">'Cash Flow MH'!AV$27*'Assumptions MH'!$Q15*((1+AV$13)^('Cash Flow MH'!AV$5-1))</f>
        <v>40625.546147381872</v>
      </c>
      <c r="AW52" s="1664">
        <f ca="1">'Cash Flow MH'!AW$27*'Assumptions MH'!$Q15*((1+AW$13)^('Cash Flow MH'!AW$5-1))</f>
        <v>40625.546147381872</v>
      </c>
      <c r="AX52" s="1664">
        <f ca="1">'Cash Flow MH'!AX$27*'Assumptions MH'!$Q15*((1+AX$13)^('Cash Flow MH'!AX$5-1))</f>
        <v>40625.546147381872</v>
      </c>
      <c r="AY52" s="1664">
        <f ca="1">'Cash Flow MH'!AY$27*'Assumptions MH'!$Q15*((1+AY$13)^('Cash Flow MH'!AY$5-1))</f>
        <v>40625.546147381872</v>
      </c>
      <c r="AZ52" s="1664">
        <f ca="1">'Cash Flow MH'!AZ$27*'Assumptions MH'!$Q15*((1+AZ$13)^('Cash Flow MH'!AZ$5-1))</f>
        <v>41844.312531803327</v>
      </c>
      <c r="BA52" s="1664">
        <f ca="1">'Cash Flow MH'!BA$27*'Assumptions MH'!$Q15*((1+BA$13)^('Cash Flow MH'!BA$5-1))</f>
        <v>41844.312531803327</v>
      </c>
      <c r="BB52" s="1664">
        <f ca="1">'Cash Flow MH'!BB$27*'Assumptions MH'!$Q15*((1+BB$13)^('Cash Flow MH'!BB$5-1))</f>
        <v>41844.312531803327</v>
      </c>
      <c r="BC52" s="1664">
        <f ca="1">'Cash Flow MH'!BC$27*'Assumptions MH'!$Q15*((1+BC$13)^('Cash Flow MH'!BC$5-1))</f>
        <v>41844.312531803327</v>
      </c>
      <c r="BD52" s="1664">
        <f ca="1">'Cash Flow MH'!BD$27*'Assumptions MH'!$Q15*((1+BD$13)^('Cash Flow MH'!BD$5-1))</f>
        <v>41844.312531803327</v>
      </c>
      <c r="BE52" s="1664">
        <f ca="1">'Cash Flow MH'!BE$27*'Assumptions MH'!$Q15*((1+BE$13)^('Cash Flow MH'!BE$5-1))</f>
        <v>41844.312531803327</v>
      </c>
      <c r="BF52" s="1664">
        <f ca="1">'Cash Flow MH'!BF$27*'Assumptions MH'!$Q15*((1+BF$13)^('Cash Flow MH'!BF$5-1))</f>
        <v>41844.312531803327</v>
      </c>
      <c r="BG52" s="1664">
        <f ca="1">'Cash Flow MH'!BG$27*'Assumptions MH'!$Q15*((1+BG$13)^('Cash Flow MH'!BG$5-1))</f>
        <v>41844.312531803327</v>
      </c>
      <c r="BH52" s="1664">
        <f ca="1">'Cash Flow MH'!BH$27*'Assumptions MH'!$Q15*((1+BH$13)^('Cash Flow MH'!BH$5-1))</f>
        <v>41844.312531803327</v>
      </c>
      <c r="BI52" s="1664">
        <f ca="1">'Cash Flow MH'!BI$27*'Assumptions MH'!$Q15*((1+BI$13)^('Cash Flow MH'!BI$5-1))</f>
        <v>41844.312531803327</v>
      </c>
      <c r="BJ52" s="1664">
        <f ca="1">'Cash Flow MH'!BJ$27*'Assumptions MH'!$Q15*((1+BJ$13)^('Cash Flow MH'!BJ$5-1))</f>
        <v>41844.312531803327</v>
      </c>
      <c r="BK52" s="1664">
        <f ca="1">'Cash Flow MH'!BK$27*'Assumptions MH'!$Q15*((1+BK$13)^('Cash Flow MH'!BK$5-1))</f>
        <v>41844.312531803327</v>
      </c>
      <c r="BL52" s="1664">
        <f ca="1">'Cash Flow MH'!BL$27*'Assumptions MH'!$Q15*((1+BL$13)^('Cash Flow MH'!BL$5-1))</f>
        <v>43099.641907757425</v>
      </c>
      <c r="BM52" s="1664">
        <f ca="1">'Cash Flow MH'!BM$27*'Assumptions MH'!$Q15*((1+BM$13)^('Cash Flow MH'!BM$5-1))</f>
        <v>43099.641907757425</v>
      </c>
      <c r="BN52" s="1664">
        <f ca="1">'Cash Flow MH'!BN$27*'Assumptions MH'!$Q15*((1+BN$13)^('Cash Flow MH'!BN$5-1))</f>
        <v>43099.641907757425</v>
      </c>
      <c r="BO52" s="1664">
        <f ca="1">'Cash Flow MH'!BO$27*'Assumptions MH'!$Q15*((1+BO$13)^('Cash Flow MH'!BO$5-1))</f>
        <v>43099.641907757425</v>
      </c>
      <c r="BP52" s="1664">
        <f ca="1">'Cash Flow MH'!BP$27*'Assumptions MH'!$Q15*((1+BP$13)^('Cash Flow MH'!BP$5-1))</f>
        <v>43099.641907757425</v>
      </c>
      <c r="BQ52" s="1664">
        <f ca="1">'Cash Flow MH'!BQ$27*'Assumptions MH'!$Q15*((1+BQ$13)^('Cash Flow MH'!BQ$5-1))</f>
        <v>43099.641907757425</v>
      </c>
      <c r="BR52" s="1664">
        <f ca="1">'Cash Flow MH'!BR$27*'Assumptions MH'!$Q15*((1+BR$13)^('Cash Flow MH'!BR$5-1))</f>
        <v>43099.641907757425</v>
      </c>
      <c r="BS52" s="1664">
        <f ca="1">'Cash Flow MH'!BS$27*'Assumptions MH'!$Q15*((1+BS$13)^('Cash Flow MH'!BS$5-1))</f>
        <v>43099.641907757425</v>
      </c>
      <c r="BT52" s="1664">
        <f ca="1">'Cash Flow MH'!BT$27*'Assumptions MH'!$Q15*((1+BT$13)^('Cash Flow MH'!BT$5-1))</f>
        <v>43099.641907757425</v>
      </c>
      <c r="BU52" s="1664">
        <f ca="1">'Cash Flow MH'!BU$27*'Assumptions MH'!$Q15*((1+BU$13)^('Cash Flow MH'!BU$5-1))</f>
        <v>43099.641907757425</v>
      </c>
      <c r="BV52" s="1664">
        <f ca="1">'Cash Flow MH'!BV$27*'Assumptions MH'!$Q15*((1+BV$13)^('Cash Flow MH'!BV$5-1))</f>
        <v>43099.641907757425</v>
      </c>
      <c r="BW52" s="1664">
        <f ca="1">'Cash Flow MH'!BW$27*'Assumptions MH'!$Q15*((1+BW$13)^('Cash Flow MH'!BW$5-1))</f>
        <v>43099.641907757425</v>
      </c>
      <c r="BX52" s="1664">
        <f ca="1">'Cash Flow MH'!BX$27*'Assumptions MH'!$Q15*((1+BX$13)^('Cash Flow MH'!BX$5-1))</f>
        <v>44392.631164990147</v>
      </c>
      <c r="BY52" s="1664">
        <f ca="1">'Cash Flow MH'!BY$27*'Assumptions MH'!$Q15*((1+BY$13)^('Cash Flow MH'!BY$5-1))</f>
        <v>44392.631164990147</v>
      </c>
      <c r="BZ52" s="1664">
        <f ca="1">'Cash Flow MH'!BZ$27*'Assumptions MH'!$Q15*((1+BZ$13)^('Cash Flow MH'!BZ$5-1))</f>
        <v>44392.631164990147</v>
      </c>
      <c r="CA52" s="1664">
        <f ca="1">'Cash Flow MH'!CA$27*'Assumptions MH'!$Q15*((1+CA$13)^('Cash Flow MH'!CA$5-1))</f>
        <v>44392.631164990147</v>
      </c>
      <c r="CB52" s="1664">
        <f ca="1">'Cash Flow MH'!CB$27*'Assumptions MH'!$Q15*((1+CB$13)^('Cash Flow MH'!CB$5-1))</f>
        <v>44392.631164990147</v>
      </c>
      <c r="CC52" s="1664">
        <f ca="1">'Cash Flow MH'!CC$27*'Assumptions MH'!$Q15*((1+CC$13)^('Cash Flow MH'!CC$5-1))</f>
        <v>44392.631164990147</v>
      </c>
      <c r="CD52" s="1664">
        <f ca="1">'Cash Flow MH'!CD$27*'Assumptions MH'!$Q15*((1+CD$13)^('Cash Flow MH'!CD$5-1))</f>
        <v>44392.631164990147</v>
      </c>
      <c r="CE52" s="1664">
        <f ca="1">'Cash Flow MH'!CE$27*'Assumptions MH'!$Q15*((1+CE$13)^('Cash Flow MH'!CE$5-1))</f>
        <v>44392.631164990147</v>
      </c>
      <c r="CF52" s="1664">
        <f ca="1">'Cash Flow MH'!CF$27*'Assumptions MH'!$Q15*((1+CF$13)^('Cash Flow MH'!CF$5-1))</f>
        <v>44392.631164990147</v>
      </c>
      <c r="CG52" s="1664">
        <f ca="1">'Cash Flow MH'!CG$27*'Assumptions MH'!$Q15*((1+CG$13)^('Cash Flow MH'!CG$5-1))</f>
        <v>44392.631164990147</v>
      </c>
      <c r="CH52" s="1664">
        <f ca="1">'Cash Flow MH'!CH$27*'Assumptions MH'!$Q15*((1+CH$13)^('Cash Flow MH'!CH$5-1))</f>
        <v>44392.631164990147</v>
      </c>
      <c r="CI52" s="1664">
        <f ca="1">'Cash Flow MH'!CI$27*'Assumptions MH'!$Q15*((1+CI$13)^('Cash Flow MH'!CI$5-1))</f>
        <v>44392.631164990147</v>
      </c>
      <c r="CJ52" s="1664">
        <f ca="1">'Cash Flow MH'!CJ$27*'Assumptions MH'!$Q15*((1+CJ$13)^('Cash Flow MH'!CJ$5-1))</f>
        <v>45724.410099939858</v>
      </c>
      <c r="CK52" s="1664">
        <f ca="1">'Cash Flow MH'!CK$27*'Assumptions MH'!$Q15*((1+CK$13)^('Cash Flow MH'!CK$5-1))</f>
        <v>45724.410099939858</v>
      </c>
      <c r="CL52" s="1664">
        <f ca="1">'Cash Flow MH'!CL$27*'Assumptions MH'!$Q15*((1+CL$13)^('Cash Flow MH'!CL$5-1))</f>
        <v>45724.410099939858</v>
      </c>
      <c r="CM52" s="1664">
        <f ca="1">'Cash Flow MH'!CM$27*'Assumptions MH'!$Q15*((1+CM$13)^('Cash Flow MH'!CM$5-1))</f>
        <v>45724.410099939858</v>
      </c>
      <c r="CN52" s="1664">
        <f ca="1">'Cash Flow MH'!CN$27*'Assumptions MH'!$Q15*((1+CN$13)^('Cash Flow MH'!CN$5-1))</f>
        <v>45724.410099939858</v>
      </c>
      <c r="CO52" s="1664">
        <f ca="1">'Cash Flow MH'!CO$27*'Assumptions MH'!$Q15*((1+CO$13)^('Cash Flow MH'!CO$5-1))</f>
        <v>45724.410099939858</v>
      </c>
      <c r="CP52" s="1664">
        <f ca="1">'Cash Flow MH'!CP$27*'Assumptions MH'!$Q15*((1+CP$13)^('Cash Flow MH'!CP$5-1))</f>
        <v>45724.410099939858</v>
      </c>
      <c r="CQ52" s="1664">
        <f ca="1">'Cash Flow MH'!CQ$27*'Assumptions MH'!$Q15*((1+CQ$13)^('Cash Flow MH'!CQ$5-1))</f>
        <v>45724.410099939858</v>
      </c>
      <c r="CR52" s="1664">
        <f ca="1">'Cash Flow MH'!CR$27*'Assumptions MH'!$Q15*((1+CR$13)^('Cash Flow MH'!CR$5-1))</f>
        <v>45724.410099939858</v>
      </c>
      <c r="CS52" s="1664">
        <f ca="1">'Cash Flow MH'!CS$27*'Assumptions MH'!$Q15*((1+CS$13)^('Cash Flow MH'!CS$5-1))</f>
        <v>45724.410099939858</v>
      </c>
      <c r="CT52" s="1664">
        <f ca="1">'Cash Flow MH'!CT$27*'Assumptions MH'!$Q15*((1+CT$13)^('Cash Flow MH'!CT$5-1))</f>
        <v>45724.410099939858</v>
      </c>
      <c r="CU52" s="1664">
        <f ca="1">'Cash Flow MH'!CU$27*'Assumptions MH'!$Q15*((1+CU$13)^('Cash Flow MH'!CU$5-1))</f>
        <v>45724.410099939858</v>
      </c>
      <c r="CV52" s="1664">
        <f ca="1">'Cash Flow MH'!CV$27*'Assumptions MH'!$Q15*((1+CV$13)^('Cash Flow MH'!CV$5-1))</f>
        <v>47096.142402938043</v>
      </c>
      <c r="CW52" s="1664">
        <f ca="1">'Cash Flow MH'!CW$27*'Assumptions MH'!$Q15*((1+CW$13)^('Cash Flow MH'!CW$5-1))</f>
        <v>47096.142402938043</v>
      </c>
      <c r="CX52" s="1664">
        <f ca="1">'Cash Flow MH'!CX$27*'Assumptions MH'!$Q15*((1+CX$13)^('Cash Flow MH'!CX$5-1))</f>
        <v>47096.142402938043</v>
      </c>
      <c r="CY52" s="1664">
        <f ca="1">'Cash Flow MH'!CY$27*'Assumptions MH'!$Q15*((1+CY$13)^('Cash Flow MH'!CY$5-1))</f>
        <v>47096.142402938043</v>
      </c>
      <c r="CZ52" s="1664">
        <f ca="1">'Cash Flow MH'!CZ$27*'Assumptions MH'!$Q15*((1+CZ$13)^('Cash Flow MH'!CZ$5-1))</f>
        <v>47096.142402938043</v>
      </c>
      <c r="DA52" s="1664">
        <f ca="1">'Cash Flow MH'!DA$27*'Assumptions MH'!$Q15*((1+DA$13)^('Cash Flow MH'!DA$5-1))</f>
        <v>47096.142402938043</v>
      </c>
      <c r="DB52" s="1664">
        <f ca="1">'Cash Flow MH'!DB$27*'Assumptions MH'!$Q15*((1+DB$13)^('Cash Flow MH'!DB$5-1))</f>
        <v>47096.142402938043</v>
      </c>
      <c r="DC52" s="1664">
        <f ca="1">'Cash Flow MH'!DC$27*'Assumptions MH'!$Q15*((1+DC$13)^('Cash Flow MH'!DC$5-1))</f>
        <v>47096.142402938043</v>
      </c>
      <c r="DD52" s="1664">
        <f ca="1">'Cash Flow MH'!DD$27*'Assumptions MH'!$Q15*((1+DD$13)^('Cash Flow MH'!DD$5-1))</f>
        <v>47096.142402938043</v>
      </c>
      <c r="DE52" s="1664">
        <f ca="1">'Cash Flow MH'!DE$27*'Assumptions MH'!$Q15*((1+DE$13)^('Cash Flow MH'!DE$5-1))</f>
        <v>47096.142402938043</v>
      </c>
      <c r="DF52" s="1664">
        <f ca="1">'Cash Flow MH'!DF$27*'Assumptions MH'!$Q15*((1+DF$13)^('Cash Flow MH'!DF$5-1))</f>
        <v>47096.142402938043</v>
      </c>
      <c r="DG52" s="1664">
        <f ca="1">'Cash Flow MH'!DG$27*'Assumptions MH'!$Q15*((1+DG$13)^('Cash Flow MH'!DG$5-1))</f>
        <v>47096.142402938043</v>
      </c>
      <c r="DH52" s="1664">
        <f ca="1">'Cash Flow MH'!DH$27*'Assumptions MH'!$Q15*((1+DH$13)^('Cash Flow MH'!DH$5-1))</f>
        <v>48509.026675026187</v>
      </c>
      <c r="DI52" s="1664">
        <f ca="1">'Cash Flow MH'!DI$27*'Assumptions MH'!$Q15*((1+DI$13)^('Cash Flow MH'!DI$5-1))</f>
        <v>48509.026675026187</v>
      </c>
      <c r="DJ52" s="1664">
        <f ca="1">'Cash Flow MH'!DJ$27*'Assumptions MH'!$Q15*((1+DJ$13)^('Cash Flow MH'!DJ$5-1))</f>
        <v>48509.026675026187</v>
      </c>
      <c r="DK52" s="1664">
        <f ca="1">'Cash Flow MH'!DK$27*'Assumptions MH'!$Q15*((1+DK$13)^('Cash Flow MH'!DK$5-1))</f>
        <v>48509.026675026187</v>
      </c>
      <c r="DL52" s="1664">
        <f ca="1">'Cash Flow MH'!DL$27*'Assumptions MH'!$Q15*((1+DL$13)^('Cash Flow MH'!DL$5-1))</f>
        <v>48509.026675026187</v>
      </c>
      <c r="DM52" s="1664">
        <f ca="1">'Cash Flow MH'!DM$27*'Assumptions MH'!$Q15*((1+DM$13)^('Cash Flow MH'!DM$5-1))</f>
        <v>48509.026675026187</v>
      </c>
      <c r="DN52" s="1664">
        <f ca="1">'Cash Flow MH'!DN$27*'Assumptions MH'!$Q15*((1+DN$13)^('Cash Flow MH'!DN$5-1))</f>
        <v>48509.026675026187</v>
      </c>
      <c r="DO52" s="1664">
        <f ca="1">'Cash Flow MH'!DO$27*'Assumptions MH'!$Q15*((1+DO$13)^('Cash Flow MH'!DO$5-1))</f>
        <v>48509.026675026187</v>
      </c>
      <c r="DP52" s="1664">
        <f ca="1">'Cash Flow MH'!DP$27*'Assumptions MH'!$Q15*((1+DP$13)^('Cash Flow MH'!DP$5-1))</f>
        <v>48509.026675026187</v>
      </c>
      <c r="DQ52" s="1664">
        <f ca="1">'Cash Flow MH'!DQ$27*'Assumptions MH'!$Q15*((1+DQ$13)^('Cash Flow MH'!DQ$5-1))</f>
        <v>48509.026675026187</v>
      </c>
      <c r="DR52" s="1664">
        <f ca="1">'Cash Flow MH'!DR$27*'Assumptions MH'!$Q15*((1+DR$13)^('Cash Flow MH'!DR$5-1))</f>
        <v>48509.026675026187</v>
      </c>
      <c r="DS52" s="1664">
        <f ca="1">'Cash Flow MH'!DS$27*'Assumptions MH'!$Q15*((1+DS$13)^('Cash Flow MH'!DS$5-1))</f>
        <v>48509.026675026187</v>
      </c>
      <c r="DT52" s="1485" t="s">
        <v>65</v>
      </c>
    </row>
    <row r="53" spans="1:124">
      <c r="B53" s="1724" t="s">
        <v>979</v>
      </c>
      <c r="D53" s="1726">
        <f>'Cash Flow MH'!D$27*'Assumptions MH'!$Q16*((1+D$13)^('Cash Flow MH'!D$5-1))</f>
        <v>655</v>
      </c>
      <c r="E53" s="1726">
        <f>'Cash Flow MH'!E$27*'Assumptions MH'!$Q16*((1+E$13)^('Cash Flow MH'!E$5-1))</f>
        <v>655</v>
      </c>
      <c r="F53" s="1726">
        <f>'Cash Flow MH'!F$27*'Assumptions MH'!$Q16*((1+F$13)^('Cash Flow MH'!F$5-1))</f>
        <v>655</v>
      </c>
      <c r="G53" s="1726">
        <f>'Cash Flow MH'!G$27*'Assumptions MH'!$Q16*((1+G$13)^('Cash Flow MH'!G$5-1))</f>
        <v>655</v>
      </c>
      <c r="H53" s="1726">
        <f>'Cash Flow MH'!H$27*'Assumptions MH'!$Q16*((1+H$13)^('Cash Flow MH'!H$5-1))</f>
        <v>655</v>
      </c>
      <c r="I53" s="1726">
        <f>'Cash Flow MH'!I$27*'Assumptions MH'!$Q16*((1+I$13)^('Cash Flow MH'!I$5-1))</f>
        <v>655</v>
      </c>
      <c r="J53" s="1726">
        <f>'Cash Flow MH'!J$27*'Assumptions MH'!$Q16*((1+J$13)^('Cash Flow MH'!J$5-1))</f>
        <v>655</v>
      </c>
      <c r="K53" s="1726">
        <f>'Cash Flow MH'!K$27*'Assumptions MH'!$Q16*((1+K$13)^('Cash Flow MH'!K$5-1))</f>
        <v>655</v>
      </c>
      <c r="L53" s="1726">
        <f>'Cash Flow MH'!L$27*'Assumptions MH'!$Q16*((1+L$13)^('Cash Flow MH'!L$5-1))</f>
        <v>655</v>
      </c>
      <c r="M53" s="1726">
        <f>'Cash Flow MH'!M$27*'Assumptions MH'!$Q16*((1+M$13)^('Cash Flow MH'!M$5-1))</f>
        <v>655</v>
      </c>
      <c r="N53" s="1726">
        <f>'Cash Flow MH'!N$27*'Assumptions MH'!$Q16*((1+N$13)^('Cash Flow MH'!N$5-1))</f>
        <v>655</v>
      </c>
      <c r="O53" s="1726">
        <f>'Cash Flow MH'!O$27*'Assumptions MH'!$Q16*((1+O$13)^('Cash Flow MH'!O$5-1))</f>
        <v>655</v>
      </c>
      <c r="P53" s="1726">
        <f>'Cash Flow MH'!P$27*'Assumptions MH'!$Q16*((1+P$13)^('Cash Flow MH'!P$5-1))</f>
        <v>674.65</v>
      </c>
      <c r="Q53" s="1726">
        <f>'Cash Flow MH'!Q$27*'Assumptions MH'!$Q16*((1+Q$13)^('Cash Flow MH'!Q$5-1))</f>
        <v>674.65</v>
      </c>
      <c r="R53" s="1726">
        <f>'Cash Flow MH'!R$27*'Assumptions MH'!$Q16*((1+R$13)^('Cash Flow MH'!R$5-1))</f>
        <v>674.65</v>
      </c>
      <c r="S53" s="1726">
        <f>'Cash Flow MH'!S$27*'Assumptions MH'!$Q16*((1+S$13)^('Cash Flow MH'!S$5-1))</f>
        <v>674.65</v>
      </c>
      <c r="T53" s="1726">
        <f>'Cash Flow MH'!T$27*'Assumptions MH'!$Q16*((1+T$13)^('Cash Flow MH'!T$5-1))</f>
        <v>674.65</v>
      </c>
      <c r="U53" s="1726">
        <f>'Cash Flow MH'!U$27*'Assumptions MH'!$Q16*((1+U$13)^('Cash Flow MH'!U$5-1))</f>
        <v>674.65</v>
      </c>
      <c r="V53" s="1726">
        <f>'Cash Flow MH'!V$27*'Assumptions MH'!$Q16*((1+V$13)^('Cash Flow MH'!V$5-1))</f>
        <v>674.65</v>
      </c>
      <c r="W53" s="1726">
        <f>'Cash Flow MH'!W$27*'Assumptions MH'!$Q16*((1+W$13)^('Cash Flow MH'!W$5-1))</f>
        <v>674.65</v>
      </c>
      <c r="X53" s="1726">
        <f>'Cash Flow MH'!X$27*'Assumptions MH'!$Q16*((1+X$13)^('Cash Flow MH'!X$5-1))</f>
        <v>674.65</v>
      </c>
      <c r="Y53" s="1726">
        <f>'Cash Flow MH'!Y$27*'Assumptions MH'!$Q16*((1+Y$13)^('Cash Flow MH'!Y$5-1))</f>
        <v>674.65</v>
      </c>
      <c r="Z53" s="1726">
        <f>'Cash Flow MH'!Z$27*'Assumptions MH'!$Q16*((1+Z$13)^('Cash Flow MH'!Z$5-1))</f>
        <v>674.65</v>
      </c>
      <c r="AA53" s="1726">
        <f>'Cash Flow MH'!AA$27*'Assumptions MH'!$Q16*((1+AA$13)^('Cash Flow MH'!AA$5-1))</f>
        <v>674.65</v>
      </c>
      <c r="AB53" s="1726">
        <f>'Cash Flow MH'!AB$27*'Assumptions MH'!$Q16*((1+AB$13)^('Cash Flow MH'!AB$5-1))</f>
        <v>694.8895</v>
      </c>
      <c r="AC53" s="1726">
        <f>'Cash Flow MH'!AC$27*'Assumptions MH'!$Q16*((1+AC$13)^('Cash Flow MH'!AC$5-1))</f>
        <v>694.8895</v>
      </c>
      <c r="AD53" s="1726">
        <f>'Cash Flow MH'!AD$27*'Assumptions MH'!$Q16*((1+AD$13)^('Cash Flow MH'!AD$5-1))</f>
        <v>694.8895</v>
      </c>
      <c r="AE53" s="1726">
        <f>'Cash Flow MH'!AE$27*'Assumptions MH'!$Q16*((1+AE$13)^('Cash Flow MH'!AE$5-1))</f>
        <v>694.8895</v>
      </c>
      <c r="AF53" s="1726">
        <f>'Cash Flow MH'!AF$27*'Assumptions MH'!$Q16*((1+AF$13)^('Cash Flow MH'!AF$5-1))</f>
        <v>694.8895</v>
      </c>
      <c r="AG53" s="1726">
        <f>'Cash Flow MH'!AG$27*'Assumptions MH'!$Q16*((1+AG$13)^('Cash Flow MH'!AG$5-1))</f>
        <v>694.8895</v>
      </c>
      <c r="AH53" s="1726">
        <f>'Cash Flow MH'!AH$27*'Assumptions MH'!$Q16*((1+AH$13)^('Cash Flow MH'!AH$5-1))</f>
        <v>694.8895</v>
      </c>
      <c r="AI53" s="1726">
        <f>'Cash Flow MH'!AI$27*'Assumptions MH'!$Q16*((1+AI$13)^('Cash Flow MH'!AI$5-1))</f>
        <v>694.8895</v>
      </c>
      <c r="AJ53" s="1726">
        <f>'Cash Flow MH'!AJ$27*'Assumptions MH'!$Q16*((1+AJ$13)^('Cash Flow MH'!AJ$5-1))</f>
        <v>694.8895</v>
      </c>
      <c r="AK53" s="1726">
        <f>'Cash Flow MH'!AK$27*'Assumptions MH'!$Q16*((1+AK$13)^('Cash Flow MH'!AK$5-1))</f>
        <v>694.8895</v>
      </c>
      <c r="AL53" s="1726">
        <f>'Cash Flow MH'!AL$27*'Assumptions MH'!$Q16*((1+AL$13)^('Cash Flow MH'!AL$5-1))</f>
        <v>694.8895</v>
      </c>
      <c r="AM53" s="1726">
        <f>'Cash Flow MH'!AM$27*'Assumptions MH'!$Q16*((1+AM$13)^('Cash Flow MH'!AM$5-1))</f>
        <v>694.8895</v>
      </c>
      <c r="AN53" s="1726">
        <f>'Cash Flow MH'!AN$27*'Assumptions MH'!$Q16*((1+AN$13)^('Cash Flow MH'!AN$5-1))</f>
        <v>715.73618499999998</v>
      </c>
      <c r="AO53" s="1726">
        <f>'Cash Flow MH'!AO$27*'Assumptions MH'!$Q16*((1+AO$13)^('Cash Flow MH'!AO$5-1))</f>
        <v>715.73618499999998</v>
      </c>
      <c r="AP53" s="1726">
        <f>'Cash Flow MH'!AP$27*'Assumptions MH'!$Q16*((1+AP$13)^('Cash Flow MH'!AP$5-1))</f>
        <v>715.73618499999998</v>
      </c>
      <c r="AQ53" s="1726">
        <f>'Cash Flow MH'!AQ$27*'Assumptions MH'!$Q16*((1+AQ$13)^('Cash Flow MH'!AQ$5-1))</f>
        <v>715.73618499999998</v>
      </c>
      <c r="AR53" s="1726">
        <f>'Cash Flow MH'!AR$27*'Assumptions MH'!$Q16*((1+AR$13)^('Cash Flow MH'!AR$5-1))</f>
        <v>715.73618499999998</v>
      </c>
      <c r="AS53" s="1726">
        <f>'Cash Flow MH'!AS$27*'Assumptions MH'!$Q16*((1+AS$13)^('Cash Flow MH'!AS$5-1))</f>
        <v>715.73618499999998</v>
      </c>
      <c r="AT53" s="1726">
        <f>'Cash Flow MH'!AT$27*'Assumptions MH'!$Q16*((1+AT$13)^('Cash Flow MH'!AT$5-1))</f>
        <v>715.73618499999998</v>
      </c>
      <c r="AU53" s="1726">
        <f>'Cash Flow MH'!AU$27*'Assumptions MH'!$Q16*((1+AU$13)^('Cash Flow MH'!AU$5-1))</f>
        <v>715.73618499999998</v>
      </c>
      <c r="AV53" s="1726">
        <f>'Cash Flow MH'!AV$27*'Assumptions MH'!$Q16*((1+AV$13)^('Cash Flow MH'!AV$5-1))</f>
        <v>715.73618499999998</v>
      </c>
      <c r="AW53" s="1726">
        <f>'Cash Flow MH'!AW$27*'Assumptions MH'!$Q16*((1+AW$13)^('Cash Flow MH'!AW$5-1))</f>
        <v>715.73618499999998</v>
      </c>
      <c r="AX53" s="1726">
        <f>'Cash Flow MH'!AX$27*'Assumptions MH'!$Q16*((1+AX$13)^('Cash Flow MH'!AX$5-1))</f>
        <v>715.73618499999998</v>
      </c>
      <c r="AY53" s="1726">
        <f>'Cash Flow MH'!AY$27*'Assumptions MH'!$Q16*((1+AY$13)^('Cash Flow MH'!AY$5-1))</f>
        <v>715.73618499999998</v>
      </c>
      <c r="AZ53" s="1726">
        <f>'Cash Flow MH'!AZ$27*'Assumptions MH'!$Q16*((1+AZ$13)^('Cash Flow MH'!AZ$5-1))</f>
        <v>737.20827054999995</v>
      </c>
      <c r="BA53" s="1726">
        <f>'Cash Flow MH'!BA$27*'Assumptions MH'!$Q16*((1+BA$13)^('Cash Flow MH'!BA$5-1))</f>
        <v>737.20827054999995</v>
      </c>
      <c r="BB53" s="1726">
        <f>'Cash Flow MH'!BB$27*'Assumptions MH'!$Q16*((1+BB$13)^('Cash Flow MH'!BB$5-1))</f>
        <v>737.20827054999995</v>
      </c>
      <c r="BC53" s="1726">
        <f>'Cash Flow MH'!BC$27*'Assumptions MH'!$Q16*((1+BC$13)^('Cash Flow MH'!BC$5-1))</f>
        <v>737.20827054999995</v>
      </c>
      <c r="BD53" s="1726">
        <f>'Cash Flow MH'!BD$27*'Assumptions MH'!$Q16*((1+BD$13)^('Cash Flow MH'!BD$5-1))</f>
        <v>737.20827054999995</v>
      </c>
      <c r="BE53" s="1726">
        <f>'Cash Flow MH'!BE$27*'Assumptions MH'!$Q16*((1+BE$13)^('Cash Flow MH'!BE$5-1))</f>
        <v>737.20827054999995</v>
      </c>
      <c r="BF53" s="1726">
        <f>'Cash Flow MH'!BF$27*'Assumptions MH'!$Q16*((1+BF$13)^('Cash Flow MH'!BF$5-1))</f>
        <v>737.20827054999995</v>
      </c>
      <c r="BG53" s="1726">
        <f>'Cash Flow MH'!BG$27*'Assumptions MH'!$Q16*((1+BG$13)^('Cash Flow MH'!BG$5-1))</f>
        <v>737.20827054999995</v>
      </c>
      <c r="BH53" s="1726">
        <f>'Cash Flow MH'!BH$27*'Assumptions MH'!$Q16*((1+BH$13)^('Cash Flow MH'!BH$5-1))</f>
        <v>737.20827054999995</v>
      </c>
      <c r="BI53" s="1726">
        <f>'Cash Flow MH'!BI$27*'Assumptions MH'!$Q16*((1+BI$13)^('Cash Flow MH'!BI$5-1))</f>
        <v>737.20827054999995</v>
      </c>
      <c r="BJ53" s="1726">
        <f>'Cash Flow MH'!BJ$27*'Assumptions MH'!$Q16*((1+BJ$13)^('Cash Flow MH'!BJ$5-1))</f>
        <v>737.20827054999995</v>
      </c>
      <c r="BK53" s="1726">
        <f>'Cash Flow MH'!BK$27*'Assumptions MH'!$Q16*((1+BK$13)^('Cash Flow MH'!BK$5-1))</f>
        <v>737.20827054999995</v>
      </c>
      <c r="BL53" s="1726">
        <f>'Cash Flow MH'!BL$27*'Assumptions MH'!$Q16*((1+BL$13)^('Cash Flow MH'!BL$5-1))</f>
        <v>759.3245186664999</v>
      </c>
      <c r="BM53" s="1726">
        <f>'Cash Flow MH'!BM$27*'Assumptions MH'!$Q16*((1+BM$13)^('Cash Flow MH'!BM$5-1))</f>
        <v>759.3245186664999</v>
      </c>
      <c r="BN53" s="1726">
        <f>'Cash Flow MH'!BN$27*'Assumptions MH'!$Q16*((1+BN$13)^('Cash Flow MH'!BN$5-1))</f>
        <v>759.3245186664999</v>
      </c>
      <c r="BO53" s="1726">
        <f>'Cash Flow MH'!BO$27*'Assumptions MH'!$Q16*((1+BO$13)^('Cash Flow MH'!BO$5-1))</f>
        <v>759.3245186664999</v>
      </c>
      <c r="BP53" s="1726">
        <f>'Cash Flow MH'!BP$27*'Assumptions MH'!$Q16*((1+BP$13)^('Cash Flow MH'!BP$5-1))</f>
        <v>759.3245186664999</v>
      </c>
      <c r="BQ53" s="1726">
        <f>'Cash Flow MH'!BQ$27*'Assumptions MH'!$Q16*((1+BQ$13)^('Cash Flow MH'!BQ$5-1))</f>
        <v>759.3245186664999</v>
      </c>
      <c r="BR53" s="1726">
        <f>'Cash Flow MH'!BR$27*'Assumptions MH'!$Q16*((1+BR$13)^('Cash Flow MH'!BR$5-1))</f>
        <v>759.3245186664999</v>
      </c>
      <c r="BS53" s="1726">
        <f>'Cash Flow MH'!BS$27*'Assumptions MH'!$Q16*((1+BS$13)^('Cash Flow MH'!BS$5-1))</f>
        <v>759.3245186664999</v>
      </c>
      <c r="BT53" s="1726">
        <f>'Cash Flow MH'!BT$27*'Assumptions MH'!$Q16*((1+BT$13)^('Cash Flow MH'!BT$5-1))</f>
        <v>759.3245186664999</v>
      </c>
      <c r="BU53" s="1726">
        <f>'Cash Flow MH'!BU$27*'Assumptions MH'!$Q16*((1+BU$13)^('Cash Flow MH'!BU$5-1))</f>
        <v>759.3245186664999</v>
      </c>
      <c r="BV53" s="1726">
        <f>'Cash Flow MH'!BV$27*'Assumptions MH'!$Q16*((1+BV$13)^('Cash Flow MH'!BV$5-1))</f>
        <v>759.3245186664999</v>
      </c>
      <c r="BW53" s="1726">
        <f>'Cash Flow MH'!BW$27*'Assumptions MH'!$Q16*((1+BW$13)^('Cash Flow MH'!BW$5-1))</f>
        <v>759.3245186664999</v>
      </c>
      <c r="BX53" s="1726">
        <f>'Cash Flow MH'!BX$27*'Assumptions MH'!$Q16*((1+BX$13)^('Cash Flow MH'!BX$5-1))</f>
        <v>782.10425422649496</v>
      </c>
      <c r="BY53" s="1726">
        <f>'Cash Flow MH'!BY$27*'Assumptions MH'!$Q16*((1+BY$13)^('Cash Flow MH'!BY$5-1))</f>
        <v>782.10425422649496</v>
      </c>
      <c r="BZ53" s="1726">
        <f>'Cash Flow MH'!BZ$27*'Assumptions MH'!$Q16*((1+BZ$13)^('Cash Flow MH'!BZ$5-1))</f>
        <v>782.10425422649496</v>
      </c>
      <c r="CA53" s="1726">
        <f>'Cash Flow MH'!CA$27*'Assumptions MH'!$Q16*((1+CA$13)^('Cash Flow MH'!CA$5-1))</f>
        <v>782.10425422649496</v>
      </c>
      <c r="CB53" s="1726">
        <f>'Cash Flow MH'!CB$27*'Assumptions MH'!$Q16*((1+CB$13)^('Cash Flow MH'!CB$5-1))</f>
        <v>782.10425422649496</v>
      </c>
      <c r="CC53" s="1726">
        <f>'Cash Flow MH'!CC$27*'Assumptions MH'!$Q16*((1+CC$13)^('Cash Flow MH'!CC$5-1))</f>
        <v>782.10425422649496</v>
      </c>
      <c r="CD53" s="1726">
        <f>'Cash Flow MH'!CD$27*'Assumptions MH'!$Q16*((1+CD$13)^('Cash Flow MH'!CD$5-1))</f>
        <v>782.10425422649496</v>
      </c>
      <c r="CE53" s="1726">
        <f>'Cash Flow MH'!CE$27*'Assumptions MH'!$Q16*((1+CE$13)^('Cash Flow MH'!CE$5-1))</f>
        <v>782.10425422649496</v>
      </c>
      <c r="CF53" s="1726">
        <f>'Cash Flow MH'!CF$27*'Assumptions MH'!$Q16*((1+CF$13)^('Cash Flow MH'!CF$5-1))</f>
        <v>782.10425422649496</v>
      </c>
      <c r="CG53" s="1726">
        <f>'Cash Flow MH'!CG$27*'Assumptions MH'!$Q16*((1+CG$13)^('Cash Flow MH'!CG$5-1))</f>
        <v>782.10425422649496</v>
      </c>
      <c r="CH53" s="1726">
        <f>'Cash Flow MH'!CH$27*'Assumptions MH'!$Q16*((1+CH$13)^('Cash Flow MH'!CH$5-1))</f>
        <v>782.10425422649496</v>
      </c>
      <c r="CI53" s="1726">
        <f>'Cash Flow MH'!CI$27*'Assumptions MH'!$Q16*((1+CI$13)^('Cash Flow MH'!CI$5-1))</f>
        <v>782.10425422649496</v>
      </c>
      <c r="CJ53" s="1726">
        <f>'Cash Flow MH'!CJ$27*'Assumptions MH'!$Q16*((1+CJ$13)^('Cash Flow MH'!CJ$5-1))</f>
        <v>805.56738185328982</v>
      </c>
      <c r="CK53" s="1726">
        <f>'Cash Flow MH'!CK$27*'Assumptions MH'!$Q16*((1+CK$13)^('Cash Flow MH'!CK$5-1))</f>
        <v>805.56738185328982</v>
      </c>
      <c r="CL53" s="1726">
        <f>'Cash Flow MH'!CL$27*'Assumptions MH'!$Q16*((1+CL$13)^('Cash Flow MH'!CL$5-1))</f>
        <v>805.56738185328982</v>
      </c>
      <c r="CM53" s="1726">
        <f>'Cash Flow MH'!CM$27*'Assumptions MH'!$Q16*((1+CM$13)^('Cash Flow MH'!CM$5-1))</f>
        <v>805.56738185328982</v>
      </c>
      <c r="CN53" s="1726">
        <f>'Cash Flow MH'!CN$27*'Assumptions MH'!$Q16*((1+CN$13)^('Cash Flow MH'!CN$5-1))</f>
        <v>805.56738185328982</v>
      </c>
      <c r="CO53" s="1726">
        <f>'Cash Flow MH'!CO$27*'Assumptions MH'!$Q16*((1+CO$13)^('Cash Flow MH'!CO$5-1))</f>
        <v>805.56738185328982</v>
      </c>
      <c r="CP53" s="1726">
        <f>'Cash Flow MH'!CP$27*'Assumptions MH'!$Q16*((1+CP$13)^('Cash Flow MH'!CP$5-1))</f>
        <v>805.56738185328982</v>
      </c>
      <c r="CQ53" s="1726">
        <f>'Cash Flow MH'!CQ$27*'Assumptions MH'!$Q16*((1+CQ$13)^('Cash Flow MH'!CQ$5-1))</f>
        <v>805.56738185328982</v>
      </c>
      <c r="CR53" s="1726">
        <f>'Cash Flow MH'!CR$27*'Assumptions MH'!$Q16*((1+CR$13)^('Cash Flow MH'!CR$5-1))</f>
        <v>805.56738185328982</v>
      </c>
      <c r="CS53" s="1726">
        <f>'Cash Flow MH'!CS$27*'Assumptions MH'!$Q16*((1+CS$13)^('Cash Flow MH'!CS$5-1))</f>
        <v>805.56738185328982</v>
      </c>
      <c r="CT53" s="1726">
        <f>'Cash Flow MH'!CT$27*'Assumptions MH'!$Q16*((1+CT$13)^('Cash Flow MH'!CT$5-1))</f>
        <v>805.56738185328982</v>
      </c>
      <c r="CU53" s="1726">
        <f>'Cash Flow MH'!CU$27*'Assumptions MH'!$Q16*((1+CU$13)^('Cash Flow MH'!CU$5-1))</f>
        <v>805.56738185328982</v>
      </c>
      <c r="CV53" s="1726">
        <f>'Cash Flow MH'!CV$27*'Assumptions MH'!$Q16*((1+CV$13)^('Cash Flow MH'!CV$5-1))</f>
        <v>829.73440330888843</v>
      </c>
      <c r="CW53" s="1726">
        <f>'Cash Flow MH'!CW$27*'Assumptions MH'!$Q16*((1+CW$13)^('Cash Flow MH'!CW$5-1))</f>
        <v>829.73440330888843</v>
      </c>
      <c r="CX53" s="1726">
        <f>'Cash Flow MH'!CX$27*'Assumptions MH'!$Q16*((1+CX$13)^('Cash Flow MH'!CX$5-1))</f>
        <v>829.73440330888843</v>
      </c>
      <c r="CY53" s="1726">
        <f>'Cash Flow MH'!CY$27*'Assumptions MH'!$Q16*((1+CY$13)^('Cash Flow MH'!CY$5-1))</f>
        <v>829.73440330888843</v>
      </c>
      <c r="CZ53" s="1726">
        <f>'Cash Flow MH'!CZ$27*'Assumptions MH'!$Q16*((1+CZ$13)^('Cash Flow MH'!CZ$5-1))</f>
        <v>829.73440330888843</v>
      </c>
      <c r="DA53" s="1726">
        <f>'Cash Flow MH'!DA$27*'Assumptions MH'!$Q16*((1+DA$13)^('Cash Flow MH'!DA$5-1))</f>
        <v>829.73440330888843</v>
      </c>
      <c r="DB53" s="1726">
        <f>'Cash Flow MH'!DB$27*'Assumptions MH'!$Q16*((1+DB$13)^('Cash Flow MH'!DB$5-1))</f>
        <v>829.73440330888843</v>
      </c>
      <c r="DC53" s="1726">
        <f>'Cash Flow MH'!DC$27*'Assumptions MH'!$Q16*((1+DC$13)^('Cash Flow MH'!DC$5-1))</f>
        <v>829.73440330888843</v>
      </c>
      <c r="DD53" s="1726">
        <f>'Cash Flow MH'!DD$27*'Assumptions MH'!$Q16*((1+DD$13)^('Cash Flow MH'!DD$5-1))</f>
        <v>829.73440330888843</v>
      </c>
      <c r="DE53" s="1726">
        <f>'Cash Flow MH'!DE$27*'Assumptions MH'!$Q16*((1+DE$13)^('Cash Flow MH'!DE$5-1))</f>
        <v>829.73440330888843</v>
      </c>
      <c r="DF53" s="1726">
        <f>'Cash Flow MH'!DF$27*'Assumptions MH'!$Q16*((1+DF$13)^('Cash Flow MH'!DF$5-1))</f>
        <v>829.73440330888843</v>
      </c>
      <c r="DG53" s="1726">
        <f>'Cash Flow MH'!DG$27*'Assumptions MH'!$Q16*((1+DG$13)^('Cash Flow MH'!DG$5-1))</f>
        <v>829.73440330888843</v>
      </c>
      <c r="DH53" s="1726">
        <f>'Cash Flow MH'!DH$27*'Assumptions MH'!$Q16*((1+DH$13)^('Cash Flow MH'!DH$5-1))</f>
        <v>854.62643540815509</v>
      </c>
      <c r="DI53" s="1726">
        <f>'Cash Flow MH'!DI$27*'Assumptions MH'!$Q16*((1+DI$13)^('Cash Flow MH'!DI$5-1))</f>
        <v>854.62643540815509</v>
      </c>
      <c r="DJ53" s="1726">
        <f>'Cash Flow MH'!DJ$27*'Assumptions MH'!$Q16*((1+DJ$13)^('Cash Flow MH'!DJ$5-1))</f>
        <v>854.62643540815509</v>
      </c>
      <c r="DK53" s="1726">
        <f>'Cash Flow MH'!DK$27*'Assumptions MH'!$Q16*((1+DK$13)^('Cash Flow MH'!DK$5-1))</f>
        <v>854.62643540815509</v>
      </c>
      <c r="DL53" s="1726">
        <f>'Cash Flow MH'!DL$27*'Assumptions MH'!$Q16*((1+DL$13)^('Cash Flow MH'!DL$5-1))</f>
        <v>854.62643540815509</v>
      </c>
      <c r="DM53" s="1726">
        <f>'Cash Flow MH'!DM$27*'Assumptions MH'!$Q16*((1+DM$13)^('Cash Flow MH'!DM$5-1))</f>
        <v>854.62643540815509</v>
      </c>
      <c r="DN53" s="1726">
        <f>'Cash Flow MH'!DN$27*'Assumptions MH'!$Q16*((1+DN$13)^('Cash Flow MH'!DN$5-1))</f>
        <v>854.62643540815509</v>
      </c>
      <c r="DO53" s="1726">
        <f>'Cash Flow MH'!DO$27*'Assumptions MH'!$Q16*((1+DO$13)^('Cash Flow MH'!DO$5-1))</f>
        <v>854.62643540815509</v>
      </c>
      <c r="DP53" s="1726">
        <f>'Cash Flow MH'!DP$27*'Assumptions MH'!$Q16*((1+DP$13)^('Cash Flow MH'!DP$5-1))</f>
        <v>854.62643540815509</v>
      </c>
      <c r="DQ53" s="1726">
        <f>'Cash Flow MH'!DQ$27*'Assumptions MH'!$Q16*((1+DQ$13)^('Cash Flow MH'!DQ$5-1))</f>
        <v>854.62643540815509</v>
      </c>
      <c r="DR53" s="1726">
        <f>'Cash Flow MH'!DR$27*'Assumptions MH'!$Q16*((1+DR$13)^('Cash Flow MH'!DR$5-1))</f>
        <v>854.62643540815509</v>
      </c>
      <c r="DS53" s="1726">
        <f>'Cash Flow MH'!DS$27*'Assumptions MH'!$Q16*((1+DS$13)^('Cash Flow MH'!DS$5-1))</f>
        <v>854.62643540815509</v>
      </c>
      <c r="DT53" s="1485" t="s">
        <v>65</v>
      </c>
    </row>
    <row r="54" spans="1:124">
      <c r="B54" s="1724" t="s">
        <v>1128</v>
      </c>
      <c r="D54" s="1726">
        <f>'Cash Flow MH'!D$27*'Assumptions MH'!$Q20*((1+D$13)^('Cash Flow MH'!D$5-1))</f>
        <v>19650</v>
      </c>
      <c r="E54" s="1726">
        <f>'Cash Flow MH'!E$27*'Assumptions MH'!$Q20*((1+E$13)^('Cash Flow MH'!E$5-1))</f>
        <v>19650</v>
      </c>
      <c r="F54" s="1726">
        <f>'Cash Flow MH'!F$27*'Assumptions MH'!$Q20*((1+F$13)^('Cash Flow MH'!F$5-1))</f>
        <v>19650</v>
      </c>
      <c r="G54" s="1726">
        <f>'Cash Flow MH'!G$27*'Assumptions MH'!$Q20*((1+G$13)^('Cash Flow MH'!G$5-1))</f>
        <v>19650</v>
      </c>
      <c r="H54" s="1726">
        <f>'Cash Flow MH'!H$27*'Assumptions MH'!$Q20*((1+H$13)^('Cash Flow MH'!H$5-1))</f>
        <v>19650</v>
      </c>
      <c r="I54" s="1726">
        <f>'Cash Flow MH'!I$27*'Assumptions MH'!$Q20*((1+I$13)^('Cash Flow MH'!I$5-1))</f>
        <v>19650</v>
      </c>
      <c r="J54" s="1726">
        <f>'Cash Flow MH'!J$27*'Assumptions MH'!$Q20*((1+J$13)^('Cash Flow MH'!J$5-1))</f>
        <v>19650</v>
      </c>
      <c r="K54" s="1726">
        <f>'Cash Flow MH'!K$27*'Assumptions MH'!$Q20*((1+K$13)^('Cash Flow MH'!K$5-1))</f>
        <v>19650</v>
      </c>
      <c r="L54" s="1726">
        <f>'Cash Flow MH'!L$27*'Assumptions MH'!$Q20*((1+L$13)^('Cash Flow MH'!L$5-1))</f>
        <v>19650</v>
      </c>
      <c r="M54" s="1726">
        <f>'Cash Flow MH'!M$27*'Assumptions MH'!$Q20*((1+M$13)^('Cash Flow MH'!M$5-1))</f>
        <v>19650</v>
      </c>
      <c r="N54" s="1726">
        <f>'Cash Flow MH'!N$27*'Assumptions MH'!$Q20*((1+N$13)^('Cash Flow MH'!N$5-1))</f>
        <v>19650</v>
      </c>
      <c r="O54" s="1726">
        <f>'Cash Flow MH'!O$27*'Assumptions MH'!$Q20*((1+O$13)^('Cash Flow MH'!O$5-1))</f>
        <v>19650</v>
      </c>
      <c r="P54" s="1726">
        <f>'Cash Flow MH'!P$27*'Assumptions MH'!$Q20*((1+P$13)^('Cash Flow MH'!P$5-1))</f>
        <v>20239.5</v>
      </c>
      <c r="Q54" s="1726">
        <f>'Cash Flow MH'!Q$27*'Assumptions MH'!$Q20*((1+Q$13)^('Cash Flow MH'!Q$5-1))</f>
        <v>20239.5</v>
      </c>
      <c r="R54" s="1726">
        <f>'Cash Flow MH'!R$27*'Assumptions MH'!$Q20*((1+R$13)^('Cash Flow MH'!R$5-1))</f>
        <v>20239.5</v>
      </c>
      <c r="S54" s="1726">
        <f>'Cash Flow MH'!S$27*'Assumptions MH'!$Q20*((1+S$13)^('Cash Flow MH'!S$5-1))</f>
        <v>20239.5</v>
      </c>
      <c r="T54" s="1726">
        <f>'Cash Flow MH'!T$27*'Assumptions MH'!$Q20*((1+T$13)^('Cash Flow MH'!T$5-1))</f>
        <v>20239.5</v>
      </c>
      <c r="U54" s="1726">
        <f>'Cash Flow MH'!U$27*'Assumptions MH'!$Q20*((1+U$13)^('Cash Flow MH'!U$5-1))</f>
        <v>20239.5</v>
      </c>
      <c r="V54" s="1726">
        <f>'Cash Flow MH'!V$27*'Assumptions MH'!$Q20*((1+V$13)^('Cash Flow MH'!V$5-1))</f>
        <v>20239.5</v>
      </c>
      <c r="W54" s="1726">
        <f>'Cash Flow MH'!W$27*'Assumptions MH'!$Q20*((1+W$13)^('Cash Flow MH'!W$5-1))</f>
        <v>20239.5</v>
      </c>
      <c r="X54" s="1726">
        <f>'Cash Flow MH'!X$27*'Assumptions MH'!$Q20*((1+X$13)^('Cash Flow MH'!X$5-1))</f>
        <v>20239.5</v>
      </c>
      <c r="Y54" s="1726">
        <f>'Cash Flow MH'!Y$27*'Assumptions MH'!$Q20*((1+Y$13)^('Cash Flow MH'!Y$5-1))</f>
        <v>20239.5</v>
      </c>
      <c r="Z54" s="1726">
        <f>'Cash Flow MH'!Z$27*'Assumptions MH'!$Q20*((1+Z$13)^('Cash Flow MH'!Z$5-1))</f>
        <v>20239.5</v>
      </c>
      <c r="AA54" s="1726">
        <f>'Cash Flow MH'!AA$27*'Assumptions MH'!$Q20*((1+AA$13)^('Cash Flow MH'!AA$5-1))</f>
        <v>20239.5</v>
      </c>
      <c r="AB54" s="1726">
        <f>'Cash Flow MH'!AB$27*'Assumptions MH'!$Q20*((1+AB$13)^('Cash Flow MH'!AB$5-1))</f>
        <v>20846.684999999998</v>
      </c>
      <c r="AC54" s="1726">
        <f>'Cash Flow MH'!AC$27*'Assumptions MH'!$Q20*((1+AC$13)^('Cash Flow MH'!AC$5-1))</f>
        <v>20846.684999999998</v>
      </c>
      <c r="AD54" s="1726">
        <f>'Cash Flow MH'!AD$27*'Assumptions MH'!$Q20*((1+AD$13)^('Cash Flow MH'!AD$5-1))</f>
        <v>20846.684999999998</v>
      </c>
      <c r="AE54" s="1726">
        <f>'Cash Flow MH'!AE$27*'Assumptions MH'!$Q20*((1+AE$13)^('Cash Flow MH'!AE$5-1))</f>
        <v>20846.684999999998</v>
      </c>
      <c r="AF54" s="1726">
        <f>'Cash Flow MH'!AF$27*'Assumptions MH'!$Q20*((1+AF$13)^('Cash Flow MH'!AF$5-1))</f>
        <v>20846.684999999998</v>
      </c>
      <c r="AG54" s="1726">
        <f>'Cash Flow MH'!AG$27*'Assumptions MH'!$Q20*((1+AG$13)^('Cash Flow MH'!AG$5-1))</f>
        <v>20846.684999999998</v>
      </c>
      <c r="AH54" s="1726">
        <f>'Cash Flow MH'!AH$27*'Assumptions MH'!$Q20*((1+AH$13)^('Cash Flow MH'!AH$5-1))</f>
        <v>20846.684999999998</v>
      </c>
      <c r="AI54" s="1726">
        <f>'Cash Flow MH'!AI$27*'Assumptions MH'!$Q20*((1+AI$13)^('Cash Flow MH'!AI$5-1))</f>
        <v>20846.684999999998</v>
      </c>
      <c r="AJ54" s="1726">
        <f>'Cash Flow MH'!AJ$27*'Assumptions MH'!$Q20*((1+AJ$13)^('Cash Flow MH'!AJ$5-1))</f>
        <v>20846.684999999998</v>
      </c>
      <c r="AK54" s="1726">
        <f>'Cash Flow MH'!AK$27*'Assumptions MH'!$Q20*((1+AK$13)^('Cash Flow MH'!AK$5-1))</f>
        <v>20846.684999999998</v>
      </c>
      <c r="AL54" s="1726">
        <f>'Cash Flow MH'!AL$27*'Assumptions MH'!$Q20*((1+AL$13)^('Cash Flow MH'!AL$5-1))</f>
        <v>20846.684999999998</v>
      </c>
      <c r="AM54" s="1726">
        <f>'Cash Flow MH'!AM$27*'Assumptions MH'!$Q20*((1+AM$13)^('Cash Flow MH'!AM$5-1))</f>
        <v>20846.684999999998</v>
      </c>
      <c r="AN54" s="1726">
        <f>'Cash Flow MH'!AN$27*'Assumptions MH'!$Q20*((1+AN$13)^('Cash Flow MH'!AN$5-1))</f>
        <v>21472.08555</v>
      </c>
      <c r="AO54" s="1726">
        <f>'Cash Flow MH'!AO$27*'Assumptions MH'!$Q20*((1+AO$13)^('Cash Flow MH'!AO$5-1))</f>
        <v>21472.08555</v>
      </c>
      <c r="AP54" s="1726">
        <f>'Cash Flow MH'!AP$27*'Assumptions MH'!$Q20*((1+AP$13)^('Cash Flow MH'!AP$5-1))</f>
        <v>21472.08555</v>
      </c>
      <c r="AQ54" s="1726">
        <f>'Cash Flow MH'!AQ$27*'Assumptions MH'!$Q20*((1+AQ$13)^('Cash Flow MH'!AQ$5-1))</f>
        <v>21472.08555</v>
      </c>
      <c r="AR54" s="1726">
        <f>'Cash Flow MH'!AR$27*'Assumptions MH'!$Q20*((1+AR$13)^('Cash Flow MH'!AR$5-1))</f>
        <v>21472.08555</v>
      </c>
      <c r="AS54" s="1726">
        <f>'Cash Flow MH'!AS$27*'Assumptions MH'!$Q20*((1+AS$13)^('Cash Flow MH'!AS$5-1))</f>
        <v>21472.08555</v>
      </c>
      <c r="AT54" s="1726">
        <f>'Cash Flow MH'!AT$27*'Assumptions MH'!$Q20*((1+AT$13)^('Cash Flow MH'!AT$5-1))</f>
        <v>21472.08555</v>
      </c>
      <c r="AU54" s="1726">
        <f>'Cash Flow MH'!AU$27*'Assumptions MH'!$Q20*((1+AU$13)^('Cash Flow MH'!AU$5-1))</f>
        <v>21472.08555</v>
      </c>
      <c r="AV54" s="1726">
        <f>'Cash Flow MH'!AV$27*'Assumptions MH'!$Q20*((1+AV$13)^('Cash Flow MH'!AV$5-1))</f>
        <v>21472.08555</v>
      </c>
      <c r="AW54" s="1726">
        <f>'Cash Flow MH'!AW$27*'Assumptions MH'!$Q20*((1+AW$13)^('Cash Flow MH'!AW$5-1))</f>
        <v>21472.08555</v>
      </c>
      <c r="AX54" s="1726">
        <f>'Cash Flow MH'!AX$27*'Assumptions MH'!$Q20*((1+AX$13)^('Cash Flow MH'!AX$5-1))</f>
        <v>21472.08555</v>
      </c>
      <c r="AY54" s="1726">
        <f>'Cash Flow MH'!AY$27*'Assumptions MH'!$Q20*((1+AY$13)^('Cash Flow MH'!AY$5-1))</f>
        <v>21472.08555</v>
      </c>
      <c r="AZ54" s="1726">
        <f>'Cash Flow MH'!AZ$27*'Assumptions MH'!$Q20*((1+AZ$13)^('Cash Flow MH'!AZ$5-1))</f>
        <v>22116.248116499999</v>
      </c>
      <c r="BA54" s="1726">
        <f>'Cash Flow MH'!BA$27*'Assumptions MH'!$Q20*((1+BA$13)^('Cash Flow MH'!BA$5-1))</f>
        <v>22116.248116499999</v>
      </c>
      <c r="BB54" s="1726">
        <f>'Cash Flow MH'!BB$27*'Assumptions MH'!$Q20*((1+BB$13)^('Cash Flow MH'!BB$5-1))</f>
        <v>22116.248116499999</v>
      </c>
      <c r="BC54" s="1726">
        <f>'Cash Flow MH'!BC$27*'Assumptions MH'!$Q20*((1+BC$13)^('Cash Flow MH'!BC$5-1))</f>
        <v>22116.248116499999</v>
      </c>
      <c r="BD54" s="1726">
        <f>'Cash Flow MH'!BD$27*'Assumptions MH'!$Q20*((1+BD$13)^('Cash Flow MH'!BD$5-1))</f>
        <v>22116.248116499999</v>
      </c>
      <c r="BE54" s="1726">
        <f>'Cash Flow MH'!BE$27*'Assumptions MH'!$Q20*((1+BE$13)^('Cash Flow MH'!BE$5-1))</f>
        <v>22116.248116499999</v>
      </c>
      <c r="BF54" s="1726">
        <f>'Cash Flow MH'!BF$27*'Assumptions MH'!$Q20*((1+BF$13)^('Cash Flow MH'!BF$5-1))</f>
        <v>22116.248116499999</v>
      </c>
      <c r="BG54" s="1726">
        <f>'Cash Flow MH'!BG$27*'Assumptions MH'!$Q20*((1+BG$13)^('Cash Flow MH'!BG$5-1))</f>
        <v>22116.248116499999</v>
      </c>
      <c r="BH54" s="1726">
        <f>'Cash Flow MH'!BH$27*'Assumptions MH'!$Q20*((1+BH$13)^('Cash Flow MH'!BH$5-1))</f>
        <v>22116.248116499999</v>
      </c>
      <c r="BI54" s="1726">
        <f>'Cash Flow MH'!BI$27*'Assumptions MH'!$Q20*((1+BI$13)^('Cash Flow MH'!BI$5-1))</f>
        <v>22116.248116499999</v>
      </c>
      <c r="BJ54" s="1726">
        <f>'Cash Flow MH'!BJ$27*'Assumptions MH'!$Q20*((1+BJ$13)^('Cash Flow MH'!BJ$5-1))</f>
        <v>22116.248116499999</v>
      </c>
      <c r="BK54" s="1726">
        <f>'Cash Flow MH'!BK$27*'Assumptions MH'!$Q20*((1+BK$13)^('Cash Flow MH'!BK$5-1))</f>
        <v>22116.248116499999</v>
      </c>
      <c r="BL54" s="1726">
        <f>'Cash Flow MH'!BL$27*'Assumptions MH'!$Q20*((1+BL$13)^('Cash Flow MH'!BL$5-1))</f>
        <v>22779.735559994999</v>
      </c>
      <c r="BM54" s="1726">
        <f>'Cash Flow MH'!BM$27*'Assumptions MH'!$Q20*((1+BM$13)^('Cash Flow MH'!BM$5-1))</f>
        <v>22779.735559994999</v>
      </c>
      <c r="BN54" s="1726">
        <f>'Cash Flow MH'!BN$27*'Assumptions MH'!$Q20*((1+BN$13)^('Cash Flow MH'!BN$5-1))</f>
        <v>22779.735559994999</v>
      </c>
      <c r="BO54" s="1726">
        <f>'Cash Flow MH'!BO$27*'Assumptions MH'!$Q20*((1+BO$13)^('Cash Flow MH'!BO$5-1))</f>
        <v>22779.735559994999</v>
      </c>
      <c r="BP54" s="1726">
        <f>'Cash Flow MH'!BP$27*'Assumptions MH'!$Q20*((1+BP$13)^('Cash Flow MH'!BP$5-1))</f>
        <v>22779.735559994999</v>
      </c>
      <c r="BQ54" s="1726">
        <f>'Cash Flow MH'!BQ$27*'Assumptions MH'!$Q20*((1+BQ$13)^('Cash Flow MH'!BQ$5-1))</f>
        <v>22779.735559994999</v>
      </c>
      <c r="BR54" s="1726">
        <f>'Cash Flow MH'!BR$27*'Assumptions MH'!$Q20*((1+BR$13)^('Cash Flow MH'!BR$5-1))</f>
        <v>22779.735559994999</v>
      </c>
      <c r="BS54" s="1726">
        <f>'Cash Flow MH'!BS$27*'Assumptions MH'!$Q20*((1+BS$13)^('Cash Flow MH'!BS$5-1))</f>
        <v>22779.735559994999</v>
      </c>
      <c r="BT54" s="1726">
        <f>'Cash Flow MH'!BT$27*'Assumptions MH'!$Q20*((1+BT$13)^('Cash Flow MH'!BT$5-1))</f>
        <v>22779.735559994999</v>
      </c>
      <c r="BU54" s="1726">
        <f>'Cash Flow MH'!BU$27*'Assumptions MH'!$Q20*((1+BU$13)^('Cash Flow MH'!BU$5-1))</f>
        <v>22779.735559994999</v>
      </c>
      <c r="BV54" s="1726">
        <f>'Cash Flow MH'!BV$27*'Assumptions MH'!$Q20*((1+BV$13)^('Cash Flow MH'!BV$5-1))</f>
        <v>22779.735559994999</v>
      </c>
      <c r="BW54" s="1726">
        <f>'Cash Flow MH'!BW$27*'Assumptions MH'!$Q20*((1+BW$13)^('Cash Flow MH'!BW$5-1))</f>
        <v>22779.735559994999</v>
      </c>
      <c r="BX54" s="1726">
        <f>'Cash Flow MH'!BX$27*'Assumptions MH'!$Q20*((1+BX$13)^('Cash Flow MH'!BX$5-1))</f>
        <v>23463.127626794849</v>
      </c>
      <c r="BY54" s="1726">
        <f>'Cash Flow MH'!BY$27*'Assumptions MH'!$Q20*((1+BY$13)^('Cash Flow MH'!BY$5-1))</f>
        <v>23463.127626794849</v>
      </c>
      <c r="BZ54" s="1726">
        <f>'Cash Flow MH'!BZ$27*'Assumptions MH'!$Q20*((1+BZ$13)^('Cash Flow MH'!BZ$5-1))</f>
        <v>23463.127626794849</v>
      </c>
      <c r="CA54" s="1726">
        <f>'Cash Flow MH'!CA$27*'Assumptions MH'!$Q20*((1+CA$13)^('Cash Flow MH'!CA$5-1))</f>
        <v>23463.127626794849</v>
      </c>
      <c r="CB54" s="1726">
        <f>'Cash Flow MH'!CB$27*'Assumptions MH'!$Q20*((1+CB$13)^('Cash Flow MH'!CB$5-1))</f>
        <v>23463.127626794849</v>
      </c>
      <c r="CC54" s="1726">
        <f>'Cash Flow MH'!CC$27*'Assumptions MH'!$Q20*((1+CC$13)^('Cash Flow MH'!CC$5-1))</f>
        <v>23463.127626794849</v>
      </c>
      <c r="CD54" s="1726">
        <f>'Cash Flow MH'!CD$27*'Assumptions MH'!$Q20*((1+CD$13)^('Cash Flow MH'!CD$5-1))</f>
        <v>23463.127626794849</v>
      </c>
      <c r="CE54" s="1726">
        <f>'Cash Flow MH'!CE$27*'Assumptions MH'!$Q20*((1+CE$13)^('Cash Flow MH'!CE$5-1))</f>
        <v>23463.127626794849</v>
      </c>
      <c r="CF54" s="1726">
        <f>'Cash Flow MH'!CF$27*'Assumptions MH'!$Q20*((1+CF$13)^('Cash Flow MH'!CF$5-1))</f>
        <v>23463.127626794849</v>
      </c>
      <c r="CG54" s="1726">
        <f>'Cash Flow MH'!CG$27*'Assumptions MH'!$Q20*((1+CG$13)^('Cash Flow MH'!CG$5-1))</f>
        <v>23463.127626794849</v>
      </c>
      <c r="CH54" s="1726">
        <f>'Cash Flow MH'!CH$27*'Assumptions MH'!$Q20*((1+CH$13)^('Cash Flow MH'!CH$5-1))</f>
        <v>23463.127626794849</v>
      </c>
      <c r="CI54" s="1726">
        <f>'Cash Flow MH'!CI$27*'Assumptions MH'!$Q20*((1+CI$13)^('Cash Flow MH'!CI$5-1))</f>
        <v>23463.127626794849</v>
      </c>
      <c r="CJ54" s="1726">
        <f>'Cash Flow MH'!CJ$27*'Assumptions MH'!$Q20*((1+CJ$13)^('Cash Flow MH'!CJ$5-1))</f>
        <v>24167.021455598697</v>
      </c>
      <c r="CK54" s="1726">
        <f>'Cash Flow MH'!CK$27*'Assumptions MH'!$Q20*((1+CK$13)^('Cash Flow MH'!CK$5-1))</f>
        <v>24167.021455598697</v>
      </c>
      <c r="CL54" s="1726">
        <f>'Cash Flow MH'!CL$27*'Assumptions MH'!$Q20*((1+CL$13)^('Cash Flow MH'!CL$5-1))</f>
        <v>24167.021455598697</v>
      </c>
      <c r="CM54" s="1726">
        <f>'Cash Flow MH'!CM$27*'Assumptions MH'!$Q20*((1+CM$13)^('Cash Flow MH'!CM$5-1))</f>
        <v>24167.021455598697</v>
      </c>
      <c r="CN54" s="1726">
        <f>'Cash Flow MH'!CN$27*'Assumptions MH'!$Q20*((1+CN$13)^('Cash Flow MH'!CN$5-1))</f>
        <v>24167.021455598697</v>
      </c>
      <c r="CO54" s="1726">
        <f>'Cash Flow MH'!CO$27*'Assumptions MH'!$Q20*((1+CO$13)^('Cash Flow MH'!CO$5-1))</f>
        <v>24167.021455598697</v>
      </c>
      <c r="CP54" s="1726">
        <f>'Cash Flow MH'!CP$27*'Assumptions MH'!$Q20*((1+CP$13)^('Cash Flow MH'!CP$5-1))</f>
        <v>24167.021455598697</v>
      </c>
      <c r="CQ54" s="1726">
        <f>'Cash Flow MH'!CQ$27*'Assumptions MH'!$Q20*((1+CQ$13)^('Cash Flow MH'!CQ$5-1))</f>
        <v>24167.021455598697</v>
      </c>
      <c r="CR54" s="1726">
        <f>'Cash Flow MH'!CR$27*'Assumptions MH'!$Q20*((1+CR$13)^('Cash Flow MH'!CR$5-1))</f>
        <v>24167.021455598697</v>
      </c>
      <c r="CS54" s="1726">
        <f>'Cash Flow MH'!CS$27*'Assumptions MH'!$Q20*((1+CS$13)^('Cash Flow MH'!CS$5-1))</f>
        <v>24167.021455598697</v>
      </c>
      <c r="CT54" s="1726">
        <f>'Cash Flow MH'!CT$27*'Assumptions MH'!$Q20*((1+CT$13)^('Cash Flow MH'!CT$5-1))</f>
        <v>24167.021455598697</v>
      </c>
      <c r="CU54" s="1726">
        <f>'Cash Flow MH'!CU$27*'Assumptions MH'!$Q20*((1+CU$13)^('Cash Flow MH'!CU$5-1))</f>
        <v>24167.021455598697</v>
      </c>
      <c r="CV54" s="1726">
        <f>'Cash Flow MH'!CV$27*'Assumptions MH'!$Q20*((1+CV$13)^('Cash Flow MH'!CV$5-1))</f>
        <v>24892.032099266653</v>
      </c>
      <c r="CW54" s="1726">
        <f>'Cash Flow MH'!CW$27*'Assumptions MH'!$Q20*((1+CW$13)^('Cash Flow MH'!CW$5-1))</f>
        <v>24892.032099266653</v>
      </c>
      <c r="CX54" s="1726">
        <f>'Cash Flow MH'!CX$27*'Assumptions MH'!$Q20*((1+CX$13)^('Cash Flow MH'!CX$5-1))</f>
        <v>24892.032099266653</v>
      </c>
      <c r="CY54" s="1726">
        <f>'Cash Flow MH'!CY$27*'Assumptions MH'!$Q20*((1+CY$13)^('Cash Flow MH'!CY$5-1))</f>
        <v>24892.032099266653</v>
      </c>
      <c r="CZ54" s="1726">
        <f>'Cash Flow MH'!CZ$27*'Assumptions MH'!$Q20*((1+CZ$13)^('Cash Flow MH'!CZ$5-1))</f>
        <v>24892.032099266653</v>
      </c>
      <c r="DA54" s="1726">
        <f>'Cash Flow MH'!DA$27*'Assumptions MH'!$Q20*((1+DA$13)^('Cash Flow MH'!DA$5-1))</f>
        <v>24892.032099266653</v>
      </c>
      <c r="DB54" s="1726">
        <f>'Cash Flow MH'!DB$27*'Assumptions MH'!$Q20*((1+DB$13)^('Cash Flow MH'!DB$5-1))</f>
        <v>24892.032099266653</v>
      </c>
      <c r="DC54" s="1726">
        <f>'Cash Flow MH'!DC$27*'Assumptions MH'!$Q20*((1+DC$13)^('Cash Flow MH'!DC$5-1))</f>
        <v>24892.032099266653</v>
      </c>
      <c r="DD54" s="1726">
        <f>'Cash Flow MH'!DD$27*'Assumptions MH'!$Q20*((1+DD$13)^('Cash Flow MH'!DD$5-1))</f>
        <v>24892.032099266653</v>
      </c>
      <c r="DE54" s="1726">
        <f>'Cash Flow MH'!DE$27*'Assumptions MH'!$Q20*((1+DE$13)^('Cash Flow MH'!DE$5-1))</f>
        <v>24892.032099266653</v>
      </c>
      <c r="DF54" s="1726">
        <f>'Cash Flow MH'!DF$27*'Assumptions MH'!$Q20*((1+DF$13)^('Cash Flow MH'!DF$5-1))</f>
        <v>24892.032099266653</v>
      </c>
      <c r="DG54" s="1726">
        <f>'Cash Flow MH'!DG$27*'Assumptions MH'!$Q20*((1+DG$13)^('Cash Flow MH'!DG$5-1))</f>
        <v>24892.032099266653</v>
      </c>
      <c r="DH54" s="1726">
        <f>'Cash Flow MH'!DH$27*'Assumptions MH'!$Q20*((1+DH$13)^('Cash Flow MH'!DH$5-1))</f>
        <v>25638.793062244655</v>
      </c>
      <c r="DI54" s="1726">
        <f>'Cash Flow MH'!DI$27*'Assumptions MH'!$Q20*((1+DI$13)^('Cash Flow MH'!DI$5-1))</f>
        <v>25638.793062244655</v>
      </c>
      <c r="DJ54" s="1726">
        <f>'Cash Flow MH'!DJ$27*'Assumptions MH'!$Q20*((1+DJ$13)^('Cash Flow MH'!DJ$5-1))</f>
        <v>25638.793062244655</v>
      </c>
      <c r="DK54" s="1726">
        <f>'Cash Flow MH'!DK$27*'Assumptions MH'!$Q20*((1+DK$13)^('Cash Flow MH'!DK$5-1))</f>
        <v>25638.793062244655</v>
      </c>
      <c r="DL54" s="1726">
        <f>'Cash Flow MH'!DL$27*'Assumptions MH'!$Q20*((1+DL$13)^('Cash Flow MH'!DL$5-1))</f>
        <v>25638.793062244655</v>
      </c>
      <c r="DM54" s="1726">
        <f>'Cash Flow MH'!DM$27*'Assumptions MH'!$Q20*((1+DM$13)^('Cash Flow MH'!DM$5-1))</f>
        <v>25638.793062244655</v>
      </c>
      <c r="DN54" s="1726">
        <f>'Cash Flow MH'!DN$27*'Assumptions MH'!$Q20*((1+DN$13)^('Cash Flow MH'!DN$5-1))</f>
        <v>25638.793062244655</v>
      </c>
      <c r="DO54" s="1726">
        <f>'Cash Flow MH'!DO$27*'Assumptions MH'!$Q20*((1+DO$13)^('Cash Flow MH'!DO$5-1))</f>
        <v>25638.793062244655</v>
      </c>
      <c r="DP54" s="1726">
        <f>'Cash Flow MH'!DP$27*'Assumptions MH'!$Q20*((1+DP$13)^('Cash Flow MH'!DP$5-1))</f>
        <v>25638.793062244655</v>
      </c>
      <c r="DQ54" s="1726">
        <f>'Cash Flow MH'!DQ$27*'Assumptions MH'!$Q20*((1+DQ$13)^('Cash Flow MH'!DQ$5-1))</f>
        <v>25638.793062244655</v>
      </c>
      <c r="DR54" s="1726">
        <f>'Cash Flow MH'!DR$27*'Assumptions MH'!$Q20*((1+DR$13)^('Cash Flow MH'!DR$5-1))</f>
        <v>25638.793062244655</v>
      </c>
      <c r="DS54" s="1726">
        <f>'Cash Flow MH'!DS$27*'Assumptions MH'!$Q20*((1+DS$13)^('Cash Flow MH'!DS$5-1))</f>
        <v>25638.793062244655</v>
      </c>
      <c r="DT54" s="1485" t="s">
        <v>65</v>
      </c>
    </row>
    <row r="55" spans="1:124">
      <c r="B55" s="1724" t="s">
        <v>1090</v>
      </c>
      <c r="D55" s="1797">
        <f>('Cash Flow MH'!D$27*'Assumptions MH'!$Q$29*((1+D$13)^('Cash Flow MH'!D$5-1)))</f>
        <v>5240</v>
      </c>
      <c r="E55" s="1797">
        <f>('Cash Flow MH'!E$27*'Assumptions MH'!$Q$29*((1+E$13)^('Cash Flow MH'!E$5-1)))</f>
        <v>5240</v>
      </c>
      <c r="F55" s="1797">
        <f>('Cash Flow MH'!F$27*'Assumptions MH'!$Q$29*((1+F$13)^('Cash Flow MH'!F$5-1)))</f>
        <v>5240</v>
      </c>
      <c r="G55" s="1797">
        <f>('Cash Flow MH'!G$27*'Assumptions MH'!$Q$29*((1+G$13)^('Cash Flow MH'!G$5-1)))</f>
        <v>5240</v>
      </c>
      <c r="H55" s="1797">
        <f>('Cash Flow MH'!H$27*'Assumptions MH'!$Q$29*((1+H$13)^('Cash Flow MH'!H$5-1)))</f>
        <v>5240</v>
      </c>
      <c r="I55" s="1797">
        <f>('Cash Flow MH'!I$27*'Assumptions MH'!$Q$29*((1+I$13)^('Cash Flow MH'!I$5-1)))</f>
        <v>5240</v>
      </c>
      <c r="J55" s="1797">
        <f>('Cash Flow MH'!J$27*'Assumptions MH'!$Q$29*((1+J$13)^('Cash Flow MH'!J$5-1)))</f>
        <v>5240</v>
      </c>
      <c r="K55" s="1797">
        <f>('Cash Flow MH'!K$27*'Assumptions MH'!$Q$29*((1+K$13)^('Cash Flow MH'!K$5-1)))</f>
        <v>5240</v>
      </c>
      <c r="L55" s="1797">
        <f>('Cash Flow MH'!L$27*'Assumptions MH'!$Q$29*((1+L$13)^('Cash Flow MH'!L$5-1)))</f>
        <v>5240</v>
      </c>
      <c r="M55" s="1797">
        <f>('Cash Flow MH'!M$27*'Assumptions MH'!$Q$29*((1+M$13)^('Cash Flow MH'!M$5-1)))</f>
        <v>5240</v>
      </c>
      <c r="N55" s="1797">
        <f>('Cash Flow MH'!N$27*'Assumptions MH'!$Q$29*((1+N$13)^('Cash Flow MH'!N$5-1)))</f>
        <v>5240</v>
      </c>
      <c r="O55" s="1797">
        <f>('Cash Flow MH'!O$27*'Assumptions MH'!$Q$29*((1+O$13)^('Cash Flow MH'!O$5-1)))</f>
        <v>5240</v>
      </c>
      <c r="P55" s="1797">
        <f>('Cash Flow MH'!P$27*'Assumptions MH'!$Q$29*((1+P$13)^('Cash Flow MH'!P$5-1)))</f>
        <v>5397.2</v>
      </c>
      <c r="Q55" s="1797">
        <f>('Cash Flow MH'!Q$27*'Assumptions MH'!$Q$29*((1+Q$13)^('Cash Flow MH'!Q$5-1)))</f>
        <v>5397.2</v>
      </c>
      <c r="R55" s="1797">
        <f>('Cash Flow MH'!R$27*'Assumptions MH'!$Q$29*((1+R$13)^('Cash Flow MH'!R$5-1)))</f>
        <v>5397.2</v>
      </c>
      <c r="S55" s="1797">
        <f>('Cash Flow MH'!S$27*'Assumptions MH'!$Q$29*((1+S$13)^('Cash Flow MH'!S$5-1)))</f>
        <v>5397.2</v>
      </c>
      <c r="T55" s="1797">
        <f>('Cash Flow MH'!T$27*'Assumptions MH'!$Q$29*((1+T$13)^('Cash Flow MH'!T$5-1)))</f>
        <v>5397.2</v>
      </c>
      <c r="U55" s="1797">
        <f>('Cash Flow MH'!U$27*'Assumptions MH'!$Q$29*((1+U$13)^('Cash Flow MH'!U$5-1)))</f>
        <v>5397.2</v>
      </c>
      <c r="V55" s="1797">
        <f>('Cash Flow MH'!V$27*'Assumptions MH'!$Q$29*((1+V$13)^('Cash Flow MH'!V$5-1)))</f>
        <v>5397.2</v>
      </c>
      <c r="W55" s="1797">
        <f>('Cash Flow MH'!W$27*'Assumptions MH'!$Q$29*((1+W$13)^('Cash Flow MH'!W$5-1)))</f>
        <v>5397.2</v>
      </c>
      <c r="X55" s="1797">
        <f>('Cash Flow MH'!X$27*'Assumptions MH'!$Q$29*((1+X$13)^('Cash Flow MH'!X$5-1)))</f>
        <v>5397.2</v>
      </c>
      <c r="Y55" s="1797">
        <f>('Cash Flow MH'!Y$27*'Assumptions MH'!$Q$29*((1+Y$13)^('Cash Flow MH'!Y$5-1)))</f>
        <v>5397.2</v>
      </c>
      <c r="Z55" s="1797">
        <f>('Cash Flow MH'!Z$27*'Assumptions MH'!$Q$29*((1+Z$13)^('Cash Flow MH'!Z$5-1)))</f>
        <v>5397.2</v>
      </c>
      <c r="AA55" s="1797">
        <f>('Cash Flow MH'!AA$27*'Assumptions MH'!$Q$29*((1+AA$13)^('Cash Flow MH'!AA$5-1)))</f>
        <v>5397.2</v>
      </c>
      <c r="AB55" s="1797">
        <f>('Cash Flow MH'!AB$27*'Assumptions MH'!$Q$29*((1+AB$13)^('Cash Flow MH'!AB$5-1)))</f>
        <v>5559.116</v>
      </c>
      <c r="AC55" s="1797">
        <f>('Cash Flow MH'!AC$27*'Assumptions MH'!$Q$29*((1+AC$13)^('Cash Flow MH'!AC$5-1)))</f>
        <v>5559.116</v>
      </c>
      <c r="AD55" s="1797">
        <f>('Cash Flow MH'!AD$27*'Assumptions MH'!$Q$29*((1+AD$13)^('Cash Flow MH'!AD$5-1)))</f>
        <v>5559.116</v>
      </c>
      <c r="AE55" s="1797">
        <f>('Cash Flow MH'!AE$27*'Assumptions MH'!$Q$29*((1+AE$13)^('Cash Flow MH'!AE$5-1)))</f>
        <v>5559.116</v>
      </c>
      <c r="AF55" s="1797">
        <f>('Cash Flow MH'!AF$27*'Assumptions MH'!$Q$29*((1+AF$13)^('Cash Flow MH'!AF$5-1)))</f>
        <v>5559.116</v>
      </c>
      <c r="AG55" s="1797">
        <f>('Cash Flow MH'!AG$27*'Assumptions MH'!$Q$29*((1+AG$13)^('Cash Flow MH'!AG$5-1)))</f>
        <v>5559.116</v>
      </c>
      <c r="AH55" s="1797">
        <f>('Cash Flow MH'!AH$27*'Assumptions MH'!$Q$29*((1+AH$13)^('Cash Flow MH'!AH$5-1)))</f>
        <v>5559.116</v>
      </c>
      <c r="AI55" s="1797">
        <f>('Cash Flow MH'!AI$27*'Assumptions MH'!$Q$29*((1+AI$13)^('Cash Flow MH'!AI$5-1)))</f>
        <v>5559.116</v>
      </c>
      <c r="AJ55" s="1797">
        <f>('Cash Flow MH'!AJ$27*'Assumptions MH'!$Q$29*((1+AJ$13)^('Cash Flow MH'!AJ$5-1)))</f>
        <v>5559.116</v>
      </c>
      <c r="AK55" s="1797">
        <f>('Cash Flow MH'!AK$27*'Assumptions MH'!$Q$29*((1+AK$13)^('Cash Flow MH'!AK$5-1)))</f>
        <v>5559.116</v>
      </c>
      <c r="AL55" s="1797">
        <f>('Cash Flow MH'!AL$27*'Assumptions MH'!$Q$29*((1+AL$13)^('Cash Flow MH'!AL$5-1)))</f>
        <v>5559.116</v>
      </c>
      <c r="AM55" s="1797">
        <f>('Cash Flow MH'!AM$27*'Assumptions MH'!$Q$29*((1+AM$13)^('Cash Flow MH'!AM$5-1)))</f>
        <v>5559.116</v>
      </c>
      <c r="AN55" s="1797">
        <f>('Cash Flow MH'!AN$27*'Assumptions MH'!$Q$29*((1+AN$13)^('Cash Flow MH'!AN$5-1)))</f>
        <v>5725.8894799999998</v>
      </c>
      <c r="AO55" s="1797">
        <f>('Cash Flow MH'!AO$27*'Assumptions MH'!$Q$29*((1+AO$13)^('Cash Flow MH'!AO$5-1)))</f>
        <v>5725.8894799999998</v>
      </c>
      <c r="AP55" s="1797">
        <f>('Cash Flow MH'!AP$27*'Assumptions MH'!$Q$29*((1+AP$13)^('Cash Flow MH'!AP$5-1)))</f>
        <v>5725.8894799999998</v>
      </c>
      <c r="AQ55" s="1797">
        <f>('Cash Flow MH'!AQ$27*'Assumptions MH'!$Q$29*((1+AQ$13)^('Cash Flow MH'!AQ$5-1)))</f>
        <v>5725.8894799999998</v>
      </c>
      <c r="AR55" s="1797">
        <f>('Cash Flow MH'!AR$27*'Assumptions MH'!$Q$29*((1+AR$13)^('Cash Flow MH'!AR$5-1)))</f>
        <v>5725.8894799999998</v>
      </c>
      <c r="AS55" s="1797">
        <f>('Cash Flow MH'!AS$27*'Assumptions MH'!$Q$29*((1+AS$13)^('Cash Flow MH'!AS$5-1)))</f>
        <v>5725.8894799999998</v>
      </c>
      <c r="AT55" s="1797">
        <f>('Cash Flow MH'!AT$27*'Assumptions MH'!$Q$29*((1+AT$13)^('Cash Flow MH'!AT$5-1)))</f>
        <v>5725.8894799999998</v>
      </c>
      <c r="AU55" s="1797">
        <f>('Cash Flow MH'!AU$27*'Assumptions MH'!$Q$29*((1+AU$13)^('Cash Flow MH'!AU$5-1)))</f>
        <v>5725.8894799999998</v>
      </c>
      <c r="AV55" s="1797">
        <f>('Cash Flow MH'!AV$27*'Assumptions MH'!$Q$29*((1+AV$13)^('Cash Flow MH'!AV$5-1)))</f>
        <v>5725.8894799999998</v>
      </c>
      <c r="AW55" s="1797">
        <f>('Cash Flow MH'!AW$27*'Assumptions MH'!$Q$29*((1+AW$13)^('Cash Flow MH'!AW$5-1)))</f>
        <v>5725.8894799999998</v>
      </c>
      <c r="AX55" s="1797">
        <f>('Cash Flow MH'!AX$27*'Assumptions MH'!$Q$29*((1+AX$13)^('Cash Flow MH'!AX$5-1)))</f>
        <v>5725.8894799999998</v>
      </c>
      <c r="AY55" s="1797">
        <f>('Cash Flow MH'!AY$27*'Assumptions MH'!$Q$29*((1+AY$13)^('Cash Flow MH'!AY$5-1)))</f>
        <v>5725.8894799999998</v>
      </c>
      <c r="AZ55" s="1797">
        <f>('Cash Flow MH'!AZ$27*'Assumptions MH'!$Q$29*((1+AZ$13)^('Cash Flow MH'!AZ$5-1)))</f>
        <v>5897.6661643999996</v>
      </c>
      <c r="BA55" s="1797">
        <f>('Cash Flow MH'!BA$27*'Assumptions MH'!$Q$29*((1+BA$13)^('Cash Flow MH'!BA$5-1)))</f>
        <v>5897.6661643999996</v>
      </c>
      <c r="BB55" s="1797">
        <f>('Cash Flow MH'!BB$27*'Assumptions MH'!$Q$29*((1+BB$13)^('Cash Flow MH'!BB$5-1)))</f>
        <v>5897.6661643999996</v>
      </c>
      <c r="BC55" s="1797">
        <f>('Cash Flow MH'!BC$27*'Assumptions MH'!$Q$29*((1+BC$13)^('Cash Flow MH'!BC$5-1)))</f>
        <v>5897.6661643999996</v>
      </c>
      <c r="BD55" s="1797">
        <f>('Cash Flow MH'!BD$27*'Assumptions MH'!$Q$29*((1+BD$13)^('Cash Flow MH'!BD$5-1)))</f>
        <v>5897.6661643999996</v>
      </c>
      <c r="BE55" s="1797">
        <f>('Cash Flow MH'!BE$27*'Assumptions MH'!$Q$29*((1+BE$13)^('Cash Flow MH'!BE$5-1)))</f>
        <v>5897.6661643999996</v>
      </c>
      <c r="BF55" s="1797">
        <f>('Cash Flow MH'!BF$27*'Assumptions MH'!$Q$29*((1+BF$13)^('Cash Flow MH'!BF$5-1)))</f>
        <v>5897.6661643999996</v>
      </c>
      <c r="BG55" s="1797">
        <f>('Cash Flow MH'!BG$27*'Assumptions MH'!$Q$29*((1+BG$13)^('Cash Flow MH'!BG$5-1)))</f>
        <v>5897.6661643999996</v>
      </c>
      <c r="BH55" s="1797">
        <f>('Cash Flow MH'!BH$27*'Assumptions MH'!$Q$29*((1+BH$13)^('Cash Flow MH'!BH$5-1)))</f>
        <v>5897.6661643999996</v>
      </c>
      <c r="BI55" s="1797">
        <f>('Cash Flow MH'!BI$27*'Assumptions MH'!$Q$29*((1+BI$13)^('Cash Flow MH'!BI$5-1)))</f>
        <v>5897.6661643999996</v>
      </c>
      <c r="BJ55" s="1797">
        <f>('Cash Flow MH'!BJ$27*'Assumptions MH'!$Q$29*((1+BJ$13)^('Cash Flow MH'!BJ$5-1)))</f>
        <v>5897.6661643999996</v>
      </c>
      <c r="BK55" s="1797">
        <f>('Cash Flow MH'!BK$27*'Assumptions MH'!$Q$29*((1+BK$13)^('Cash Flow MH'!BK$5-1)))</f>
        <v>5897.6661643999996</v>
      </c>
      <c r="BL55" s="1797">
        <f>('Cash Flow MH'!BL$27*'Assumptions MH'!$Q$29*((1+BL$13)^('Cash Flow MH'!BL$5-1)))</f>
        <v>6074.5961493319992</v>
      </c>
      <c r="BM55" s="1797">
        <f>('Cash Flow MH'!BM$27*'Assumptions MH'!$Q$29*((1+BM$13)^('Cash Flow MH'!BM$5-1)))</f>
        <v>6074.5961493319992</v>
      </c>
      <c r="BN55" s="1797">
        <f>('Cash Flow MH'!BN$27*'Assumptions MH'!$Q$29*((1+BN$13)^('Cash Flow MH'!BN$5-1)))</f>
        <v>6074.5961493319992</v>
      </c>
      <c r="BO55" s="1797">
        <f>('Cash Flow MH'!BO$27*'Assumptions MH'!$Q$29*((1+BO$13)^('Cash Flow MH'!BO$5-1)))</f>
        <v>6074.5961493319992</v>
      </c>
      <c r="BP55" s="1797">
        <f>('Cash Flow MH'!BP$27*'Assumptions MH'!$Q$29*((1+BP$13)^('Cash Flow MH'!BP$5-1)))</f>
        <v>6074.5961493319992</v>
      </c>
      <c r="BQ55" s="1797">
        <f>('Cash Flow MH'!BQ$27*'Assumptions MH'!$Q$29*((1+BQ$13)^('Cash Flow MH'!BQ$5-1)))</f>
        <v>6074.5961493319992</v>
      </c>
      <c r="BR55" s="1797">
        <f>('Cash Flow MH'!BR$27*'Assumptions MH'!$Q$29*((1+BR$13)^('Cash Flow MH'!BR$5-1)))</f>
        <v>6074.5961493319992</v>
      </c>
      <c r="BS55" s="1797">
        <f>('Cash Flow MH'!BS$27*'Assumptions MH'!$Q$29*((1+BS$13)^('Cash Flow MH'!BS$5-1)))</f>
        <v>6074.5961493319992</v>
      </c>
      <c r="BT55" s="1797">
        <f>('Cash Flow MH'!BT$27*'Assumptions MH'!$Q$29*((1+BT$13)^('Cash Flow MH'!BT$5-1)))</f>
        <v>6074.5961493319992</v>
      </c>
      <c r="BU55" s="1797">
        <f>('Cash Flow MH'!BU$27*'Assumptions MH'!$Q$29*((1+BU$13)^('Cash Flow MH'!BU$5-1)))</f>
        <v>6074.5961493319992</v>
      </c>
      <c r="BV55" s="1797">
        <f>('Cash Flow MH'!BV$27*'Assumptions MH'!$Q$29*((1+BV$13)^('Cash Flow MH'!BV$5-1)))</f>
        <v>6074.5961493319992</v>
      </c>
      <c r="BW55" s="1797">
        <f>('Cash Flow MH'!BW$27*'Assumptions MH'!$Q$29*((1+BW$13)^('Cash Flow MH'!BW$5-1)))</f>
        <v>6074.5961493319992</v>
      </c>
      <c r="BX55" s="1797">
        <f>('Cash Flow MH'!BX$27*'Assumptions MH'!$Q$29*((1+BX$13)^('Cash Flow MH'!BX$5-1)))</f>
        <v>6256.8340338119597</v>
      </c>
      <c r="BY55" s="1797">
        <f>('Cash Flow MH'!BY$27*'Assumptions MH'!$Q$29*((1+BY$13)^('Cash Flow MH'!BY$5-1)))</f>
        <v>6256.8340338119597</v>
      </c>
      <c r="BZ55" s="1797">
        <f>('Cash Flow MH'!BZ$27*'Assumptions MH'!$Q$29*((1+BZ$13)^('Cash Flow MH'!BZ$5-1)))</f>
        <v>6256.8340338119597</v>
      </c>
      <c r="CA55" s="1797">
        <f>('Cash Flow MH'!CA$27*'Assumptions MH'!$Q$29*((1+CA$13)^('Cash Flow MH'!CA$5-1)))</f>
        <v>6256.8340338119597</v>
      </c>
      <c r="CB55" s="1797">
        <f>('Cash Flow MH'!CB$27*'Assumptions MH'!$Q$29*((1+CB$13)^('Cash Flow MH'!CB$5-1)))</f>
        <v>6256.8340338119597</v>
      </c>
      <c r="CC55" s="1797">
        <f>('Cash Flow MH'!CC$27*'Assumptions MH'!$Q$29*((1+CC$13)^('Cash Flow MH'!CC$5-1)))</f>
        <v>6256.8340338119597</v>
      </c>
      <c r="CD55" s="1797">
        <f>('Cash Flow MH'!CD$27*'Assumptions MH'!$Q$29*((1+CD$13)^('Cash Flow MH'!CD$5-1)))</f>
        <v>6256.8340338119597</v>
      </c>
      <c r="CE55" s="1797">
        <f>('Cash Flow MH'!CE$27*'Assumptions MH'!$Q$29*((1+CE$13)^('Cash Flow MH'!CE$5-1)))</f>
        <v>6256.8340338119597</v>
      </c>
      <c r="CF55" s="1797">
        <f>('Cash Flow MH'!CF$27*'Assumptions MH'!$Q$29*((1+CF$13)^('Cash Flow MH'!CF$5-1)))</f>
        <v>6256.8340338119597</v>
      </c>
      <c r="CG55" s="1797">
        <f>('Cash Flow MH'!CG$27*'Assumptions MH'!$Q$29*((1+CG$13)^('Cash Flow MH'!CG$5-1)))</f>
        <v>6256.8340338119597</v>
      </c>
      <c r="CH55" s="1797">
        <f>('Cash Flow MH'!CH$27*'Assumptions MH'!$Q$29*((1+CH$13)^('Cash Flow MH'!CH$5-1)))</f>
        <v>6256.8340338119597</v>
      </c>
      <c r="CI55" s="1797">
        <f>('Cash Flow MH'!CI$27*'Assumptions MH'!$Q$29*((1+CI$13)^('Cash Flow MH'!CI$5-1)))</f>
        <v>6256.8340338119597</v>
      </c>
      <c r="CJ55" s="1797">
        <f>('Cash Flow MH'!CJ$27*'Assumptions MH'!$Q$29*((1+CJ$13)^('Cash Flow MH'!CJ$5-1)))</f>
        <v>6444.5390548263185</v>
      </c>
      <c r="CK55" s="1797">
        <f>('Cash Flow MH'!CK$27*'Assumptions MH'!$Q$29*((1+CK$13)^('Cash Flow MH'!CK$5-1)))</f>
        <v>6444.5390548263185</v>
      </c>
      <c r="CL55" s="1797">
        <f>('Cash Flow MH'!CL$27*'Assumptions MH'!$Q$29*((1+CL$13)^('Cash Flow MH'!CL$5-1)))</f>
        <v>6444.5390548263185</v>
      </c>
      <c r="CM55" s="1797">
        <f>('Cash Flow MH'!CM$27*'Assumptions MH'!$Q$29*((1+CM$13)^('Cash Flow MH'!CM$5-1)))</f>
        <v>6444.5390548263185</v>
      </c>
      <c r="CN55" s="1797">
        <f>('Cash Flow MH'!CN$27*'Assumptions MH'!$Q$29*((1+CN$13)^('Cash Flow MH'!CN$5-1)))</f>
        <v>6444.5390548263185</v>
      </c>
      <c r="CO55" s="1797">
        <f>('Cash Flow MH'!CO$27*'Assumptions MH'!$Q$29*((1+CO$13)^('Cash Flow MH'!CO$5-1)))</f>
        <v>6444.5390548263185</v>
      </c>
      <c r="CP55" s="1797">
        <f>('Cash Flow MH'!CP$27*'Assumptions MH'!$Q$29*((1+CP$13)^('Cash Flow MH'!CP$5-1)))</f>
        <v>6444.5390548263185</v>
      </c>
      <c r="CQ55" s="1797">
        <f>('Cash Flow MH'!CQ$27*'Assumptions MH'!$Q$29*((1+CQ$13)^('Cash Flow MH'!CQ$5-1)))</f>
        <v>6444.5390548263185</v>
      </c>
      <c r="CR55" s="1797">
        <f>('Cash Flow MH'!CR$27*'Assumptions MH'!$Q$29*((1+CR$13)^('Cash Flow MH'!CR$5-1)))</f>
        <v>6444.5390548263185</v>
      </c>
      <c r="CS55" s="1797">
        <f>('Cash Flow MH'!CS$27*'Assumptions MH'!$Q$29*((1+CS$13)^('Cash Flow MH'!CS$5-1)))</f>
        <v>6444.5390548263185</v>
      </c>
      <c r="CT55" s="1797">
        <f>('Cash Flow MH'!CT$27*'Assumptions MH'!$Q$29*((1+CT$13)^('Cash Flow MH'!CT$5-1)))</f>
        <v>6444.5390548263185</v>
      </c>
      <c r="CU55" s="1797">
        <f>('Cash Flow MH'!CU$27*'Assumptions MH'!$Q$29*((1+CU$13)^('Cash Flow MH'!CU$5-1)))</f>
        <v>6444.5390548263185</v>
      </c>
      <c r="CV55" s="1797">
        <f>('Cash Flow MH'!CV$27*'Assumptions MH'!$Q$29*((1+CV$13)^('Cash Flow MH'!CV$5-1)))</f>
        <v>6637.8752264711075</v>
      </c>
      <c r="CW55" s="1797">
        <f>('Cash Flow MH'!CW$27*'Assumptions MH'!$Q$29*((1+CW$13)^('Cash Flow MH'!CW$5-1)))</f>
        <v>6637.8752264711075</v>
      </c>
      <c r="CX55" s="1797">
        <f>('Cash Flow MH'!CX$27*'Assumptions MH'!$Q$29*((1+CX$13)^('Cash Flow MH'!CX$5-1)))</f>
        <v>6637.8752264711075</v>
      </c>
      <c r="CY55" s="1797">
        <f>('Cash Flow MH'!CY$27*'Assumptions MH'!$Q$29*((1+CY$13)^('Cash Flow MH'!CY$5-1)))</f>
        <v>6637.8752264711075</v>
      </c>
      <c r="CZ55" s="1797">
        <f>('Cash Flow MH'!CZ$27*'Assumptions MH'!$Q$29*((1+CZ$13)^('Cash Flow MH'!CZ$5-1)))</f>
        <v>6637.8752264711075</v>
      </c>
      <c r="DA55" s="1797">
        <f>('Cash Flow MH'!DA$27*'Assumptions MH'!$Q$29*((1+DA$13)^('Cash Flow MH'!DA$5-1)))</f>
        <v>6637.8752264711075</v>
      </c>
      <c r="DB55" s="1797">
        <f>('Cash Flow MH'!DB$27*'Assumptions MH'!$Q$29*((1+DB$13)^('Cash Flow MH'!DB$5-1)))</f>
        <v>6637.8752264711075</v>
      </c>
      <c r="DC55" s="1797">
        <f>('Cash Flow MH'!DC$27*'Assumptions MH'!$Q$29*((1+DC$13)^('Cash Flow MH'!DC$5-1)))</f>
        <v>6637.8752264711075</v>
      </c>
      <c r="DD55" s="1797">
        <f>('Cash Flow MH'!DD$27*'Assumptions MH'!$Q$29*((1+DD$13)^('Cash Flow MH'!DD$5-1)))</f>
        <v>6637.8752264711075</v>
      </c>
      <c r="DE55" s="1797">
        <f>('Cash Flow MH'!DE$27*'Assumptions MH'!$Q$29*((1+DE$13)^('Cash Flow MH'!DE$5-1)))</f>
        <v>6637.8752264711075</v>
      </c>
      <c r="DF55" s="1797">
        <f>('Cash Flow MH'!DF$27*'Assumptions MH'!$Q$29*((1+DF$13)^('Cash Flow MH'!DF$5-1)))</f>
        <v>6637.8752264711075</v>
      </c>
      <c r="DG55" s="1797">
        <f>('Cash Flow MH'!DG$27*'Assumptions MH'!$Q$29*((1+DG$13)^('Cash Flow MH'!DG$5-1)))</f>
        <v>6637.8752264711075</v>
      </c>
      <c r="DH55" s="1797">
        <f>('Cash Flow MH'!DH$27*'Assumptions MH'!$Q$29*((1+DH$13)^('Cash Flow MH'!DH$5-1)))</f>
        <v>6837.0114832652407</v>
      </c>
      <c r="DI55" s="1797">
        <f>('Cash Flow MH'!DI$27*'Assumptions MH'!$Q$29*((1+DI$13)^('Cash Flow MH'!DI$5-1)))</f>
        <v>6837.0114832652407</v>
      </c>
      <c r="DJ55" s="1797">
        <f>('Cash Flow MH'!DJ$27*'Assumptions MH'!$Q$29*((1+DJ$13)^('Cash Flow MH'!DJ$5-1)))</f>
        <v>6837.0114832652407</v>
      </c>
      <c r="DK55" s="1797">
        <f>('Cash Flow MH'!DK$27*'Assumptions MH'!$Q$29*((1+DK$13)^('Cash Flow MH'!DK$5-1)))</f>
        <v>6837.0114832652407</v>
      </c>
      <c r="DL55" s="1797">
        <f>('Cash Flow MH'!DL$27*'Assumptions MH'!$Q$29*((1+DL$13)^('Cash Flow MH'!DL$5-1)))</f>
        <v>6837.0114832652407</v>
      </c>
      <c r="DM55" s="1797">
        <f>('Cash Flow MH'!DM$27*'Assumptions MH'!$Q$29*((1+DM$13)^('Cash Flow MH'!DM$5-1)))</f>
        <v>6837.0114832652407</v>
      </c>
      <c r="DN55" s="1797">
        <f>('Cash Flow MH'!DN$27*'Assumptions MH'!$Q$29*((1+DN$13)^('Cash Flow MH'!DN$5-1)))</f>
        <v>6837.0114832652407</v>
      </c>
      <c r="DO55" s="1797">
        <f>('Cash Flow MH'!DO$27*'Assumptions MH'!$Q$29*((1+DO$13)^('Cash Flow MH'!DO$5-1)))</f>
        <v>6837.0114832652407</v>
      </c>
      <c r="DP55" s="1797">
        <f>('Cash Flow MH'!DP$27*'Assumptions MH'!$Q$29*((1+DP$13)^('Cash Flow MH'!DP$5-1)))</f>
        <v>6837.0114832652407</v>
      </c>
      <c r="DQ55" s="1797">
        <f>('Cash Flow MH'!DQ$27*'Assumptions MH'!$Q$29*((1+DQ$13)^('Cash Flow MH'!DQ$5-1)))</f>
        <v>6837.0114832652407</v>
      </c>
      <c r="DR55" s="1797">
        <f>('Cash Flow MH'!DR$27*'Assumptions MH'!$Q$29*((1+DR$13)^('Cash Flow MH'!DR$5-1)))</f>
        <v>6837.0114832652407</v>
      </c>
      <c r="DS55" s="1797">
        <f>('Cash Flow MH'!DS$27*'Assumptions MH'!$Q$29*((1+DS$13)^('Cash Flow MH'!DS$5-1)))</f>
        <v>6837.0114832652407</v>
      </c>
      <c r="DT55" s="1485" t="s">
        <v>65</v>
      </c>
    </row>
    <row r="56" spans="1:124">
      <c r="B56" s="1724" t="s">
        <v>981</v>
      </c>
      <c r="D56" s="1797">
        <f>'Cash Flow MH'!D$38*'Assumptions MH'!$Q17</f>
        <v>5868.9920365385406</v>
      </c>
      <c r="E56" s="1797">
        <f>'Cash Flow MH'!E$38*'Assumptions MH'!$Q17</f>
        <v>8263.2038241808568</v>
      </c>
      <c r="F56" s="1797">
        <f>'Cash Flow MH'!F$38*'Assumptions MH'!$Q17</f>
        <v>12410.744698703453</v>
      </c>
      <c r="G56" s="1797">
        <f>'Cash Flow MH'!G$38*'Assumptions MH'!$Q17</f>
        <v>13892.595802568036</v>
      </c>
      <c r="H56" s="1797">
        <f>'Cash Flow MH'!H$38*'Assumptions MH'!$Q17</f>
        <v>15852.303622966941</v>
      </c>
      <c r="I56" s="1797">
        <f>'Cash Flow MH'!I$38*'Assumptions MH'!$Q17</f>
        <v>17719.06927241998</v>
      </c>
      <c r="J56" s="1797">
        <f>'Cash Flow MH'!J$38*'Assumptions MH'!$Q17</f>
        <v>17144.536159639352</v>
      </c>
      <c r="K56" s="1797">
        <f>'Cash Flow MH'!K$38*'Assumptions MH'!$Q17</f>
        <v>18511.7071033518</v>
      </c>
      <c r="L56" s="1797">
        <f>'Cash Flow MH'!L$38*'Assumptions MH'!$Q17</f>
        <v>20315.661423886366</v>
      </c>
      <c r="M56" s="1797">
        <f>'Cash Flow MH'!M$38*'Assumptions MH'!$Q17</f>
        <v>24329.642277768813</v>
      </c>
      <c r="N56" s="1797">
        <f>'Cash Flow MH'!N$38*'Assumptions MH'!$Q17</f>
        <v>19528.60326935961</v>
      </c>
      <c r="O56" s="1797">
        <f>'Cash Flow MH'!O$38*'Assumptions MH'!$Q17</f>
        <v>16587.712918483983</v>
      </c>
      <c r="P56" s="1797">
        <f>'Cash Flow MH'!P$38*'Assumptions MH'!$Q17</f>
        <v>15436.497090388602</v>
      </c>
      <c r="Q56" s="1797">
        <f>'Cash Flow MH'!Q$38*'Assumptions MH'!$Q17</f>
        <v>18879.167137210297</v>
      </c>
      <c r="R56" s="1797">
        <f>'Cash Flow MH'!R$38*'Assumptions MH'!$Q17</f>
        <v>25196.097928180923</v>
      </c>
      <c r="S56" s="1797">
        <f>'Cash Flow MH'!S$38*'Assumptions MH'!$Q17</f>
        <v>25490.651712349129</v>
      </c>
      <c r="T56" s="1797">
        <f>'Cash Flow MH'!T$38*'Assumptions MH'!$Q17</f>
        <v>26634.842393513769</v>
      </c>
      <c r="U56" s="1797">
        <f>'Cash Flow MH'!U$38*'Assumptions MH'!$Q17</f>
        <v>27548.137887686902</v>
      </c>
      <c r="V56" s="1797">
        <f>'Cash Flow MH'!V$38*'Assumptions MH'!$Q17</f>
        <v>24357.065164729018</v>
      </c>
      <c r="W56" s="1797">
        <f>'Cash Flow MH'!W$38*'Assumptions MH'!$Q17</f>
        <v>24212.137544701403</v>
      </c>
      <c r="X56" s="1797">
        <f>'Cash Flow MH'!X$38*'Assumptions MH'!$Q17</f>
        <v>25873.423513573984</v>
      </c>
      <c r="Y56" s="1797">
        <f>'Cash Flow MH'!Y$38*'Assumptions MH'!$Q17</f>
        <v>30192.206682050455</v>
      </c>
      <c r="Z56" s="1797">
        <f>'Cash Flow MH'!Z$38*'Assumptions MH'!$Q17</f>
        <v>23629.323192294152</v>
      </c>
      <c r="AA56" s="1797">
        <f>'Cash Flow MH'!AA$38*'Assumptions MH'!$Q17</f>
        <v>19582.056511218918</v>
      </c>
      <c r="AB56" s="1797">
        <f>'Cash Flow MH'!AB$38*'Assumptions MH'!$Q17</f>
        <v>17789.753290182111</v>
      </c>
      <c r="AC56" s="1797">
        <f>'Cash Flow MH'!AC$38*'Assumptions MH'!$Q17</f>
        <v>21251.958635329625</v>
      </c>
      <c r="AD56" s="1797">
        <f>'Cash Flow MH'!AD$38*'Assumptions MH'!$Q17</f>
        <v>27719.071686009458</v>
      </c>
      <c r="AE56" s="1797">
        <f>'Cash Flow MH'!AE$38*'Assumptions MH'!$Q17</f>
        <v>27420.753278036147</v>
      </c>
      <c r="AF56" s="1797">
        <f>'Cash Flow MH'!AF$38*'Assumptions MH'!$Q17</f>
        <v>28029.514856009388</v>
      </c>
      <c r="AG56" s="1797">
        <f>'Cash Flow MH'!AG$38*'Assumptions MH'!$Q17</f>
        <v>28374.582024317522</v>
      </c>
      <c r="AH56" s="1797">
        <f>'Cash Flow MH'!AH$38*'Assumptions MH'!$Q17</f>
        <v>25087.777119670882</v>
      </c>
      <c r="AI56" s="1797">
        <f>'Cash Flow MH'!AI$38*'Assumptions MH'!$Q17</f>
        <v>24938.501671042453</v>
      </c>
      <c r="AJ56" s="1797">
        <f>'Cash Flow MH'!AJ$38*'Assumptions MH'!$Q17</f>
        <v>26649.626218981201</v>
      </c>
      <c r="AK56" s="1797">
        <f>'Cash Flow MH'!AK$38*'Assumptions MH'!$Q17</f>
        <v>31097.972882511967</v>
      </c>
      <c r="AL56" s="1797">
        <f>'Cash Flow MH'!AL$38*'Assumptions MH'!$Q17</f>
        <v>24338.202888062977</v>
      </c>
      <c r="AM56" s="1797">
        <f>'Cash Flow MH'!AM$38*'Assumptions MH'!$Q17</f>
        <v>20169.51820655548</v>
      </c>
      <c r="AN56" s="1797">
        <f>'Cash Flow MH'!AN$38*'Assumptions MH'!$Q17</f>
        <v>18323.445888887574</v>
      </c>
      <c r="AO56" s="1797">
        <f>'Cash Flow MH'!AO$38*'Assumptions MH'!$Q17</f>
        <v>22671.285872760567</v>
      </c>
      <c r="AP56" s="1797">
        <f>'Cash Flow MH'!AP$38*'Assumptions MH'!$Q17</f>
        <v>28550.643836589737</v>
      </c>
      <c r="AQ56" s="1797">
        <f>'Cash Flow MH'!AQ$38*'Assumptions MH'!$Q17</f>
        <v>28243.375876377228</v>
      </c>
      <c r="AR56" s="1797">
        <f>'Cash Flow MH'!AR$38*'Assumptions MH'!$Q17</f>
        <v>28870.400301689668</v>
      </c>
      <c r="AS56" s="1797">
        <f>'Cash Flow MH'!AS$38*'Assumptions MH'!$Q17</f>
        <v>29225.819485047043</v>
      </c>
      <c r="AT56" s="1797">
        <f>'Cash Flow MH'!AT$38*'Assumptions MH'!$Q17</f>
        <v>25840.410433261015</v>
      </c>
      <c r="AU56" s="1797">
        <f>'Cash Flow MH'!AU$38*'Assumptions MH'!$Q17</f>
        <v>25686.65672117372</v>
      </c>
      <c r="AV56" s="1797">
        <f>'Cash Flow MH'!AV$38*'Assumptions MH'!$Q17</f>
        <v>27449.115005550633</v>
      </c>
      <c r="AW56" s="1797">
        <f>'Cash Flow MH'!AW$38*'Assumptions MH'!$Q17</f>
        <v>32030.912068987323</v>
      </c>
      <c r="AX56" s="1797">
        <f>'Cash Flow MH'!AX$38*'Assumptions MH'!$Q17</f>
        <v>25068.348974704862</v>
      </c>
      <c r="AY56" s="1797">
        <f>'Cash Flow MH'!AY$38*'Assumptions MH'!$Q17</f>
        <v>20774.603752752144</v>
      </c>
      <c r="AZ56" s="1797">
        <f>'Cash Flow MH'!AZ$38*'Assumptions MH'!$Q17</f>
        <v>18873.149265554199</v>
      </c>
      <c r="BA56" s="1797">
        <f>'Cash Flow MH'!BA$38*'Assumptions MH'!$Q17</f>
        <v>22546.202916221198</v>
      </c>
      <c r="BB56" s="1797">
        <f>'Cash Flow MH'!BB$38*'Assumptions MH'!$Q17</f>
        <v>29407.163151687437</v>
      </c>
      <c r="BC56" s="1797">
        <f>'Cash Flow MH'!BC$38*'Assumptions MH'!$Q17</f>
        <v>29090.677152668548</v>
      </c>
      <c r="BD56" s="1797">
        <f>'Cash Flow MH'!BD$38*'Assumptions MH'!$Q17</f>
        <v>29736.51231074036</v>
      </c>
      <c r="BE56" s="1797">
        <f>'Cash Flow MH'!BE$38*'Assumptions MH'!$Q17</f>
        <v>30102.594069598454</v>
      </c>
      <c r="BF56" s="1797">
        <f>'Cash Flow MH'!BF$38*'Assumptions MH'!$Q17</f>
        <v>26615.622746258843</v>
      </c>
      <c r="BG56" s="1797">
        <f>'Cash Flow MH'!BG$38*'Assumptions MH'!$Q17</f>
        <v>26457.256422808932</v>
      </c>
      <c r="BH56" s="1797">
        <f>'Cash Flow MH'!BH$38*'Assumptions MH'!$Q17</f>
        <v>28272.588455717156</v>
      </c>
      <c r="BI56" s="1797">
        <f>'Cash Flow MH'!BI$38*'Assumptions MH'!$Q17</f>
        <v>32991.839431056942</v>
      </c>
      <c r="BJ56" s="1797">
        <f>'Cash Flow MH'!BJ$38*'Assumptions MH'!$Q17</f>
        <v>25820.399443946011</v>
      </c>
      <c r="BK56" s="1797">
        <f>'Cash Flow MH'!BK$38*'Assumptions MH'!$Q17</f>
        <v>21397.841865334711</v>
      </c>
      <c r="BL56" s="1797">
        <f>'Cash Flow MH'!BL$38*'Assumptions MH'!$Q17</f>
        <v>19439.343743520825</v>
      </c>
      <c r="BM56" s="1797">
        <f>'Cash Flow MH'!BM$38*'Assumptions MH'!$Q17</f>
        <v>23222.589003707832</v>
      </c>
      <c r="BN56" s="1797">
        <f>'Cash Flow MH'!BN$38*'Assumptions MH'!$Q17</f>
        <v>30289.378046238053</v>
      </c>
      <c r="BO56" s="1797">
        <f>'Cash Flow MH'!BO$38*'Assumptions MH'!$Q17</f>
        <v>29963.3974672486</v>
      </c>
      <c r="BP56" s="1797">
        <f>'Cash Flow MH'!BP$38*'Assumptions MH'!$Q17</f>
        <v>30628.607680062567</v>
      </c>
      <c r="BQ56" s="1797">
        <f>'Cash Flow MH'!BQ$38*'Assumptions MH'!$Q17</f>
        <v>31005.671891686405</v>
      </c>
      <c r="BR56" s="1797">
        <f>'Cash Flow MH'!BR$38*'Assumptions MH'!$Q17</f>
        <v>27414.091428646603</v>
      </c>
      <c r="BS56" s="1797">
        <f>'Cash Flow MH'!BS$38*'Assumptions MH'!$Q17</f>
        <v>27250.974115493194</v>
      </c>
      <c r="BT56" s="1797">
        <f>'Cash Flow MH'!BT$38*'Assumptions MH'!$Q17</f>
        <v>29120.766109388667</v>
      </c>
      <c r="BU56" s="1797">
        <f>'Cash Flow MH'!BU$38*'Assumptions MH'!$Q17</f>
        <v>33981.594613988651</v>
      </c>
      <c r="BV56" s="1797">
        <f>'Cash Flow MH'!BV$38*'Assumptions MH'!$Q17</f>
        <v>26595.011427264391</v>
      </c>
      <c r="BW56" s="1797">
        <f>'Cash Flow MH'!BW$38*'Assumptions MH'!$Q17</f>
        <v>22039.777121294748</v>
      </c>
      <c r="BX56" s="1797">
        <f>'Cash Flow MH'!BX$38*'Assumptions MH'!$Q17</f>
        <v>20022.524055826445</v>
      </c>
      <c r="BY56" s="1797">
        <f>'Cash Flow MH'!BY$38*'Assumptions MH'!$Q17</f>
        <v>23919.266673819071</v>
      </c>
      <c r="BZ56" s="1797">
        <f>'Cash Flow MH'!BZ$38*'Assumptions MH'!$Q17</f>
        <v>31198.059387625199</v>
      </c>
      <c r="CA56" s="1797">
        <f>'Cash Flow MH'!CA$38*'Assumptions MH'!$Q17</f>
        <v>30862.299391266057</v>
      </c>
      <c r="CB56" s="1797">
        <f>'Cash Flow MH'!CB$38*'Assumptions MH'!$Q17</f>
        <v>31547.465910464438</v>
      </c>
      <c r="CC56" s="1797">
        <f>'Cash Flow MH'!CC$38*'Assumptions MH'!$Q17</f>
        <v>31935.842048436993</v>
      </c>
      <c r="CD56" s="1797">
        <f>'Cash Flow MH'!CD$38*'Assumptions MH'!$Q17</f>
        <v>28236.514171506005</v>
      </c>
      <c r="CE56" s="1797">
        <f>'Cash Flow MH'!CE$38*'Assumptions MH'!$Q17</f>
        <v>28068.503338957998</v>
      </c>
      <c r="CF56" s="1797">
        <f>'Cash Flow MH'!CF$38*'Assumptions MH'!$Q17</f>
        <v>29994.389092670332</v>
      </c>
      <c r="CG56" s="1797">
        <f>'Cash Flow MH'!CG$38*'Assumptions MH'!$Q17</f>
        <v>35001.042452408314</v>
      </c>
      <c r="CH56" s="1797">
        <f>'Cash Flow MH'!CH$38*'Assumptions MH'!$Q17</f>
        <v>27392.86177008232</v>
      </c>
      <c r="CI56" s="1797">
        <f>'Cash Flow MH'!CI$38*'Assumptions MH'!$Q17</f>
        <v>22700.970434933595</v>
      </c>
      <c r="CJ56" s="1797">
        <f>'Cash Flow MH'!CJ$38*'Assumptions MH'!$Q17</f>
        <v>20623.199777501246</v>
      </c>
      <c r="CK56" s="1797">
        <f>'Cash Flow MH'!CK$38*'Assumptions MH'!$Q17</f>
        <v>25516.731983820559</v>
      </c>
      <c r="CL56" s="1797">
        <f>'Cash Flow MH'!CL$38*'Assumptions MH'!$Q17</f>
        <v>32134.001169253956</v>
      </c>
      <c r="CM56" s="1797">
        <f>'Cash Flow MH'!CM$38*'Assumptions MH'!$Q17</f>
        <v>31788.168373004031</v>
      </c>
      <c r="CN56" s="1797">
        <f>'Cash Flow MH'!CN$38*'Assumptions MH'!$Q17</f>
        <v>32493.889887778379</v>
      </c>
      <c r="CO56" s="1797">
        <f>'Cash Flow MH'!CO$38*'Assumptions MH'!$Q17</f>
        <v>32893.917309890101</v>
      </c>
      <c r="CP56" s="1797">
        <f>'Cash Flow MH'!CP$38*'Assumptions MH'!$Q17</f>
        <v>29083.609596651186</v>
      </c>
      <c r="CQ56" s="1797">
        <f>'Cash Flow MH'!CQ$38*'Assumptions MH'!$Q17</f>
        <v>28910.558439126737</v>
      </c>
      <c r="CR56" s="1797">
        <f>'Cash Flow MH'!CR$38*'Assumptions MH'!$Q17</f>
        <v>30894.220765450438</v>
      </c>
      <c r="CS56" s="1797">
        <f>'Cash Flow MH'!CS$38*'Assumptions MH'!$Q17</f>
        <v>36051.073725980568</v>
      </c>
      <c r="CT56" s="1797">
        <f>'Cash Flow MH'!CT$38*'Assumptions MH'!$Q17</f>
        <v>28214.647623184796</v>
      </c>
      <c r="CU56" s="1797">
        <f>'Cash Flow MH'!CU$38*'Assumptions MH'!$Q17</f>
        <v>23381.999547981603</v>
      </c>
      <c r="CV56" s="1797">
        <f>'Cash Flow MH'!CV$38*'Assumptions MH'!$Q17</f>
        <v>21241.895770826279</v>
      </c>
      <c r="CW56" s="1797">
        <f>'Cash Flow MH'!CW$38*'Assumptions MH'!$Q17</f>
        <v>25375.950014254649</v>
      </c>
      <c r="CX56" s="1797">
        <f>'Cash Flow MH'!CX$38*'Assumptions MH'!$Q17</f>
        <v>33098.021204331562</v>
      </c>
      <c r="CY56" s="1797">
        <f>'Cash Flow MH'!CY$38*'Assumptions MH'!$Q17</f>
        <v>32741.813424194159</v>
      </c>
      <c r="CZ56" s="1797">
        <f>'Cash Flow MH'!CZ$38*'Assumptions MH'!$Q17</f>
        <v>33468.706584411731</v>
      </c>
      <c r="DA56" s="1797">
        <f>'Cash Flow MH'!DA$38*'Assumptions MH'!$Q17</f>
        <v>33880.734829186811</v>
      </c>
      <c r="DB56" s="1797">
        <f>'Cash Flow MH'!DB$38*'Assumptions MH'!$Q17</f>
        <v>29956.11788455072</v>
      </c>
      <c r="DC56" s="1797">
        <f>'Cash Flow MH'!DC$38*'Assumptions MH'!$Q17</f>
        <v>29777.875192300533</v>
      </c>
      <c r="DD56" s="1797">
        <f>'Cash Flow MH'!DD$38*'Assumptions MH'!$Q17</f>
        <v>31821.047388413946</v>
      </c>
      <c r="DE56" s="1797">
        <f>'Cash Flow MH'!DE$38*'Assumptions MH'!$Q17</f>
        <v>37132.605937759967</v>
      </c>
      <c r="DF56" s="1797">
        <f>'Cash Flow MH'!DF$38*'Assumptions MH'!$Q17</f>
        <v>29061.087051880335</v>
      </c>
      <c r="DG56" s="1797">
        <f>'Cash Flow MH'!DG$38*'Assumptions MH'!$Q17</f>
        <v>24083.459534421043</v>
      </c>
      <c r="DH56" s="1797">
        <f>'Cash Flow MH'!DH$38*'Assumptions MH'!$Q17</f>
        <v>21879.152643951071</v>
      </c>
      <c r="DI56" s="1797">
        <f>'Cash Flow MH'!DI$38*'Assumptions MH'!$Q17</f>
        <v>26137.228514682294</v>
      </c>
      <c r="DJ56" s="1797">
        <f>'Cash Flow MH'!DJ$38*'Assumptions MH'!$Q17</f>
        <v>34090.96184046151</v>
      </c>
      <c r="DK56" s="1797">
        <f>'Cash Flow MH'!DK$38*'Assumptions MH'!$Q17</f>
        <v>33724.067826919985</v>
      </c>
      <c r="DL56" s="1797">
        <f>'Cash Flow MH'!DL$38*'Assumptions MH'!$Q17</f>
        <v>34472.76778194408</v>
      </c>
      <c r="DM56" s="1797">
        <f>'Cash Flow MH'!DM$38*'Assumptions MH'!$Q17</f>
        <v>34897.156874062413</v>
      </c>
      <c r="DN56" s="1797">
        <f>'Cash Flow MH'!DN$38*'Assumptions MH'!$Q17</f>
        <v>30854.801421087239</v>
      </c>
      <c r="DO56" s="1797">
        <f>'Cash Flow MH'!DO$38*'Assumptions MH'!$Q17</f>
        <v>30671.211448069553</v>
      </c>
      <c r="DP56" s="1797">
        <f>'Cash Flow MH'!DP$38*'Assumptions MH'!$Q17</f>
        <v>32775.678810066369</v>
      </c>
      <c r="DQ56" s="1797">
        <f>'Cash Flow MH'!DQ$38*'Assumptions MH'!$Q17</f>
        <v>38246.58411589278</v>
      </c>
      <c r="DR56" s="1797">
        <f>'Cash Flow MH'!DR$38*'Assumptions MH'!$Q17</f>
        <v>29932.919663436744</v>
      </c>
      <c r="DS56" s="1797">
        <f>'Cash Flow MH'!DS$38*'Assumptions MH'!$Q17</f>
        <v>24805.96332045368</v>
      </c>
      <c r="DT56" s="1485" t="s">
        <v>65</v>
      </c>
    </row>
    <row r="57" spans="1:124">
      <c r="B57" s="1724" t="s">
        <v>874</v>
      </c>
      <c r="D57" s="1797">
        <f ca="1">('Cash Flow MH'!D$27*'Assumptions MH'!$Q21*((1+D$13)^('Cash Flow MH'!D$5-1)))</f>
        <v>12766.65625</v>
      </c>
      <c r="E57" s="1797">
        <f ca="1">('Cash Flow MH'!E$27*'Assumptions MH'!$Q21*((1+E$13)^('Cash Flow MH'!E$5-1)))</f>
        <v>12766.65625</v>
      </c>
      <c r="F57" s="1797">
        <f ca="1">('Cash Flow MH'!F$27*'Assumptions MH'!$Q21*((1+F$13)^('Cash Flow MH'!F$5-1)))</f>
        <v>12766.65625</v>
      </c>
      <c r="G57" s="1797">
        <f ca="1">('Cash Flow MH'!G$27*'Assumptions MH'!$Q21*((1+G$13)^('Cash Flow MH'!G$5-1)))</f>
        <v>12766.65625</v>
      </c>
      <c r="H57" s="1797">
        <f ca="1">('Cash Flow MH'!H$27*'Assumptions MH'!$Q21*((1+H$13)^('Cash Flow MH'!H$5-1)))</f>
        <v>12766.65625</v>
      </c>
      <c r="I57" s="1797">
        <f ca="1">('Cash Flow MH'!I$27*'Assumptions MH'!$Q21*((1+I$13)^('Cash Flow MH'!I$5-1)))</f>
        <v>12766.65625</v>
      </c>
      <c r="J57" s="1797">
        <f ca="1">('Cash Flow MH'!J$27*'Assumptions MH'!$Q21*((1+J$13)^('Cash Flow MH'!J$5-1)))</f>
        <v>12766.65625</v>
      </c>
      <c r="K57" s="1797">
        <f ca="1">('Cash Flow MH'!K$27*'Assumptions MH'!$Q21*((1+K$13)^('Cash Flow MH'!K$5-1)))</f>
        <v>12766.65625</v>
      </c>
      <c r="L57" s="1797">
        <f ca="1">('Cash Flow MH'!L$27*'Assumptions MH'!$Q21*((1+L$13)^('Cash Flow MH'!L$5-1)))</f>
        <v>12766.65625</v>
      </c>
      <c r="M57" s="1797">
        <f ca="1">('Cash Flow MH'!M$27*'Assumptions MH'!$Q21*((1+M$13)^('Cash Flow MH'!M$5-1)))</f>
        <v>12766.65625</v>
      </c>
      <c r="N57" s="1797">
        <f ca="1">('Cash Flow MH'!N$27*'Assumptions MH'!$Q21*((1+N$13)^('Cash Flow MH'!N$5-1)))</f>
        <v>12766.65625</v>
      </c>
      <c r="O57" s="1797">
        <f ca="1">('Cash Flow MH'!O$27*'Assumptions MH'!$Q21*((1+O$13)^('Cash Flow MH'!O$5-1)))</f>
        <v>12766.65625</v>
      </c>
      <c r="P57" s="1797">
        <f ca="1">('Cash Flow MH'!P$27*'Assumptions MH'!$Q21*((1+P$13)^('Cash Flow MH'!P$5-1)))</f>
        <v>13149.6559375</v>
      </c>
      <c r="Q57" s="1797">
        <f ca="1">('Cash Flow MH'!Q$27*'Assumptions MH'!$Q21*((1+Q$13)^('Cash Flow MH'!Q$5-1)))</f>
        <v>13149.6559375</v>
      </c>
      <c r="R57" s="1797">
        <f ca="1">('Cash Flow MH'!R$27*'Assumptions MH'!$Q21*((1+R$13)^('Cash Flow MH'!R$5-1)))</f>
        <v>13149.6559375</v>
      </c>
      <c r="S57" s="1797">
        <f ca="1">('Cash Flow MH'!S$27*'Assumptions MH'!$Q21*((1+S$13)^('Cash Flow MH'!S$5-1)))</f>
        <v>13149.6559375</v>
      </c>
      <c r="T57" s="1797">
        <f ca="1">('Cash Flow MH'!T$27*'Assumptions MH'!$Q21*((1+T$13)^('Cash Flow MH'!T$5-1)))</f>
        <v>13149.6559375</v>
      </c>
      <c r="U57" s="1797">
        <f ca="1">('Cash Flow MH'!U$27*'Assumptions MH'!$Q21*((1+U$13)^('Cash Flow MH'!U$5-1)))</f>
        <v>13149.6559375</v>
      </c>
      <c r="V57" s="1797">
        <f ca="1">('Cash Flow MH'!V$27*'Assumptions MH'!$Q21*((1+V$13)^('Cash Flow MH'!V$5-1)))</f>
        <v>13149.6559375</v>
      </c>
      <c r="W57" s="1797">
        <f ca="1">('Cash Flow MH'!W$27*'Assumptions MH'!$Q21*((1+W$13)^('Cash Flow MH'!W$5-1)))</f>
        <v>13149.6559375</v>
      </c>
      <c r="X57" s="1797">
        <f ca="1">('Cash Flow MH'!X$27*'Assumptions MH'!$Q21*((1+X$13)^('Cash Flow MH'!X$5-1)))</f>
        <v>13149.6559375</v>
      </c>
      <c r="Y57" s="1797">
        <f ca="1">('Cash Flow MH'!Y$27*'Assumptions MH'!$Q21*((1+Y$13)^('Cash Flow MH'!Y$5-1)))</f>
        <v>13149.6559375</v>
      </c>
      <c r="Z57" s="1797">
        <f ca="1">('Cash Flow MH'!Z$27*'Assumptions MH'!$Q21*((1+Z$13)^('Cash Flow MH'!Z$5-1)))</f>
        <v>13149.6559375</v>
      </c>
      <c r="AA57" s="1797">
        <f ca="1">('Cash Flow MH'!AA$27*'Assumptions MH'!$Q21*((1+AA$13)^('Cash Flow MH'!AA$5-1)))</f>
        <v>13149.6559375</v>
      </c>
      <c r="AB57" s="1797">
        <f ca="1">('Cash Flow MH'!AB$27*'Assumptions MH'!$Q21*((1+AB$13)^('Cash Flow MH'!AB$5-1)))</f>
        <v>13544.145615624999</v>
      </c>
      <c r="AC57" s="1797">
        <f ca="1">('Cash Flow MH'!AC$27*'Assumptions MH'!$Q21*((1+AC$13)^('Cash Flow MH'!AC$5-1)))</f>
        <v>13544.145615624999</v>
      </c>
      <c r="AD57" s="1797">
        <f ca="1">('Cash Flow MH'!AD$27*'Assumptions MH'!$Q21*((1+AD$13)^('Cash Flow MH'!AD$5-1)))</f>
        <v>13544.145615624999</v>
      </c>
      <c r="AE57" s="1797">
        <f ca="1">('Cash Flow MH'!AE$27*'Assumptions MH'!$Q21*((1+AE$13)^('Cash Flow MH'!AE$5-1)))</f>
        <v>13544.145615624999</v>
      </c>
      <c r="AF57" s="1797">
        <f ca="1">('Cash Flow MH'!AF$27*'Assumptions MH'!$Q21*((1+AF$13)^('Cash Flow MH'!AF$5-1)))</f>
        <v>13544.145615624999</v>
      </c>
      <c r="AG57" s="1797">
        <f ca="1">('Cash Flow MH'!AG$27*'Assumptions MH'!$Q21*((1+AG$13)^('Cash Flow MH'!AG$5-1)))</f>
        <v>13544.145615624999</v>
      </c>
      <c r="AH57" s="1797">
        <f ca="1">('Cash Flow MH'!AH$27*'Assumptions MH'!$Q21*((1+AH$13)^('Cash Flow MH'!AH$5-1)))</f>
        <v>13544.145615624999</v>
      </c>
      <c r="AI57" s="1797">
        <f ca="1">('Cash Flow MH'!AI$27*'Assumptions MH'!$Q21*((1+AI$13)^('Cash Flow MH'!AI$5-1)))</f>
        <v>13544.145615624999</v>
      </c>
      <c r="AJ57" s="1797">
        <f ca="1">('Cash Flow MH'!AJ$27*'Assumptions MH'!$Q21*((1+AJ$13)^('Cash Flow MH'!AJ$5-1)))</f>
        <v>13544.145615624999</v>
      </c>
      <c r="AK57" s="1797">
        <f ca="1">('Cash Flow MH'!AK$27*'Assumptions MH'!$Q21*((1+AK$13)^('Cash Flow MH'!AK$5-1)))</f>
        <v>13544.145615624999</v>
      </c>
      <c r="AL57" s="1797">
        <f ca="1">('Cash Flow MH'!AL$27*'Assumptions MH'!$Q21*((1+AL$13)^('Cash Flow MH'!AL$5-1)))</f>
        <v>13544.145615624999</v>
      </c>
      <c r="AM57" s="1797">
        <f ca="1">('Cash Flow MH'!AM$27*'Assumptions MH'!$Q21*((1+AM$13)^('Cash Flow MH'!AM$5-1)))</f>
        <v>13544.145615624999</v>
      </c>
      <c r="AN57" s="1797">
        <f ca="1">('Cash Flow MH'!AN$27*'Assumptions MH'!$Q21*((1+AN$13)^('Cash Flow MH'!AN$5-1)))</f>
        <v>13950.46998409375</v>
      </c>
      <c r="AO57" s="1797">
        <f ca="1">('Cash Flow MH'!AO$27*'Assumptions MH'!$Q21*((1+AO$13)^('Cash Flow MH'!AO$5-1)))</f>
        <v>13950.46998409375</v>
      </c>
      <c r="AP57" s="1797">
        <f ca="1">('Cash Flow MH'!AP$27*'Assumptions MH'!$Q21*((1+AP$13)^('Cash Flow MH'!AP$5-1)))</f>
        <v>13950.46998409375</v>
      </c>
      <c r="AQ57" s="1797">
        <f ca="1">('Cash Flow MH'!AQ$27*'Assumptions MH'!$Q21*((1+AQ$13)^('Cash Flow MH'!AQ$5-1)))</f>
        <v>13950.46998409375</v>
      </c>
      <c r="AR57" s="1797">
        <f ca="1">('Cash Flow MH'!AR$27*'Assumptions MH'!$Q21*((1+AR$13)^('Cash Flow MH'!AR$5-1)))</f>
        <v>13950.46998409375</v>
      </c>
      <c r="AS57" s="1797">
        <f ca="1">('Cash Flow MH'!AS$27*'Assumptions MH'!$Q21*((1+AS$13)^('Cash Flow MH'!AS$5-1)))</f>
        <v>13950.46998409375</v>
      </c>
      <c r="AT57" s="1797">
        <f ca="1">('Cash Flow MH'!AT$27*'Assumptions MH'!$Q21*((1+AT$13)^('Cash Flow MH'!AT$5-1)))</f>
        <v>13950.46998409375</v>
      </c>
      <c r="AU57" s="1797">
        <f ca="1">('Cash Flow MH'!AU$27*'Assumptions MH'!$Q21*((1+AU$13)^('Cash Flow MH'!AU$5-1)))</f>
        <v>13950.46998409375</v>
      </c>
      <c r="AV57" s="1797">
        <f ca="1">('Cash Flow MH'!AV$27*'Assumptions MH'!$Q21*((1+AV$13)^('Cash Flow MH'!AV$5-1)))</f>
        <v>13950.46998409375</v>
      </c>
      <c r="AW57" s="1797">
        <f ca="1">('Cash Flow MH'!AW$27*'Assumptions MH'!$Q21*((1+AW$13)^('Cash Flow MH'!AW$5-1)))</f>
        <v>13950.46998409375</v>
      </c>
      <c r="AX57" s="1797">
        <f ca="1">('Cash Flow MH'!AX$27*'Assumptions MH'!$Q21*((1+AX$13)^('Cash Flow MH'!AX$5-1)))</f>
        <v>13950.46998409375</v>
      </c>
      <c r="AY57" s="1797">
        <f ca="1">('Cash Flow MH'!AY$27*'Assumptions MH'!$Q21*((1+AY$13)^('Cash Flow MH'!AY$5-1)))</f>
        <v>13950.46998409375</v>
      </c>
      <c r="AZ57" s="1797">
        <f ca="1">('Cash Flow MH'!AZ$27*'Assumptions MH'!$Q21*((1+AZ$13)^('Cash Flow MH'!AZ$5-1)))</f>
        <v>14368.984083616562</v>
      </c>
      <c r="BA57" s="1797">
        <f ca="1">('Cash Flow MH'!BA$27*'Assumptions MH'!$Q21*((1+BA$13)^('Cash Flow MH'!BA$5-1)))</f>
        <v>14368.984083616562</v>
      </c>
      <c r="BB57" s="1797">
        <f ca="1">('Cash Flow MH'!BB$27*'Assumptions MH'!$Q21*((1+BB$13)^('Cash Flow MH'!BB$5-1)))</f>
        <v>14368.984083616562</v>
      </c>
      <c r="BC57" s="1797">
        <f ca="1">('Cash Flow MH'!BC$27*'Assumptions MH'!$Q21*((1+BC$13)^('Cash Flow MH'!BC$5-1)))</f>
        <v>14368.984083616562</v>
      </c>
      <c r="BD57" s="1797">
        <f ca="1">('Cash Flow MH'!BD$27*'Assumptions MH'!$Q21*((1+BD$13)^('Cash Flow MH'!BD$5-1)))</f>
        <v>14368.984083616562</v>
      </c>
      <c r="BE57" s="1797">
        <f ca="1">('Cash Flow MH'!BE$27*'Assumptions MH'!$Q21*((1+BE$13)^('Cash Flow MH'!BE$5-1)))</f>
        <v>14368.984083616562</v>
      </c>
      <c r="BF57" s="1797">
        <f ca="1">('Cash Flow MH'!BF$27*'Assumptions MH'!$Q21*((1+BF$13)^('Cash Flow MH'!BF$5-1)))</f>
        <v>14368.984083616562</v>
      </c>
      <c r="BG57" s="1797">
        <f ca="1">('Cash Flow MH'!BG$27*'Assumptions MH'!$Q21*((1+BG$13)^('Cash Flow MH'!BG$5-1)))</f>
        <v>14368.984083616562</v>
      </c>
      <c r="BH57" s="1797">
        <f ca="1">('Cash Flow MH'!BH$27*'Assumptions MH'!$Q21*((1+BH$13)^('Cash Flow MH'!BH$5-1)))</f>
        <v>14368.984083616562</v>
      </c>
      <c r="BI57" s="1797">
        <f ca="1">('Cash Flow MH'!BI$27*'Assumptions MH'!$Q21*((1+BI$13)^('Cash Flow MH'!BI$5-1)))</f>
        <v>14368.984083616562</v>
      </c>
      <c r="BJ57" s="1797">
        <f ca="1">('Cash Flow MH'!BJ$27*'Assumptions MH'!$Q21*((1+BJ$13)^('Cash Flow MH'!BJ$5-1)))</f>
        <v>14368.984083616562</v>
      </c>
      <c r="BK57" s="1797">
        <f ca="1">('Cash Flow MH'!BK$27*'Assumptions MH'!$Q21*((1+BK$13)^('Cash Flow MH'!BK$5-1)))</f>
        <v>14368.984083616562</v>
      </c>
      <c r="BL57" s="1797">
        <f ca="1">('Cash Flow MH'!BL$27*'Assumptions MH'!$Q21*((1+BL$13)^('Cash Flow MH'!BL$5-1)))</f>
        <v>14800.053606125057</v>
      </c>
      <c r="BM57" s="1797">
        <f ca="1">('Cash Flow MH'!BM$27*'Assumptions MH'!$Q21*((1+BM$13)^('Cash Flow MH'!BM$5-1)))</f>
        <v>14800.053606125057</v>
      </c>
      <c r="BN57" s="1797">
        <f ca="1">('Cash Flow MH'!BN$27*'Assumptions MH'!$Q21*((1+BN$13)^('Cash Flow MH'!BN$5-1)))</f>
        <v>14800.053606125057</v>
      </c>
      <c r="BO57" s="1797">
        <f ca="1">('Cash Flow MH'!BO$27*'Assumptions MH'!$Q21*((1+BO$13)^('Cash Flow MH'!BO$5-1)))</f>
        <v>14800.053606125057</v>
      </c>
      <c r="BP57" s="1797">
        <f ca="1">('Cash Flow MH'!BP$27*'Assumptions MH'!$Q21*((1+BP$13)^('Cash Flow MH'!BP$5-1)))</f>
        <v>14800.053606125057</v>
      </c>
      <c r="BQ57" s="1797">
        <f ca="1">('Cash Flow MH'!BQ$27*'Assumptions MH'!$Q21*((1+BQ$13)^('Cash Flow MH'!BQ$5-1)))</f>
        <v>14800.053606125057</v>
      </c>
      <c r="BR57" s="1797">
        <f ca="1">('Cash Flow MH'!BR$27*'Assumptions MH'!$Q21*((1+BR$13)^('Cash Flow MH'!BR$5-1)))</f>
        <v>14800.053606125057</v>
      </c>
      <c r="BS57" s="1797">
        <f ca="1">('Cash Flow MH'!BS$27*'Assumptions MH'!$Q21*((1+BS$13)^('Cash Flow MH'!BS$5-1)))</f>
        <v>14800.053606125057</v>
      </c>
      <c r="BT57" s="1797">
        <f ca="1">('Cash Flow MH'!BT$27*'Assumptions MH'!$Q21*((1+BT$13)^('Cash Flow MH'!BT$5-1)))</f>
        <v>14800.053606125057</v>
      </c>
      <c r="BU57" s="1797">
        <f ca="1">('Cash Flow MH'!BU$27*'Assumptions MH'!$Q21*((1+BU$13)^('Cash Flow MH'!BU$5-1)))</f>
        <v>14800.053606125057</v>
      </c>
      <c r="BV57" s="1797">
        <f ca="1">('Cash Flow MH'!BV$27*'Assumptions MH'!$Q21*((1+BV$13)^('Cash Flow MH'!BV$5-1)))</f>
        <v>14800.053606125057</v>
      </c>
      <c r="BW57" s="1797">
        <f ca="1">('Cash Flow MH'!BW$27*'Assumptions MH'!$Q21*((1+BW$13)^('Cash Flow MH'!BW$5-1)))</f>
        <v>14800.053606125057</v>
      </c>
      <c r="BX57" s="1797">
        <f ca="1">('Cash Flow MH'!BX$27*'Assumptions MH'!$Q21*((1+BX$13)^('Cash Flow MH'!BX$5-1)))</f>
        <v>15244.05521430881</v>
      </c>
      <c r="BY57" s="1797">
        <f ca="1">('Cash Flow MH'!BY$27*'Assumptions MH'!$Q21*((1+BY$13)^('Cash Flow MH'!BY$5-1)))</f>
        <v>15244.05521430881</v>
      </c>
      <c r="BZ57" s="1797">
        <f ca="1">('Cash Flow MH'!BZ$27*'Assumptions MH'!$Q21*((1+BZ$13)^('Cash Flow MH'!BZ$5-1)))</f>
        <v>15244.05521430881</v>
      </c>
      <c r="CA57" s="1797">
        <f ca="1">('Cash Flow MH'!CA$27*'Assumptions MH'!$Q21*((1+CA$13)^('Cash Flow MH'!CA$5-1)))</f>
        <v>15244.05521430881</v>
      </c>
      <c r="CB57" s="1797">
        <f ca="1">('Cash Flow MH'!CB$27*'Assumptions MH'!$Q21*((1+CB$13)^('Cash Flow MH'!CB$5-1)))</f>
        <v>15244.05521430881</v>
      </c>
      <c r="CC57" s="1797">
        <f ca="1">('Cash Flow MH'!CC$27*'Assumptions MH'!$Q21*((1+CC$13)^('Cash Flow MH'!CC$5-1)))</f>
        <v>15244.05521430881</v>
      </c>
      <c r="CD57" s="1797">
        <f ca="1">('Cash Flow MH'!CD$27*'Assumptions MH'!$Q21*((1+CD$13)^('Cash Flow MH'!CD$5-1)))</f>
        <v>15244.05521430881</v>
      </c>
      <c r="CE57" s="1797">
        <f ca="1">('Cash Flow MH'!CE$27*'Assumptions MH'!$Q21*((1+CE$13)^('Cash Flow MH'!CE$5-1)))</f>
        <v>15244.05521430881</v>
      </c>
      <c r="CF57" s="1797">
        <f ca="1">('Cash Flow MH'!CF$27*'Assumptions MH'!$Q21*((1+CF$13)^('Cash Flow MH'!CF$5-1)))</f>
        <v>15244.05521430881</v>
      </c>
      <c r="CG57" s="1797">
        <f ca="1">('Cash Flow MH'!CG$27*'Assumptions MH'!$Q21*((1+CG$13)^('Cash Flow MH'!CG$5-1)))</f>
        <v>15244.05521430881</v>
      </c>
      <c r="CH57" s="1797">
        <f ca="1">('Cash Flow MH'!CH$27*'Assumptions MH'!$Q21*((1+CH$13)^('Cash Flow MH'!CH$5-1)))</f>
        <v>15244.05521430881</v>
      </c>
      <c r="CI57" s="1797">
        <f ca="1">('Cash Flow MH'!CI$27*'Assumptions MH'!$Q21*((1+CI$13)^('Cash Flow MH'!CI$5-1)))</f>
        <v>15244.05521430881</v>
      </c>
      <c r="CJ57" s="1797">
        <f ca="1">('Cash Flow MH'!CJ$27*'Assumptions MH'!$Q21*((1+CJ$13)^('Cash Flow MH'!CJ$5-1)))</f>
        <v>15701.376870738075</v>
      </c>
      <c r="CK57" s="1797">
        <f ca="1">('Cash Flow MH'!CK$27*'Assumptions MH'!$Q21*((1+CK$13)^('Cash Flow MH'!CK$5-1)))</f>
        <v>15701.376870738075</v>
      </c>
      <c r="CL57" s="1797">
        <f ca="1">('Cash Flow MH'!CL$27*'Assumptions MH'!$Q21*((1+CL$13)^('Cash Flow MH'!CL$5-1)))</f>
        <v>15701.376870738075</v>
      </c>
      <c r="CM57" s="1797">
        <f ca="1">('Cash Flow MH'!CM$27*'Assumptions MH'!$Q21*((1+CM$13)^('Cash Flow MH'!CM$5-1)))</f>
        <v>15701.376870738075</v>
      </c>
      <c r="CN57" s="1797">
        <f ca="1">('Cash Flow MH'!CN$27*'Assumptions MH'!$Q21*((1+CN$13)^('Cash Flow MH'!CN$5-1)))</f>
        <v>15701.376870738075</v>
      </c>
      <c r="CO57" s="1797">
        <f ca="1">('Cash Flow MH'!CO$27*'Assumptions MH'!$Q21*((1+CO$13)^('Cash Flow MH'!CO$5-1)))</f>
        <v>15701.376870738075</v>
      </c>
      <c r="CP57" s="1797">
        <f ca="1">('Cash Flow MH'!CP$27*'Assumptions MH'!$Q21*((1+CP$13)^('Cash Flow MH'!CP$5-1)))</f>
        <v>15701.376870738075</v>
      </c>
      <c r="CQ57" s="1797">
        <f ca="1">('Cash Flow MH'!CQ$27*'Assumptions MH'!$Q21*((1+CQ$13)^('Cash Flow MH'!CQ$5-1)))</f>
        <v>15701.376870738075</v>
      </c>
      <c r="CR57" s="1797">
        <f ca="1">('Cash Flow MH'!CR$27*'Assumptions MH'!$Q21*((1+CR$13)^('Cash Flow MH'!CR$5-1)))</f>
        <v>15701.376870738075</v>
      </c>
      <c r="CS57" s="1797">
        <f ca="1">('Cash Flow MH'!CS$27*'Assumptions MH'!$Q21*((1+CS$13)^('Cash Flow MH'!CS$5-1)))</f>
        <v>15701.376870738075</v>
      </c>
      <c r="CT57" s="1797">
        <f ca="1">('Cash Flow MH'!CT$27*'Assumptions MH'!$Q21*((1+CT$13)^('Cash Flow MH'!CT$5-1)))</f>
        <v>15701.376870738075</v>
      </c>
      <c r="CU57" s="1797">
        <f ca="1">('Cash Flow MH'!CU$27*'Assumptions MH'!$Q21*((1+CU$13)^('Cash Flow MH'!CU$5-1)))</f>
        <v>15701.376870738075</v>
      </c>
      <c r="CV57" s="1797">
        <f ca="1">('Cash Flow MH'!CV$27*'Assumptions MH'!$Q21*((1+CV$13)^('Cash Flow MH'!CV$5-1)))</f>
        <v>16172.418176860216</v>
      </c>
      <c r="CW57" s="1797">
        <f ca="1">('Cash Flow MH'!CW$27*'Assumptions MH'!$Q21*((1+CW$13)^('Cash Flow MH'!CW$5-1)))</f>
        <v>16172.418176860216</v>
      </c>
      <c r="CX57" s="1797">
        <f ca="1">('Cash Flow MH'!CX$27*'Assumptions MH'!$Q21*((1+CX$13)^('Cash Flow MH'!CX$5-1)))</f>
        <v>16172.418176860216</v>
      </c>
      <c r="CY57" s="1797">
        <f ca="1">('Cash Flow MH'!CY$27*'Assumptions MH'!$Q21*((1+CY$13)^('Cash Flow MH'!CY$5-1)))</f>
        <v>16172.418176860216</v>
      </c>
      <c r="CZ57" s="1797">
        <f ca="1">('Cash Flow MH'!CZ$27*'Assumptions MH'!$Q21*((1+CZ$13)^('Cash Flow MH'!CZ$5-1)))</f>
        <v>16172.418176860216</v>
      </c>
      <c r="DA57" s="1797">
        <f ca="1">('Cash Flow MH'!DA$27*'Assumptions MH'!$Q21*((1+DA$13)^('Cash Flow MH'!DA$5-1)))</f>
        <v>16172.418176860216</v>
      </c>
      <c r="DB57" s="1797">
        <f ca="1">('Cash Flow MH'!DB$27*'Assumptions MH'!$Q21*((1+DB$13)^('Cash Flow MH'!DB$5-1)))</f>
        <v>16172.418176860216</v>
      </c>
      <c r="DC57" s="1797">
        <f ca="1">('Cash Flow MH'!DC$27*'Assumptions MH'!$Q21*((1+DC$13)^('Cash Flow MH'!DC$5-1)))</f>
        <v>16172.418176860216</v>
      </c>
      <c r="DD57" s="1797">
        <f ca="1">('Cash Flow MH'!DD$27*'Assumptions MH'!$Q21*((1+DD$13)^('Cash Flow MH'!DD$5-1)))</f>
        <v>16172.418176860216</v>
      </c>
      <c r="DE57" s="1797">
        <f ca="1">('Cash Flow MH'!DE$27*'Assumptions MH'!$Q21*((1+DE$13)^('Cash Flow MH'!DE$5-1)))</f>
        <v>16172.418176860216</v>
      </c>
      <c r="DF57" s="1797">
        <f ca="1">('Cash Flow MH'!DF$27*'Assumptions MH'!$Q21*((1+DF$13)^('Cash Flow MH'!DF$5-1)))</f>
        <v>16172.418176860216</v>
      </c>
      <c r="DG57" s="1797">
        <f ca="1">('Cash Flow MH'!DG$27*'Assumptions MH'!$Q21*((1+DG$13)^('Cash Flow MH'!DG$5-1)))</f>
        <v>16172.418176860216</v>
      </c>
      <c r="DH57" s="1797">
        <f ca="1">('Cash Flow MH'!DH$27*'Assumptions MH'!$Q21*((1+DH$13)^('Cash Flow MH'!DH$5-1)))</f>
        <v>16657.590722166024</v>
      </c>
      <c r="DI57" s="1797">
        <f ca="1">('Cash Flow MH'!DI$27*'Assumptions MH'!$Q21*((1+DI$13)^('Cash Flow MH'!DI$5-1)))</f>
        <v>16657.590722166024</v>
      </c>
      <c r="DJ57" s="1797">
        <f ca="1">('Cash Flow MH'!DJ$27*'Assumptions MH'!$Q21*((1+DJ$13)^('Cash Flow MH'!DJ$5-1)))</f>
        <v>16657.590722166024</v>
      </c>
      <c r="DK57" s="1797">
        <f ca="1">('Cash Flow MH'!DK$27*'Assumptions MH'!$Q21*((1+DK$13)^('Cash Flow MH'!DK$5-1)))</f>
        <v>16657.590722166024</v>
      </c>
      <c r="DL57" s="1797">
        <f ca="1">('Cash Flow MH'!DL$27*'Assumptions MH'!$Q21*((1+DL$13)^('Cash Flow MH'!DL$5-1)))</f>
        <v>16657.590722166024</v>
      </c>
      <c r="DM57" s="1797">
        <f ca="1">('Cash Flow MH'!DM$27*'Assumptions MH'!$Q21*((1+DM$13)^('Cash Flow MH'!DM$5-1)))</f>
        <v>16657.590722166024</v>
      </c>
      <c r="DN57" s="1797">
        <f ca="1">('Cash Flow MH'!DN$27*'Assumptions MH'!$Q21*((1+DN$13)^('Cash Flow MH'!DN$5-1)))</f>
        <v>16657.590722166024</v>
      </c>
      <c r="DO57" s="1797">
        <f ca="1">('Cash Flow MH'!DO$27*'Assumptions MH'!$Q21*((1+DO$13)^('Cash Flow MH'!DO$5-1)))</f>
        <v>16657.590722166024</v>
      </c>
      <c r="DP57" s="1797">
        <f ca="1">('Cash Flow MH'!DP$27*'Assumptions MH'!$Q21*((1+DP$13)^('Cash Flow MH'!DP$5-1)))</f>
        <v>16657.590722166024</v>
      </c>
      <c r="DQ57" s="1797">
        <f ca="1">('Cash Flow MH'!DQ$27*'Assumptions MH'!$Q21*((1+DQ$13)^('Cash Flow MH'!DQ$5-1)))</f>
        <v>16657.590722166024</v>
      </c>
      <c r="DR57" s="1797">
        <f ca="1">('Cash Flow MH'!DR$27*'Assumptions MH'!$Q21*((1+DR$13)^('Cash Flow MH'!DR$5-1)))</f>
        <v>16657.590722166024</v>
      </c>
      <c r="DS57" s="1797">
        <f ca="1">('Cash Flow MH'!DS$27*'Assumptions MH'!$Q21*((1+DS$13)^('Cash Flow MH'!DS$5-1)))</f>
        <v>16657.590722166024</v>
      </c>
      <c r="DT57" s="1485" t="s">
        <v>65</v>
      </c>
    </row>
    <row r="58" spans="1:124">
      <c r="B58" s="1724" t="s">
        <v>991</v>
      </c>
      <c r="D58" s="1797">
        <f>'Cash Flow MH'!D$38*'Assumptions MH'!$Q22</f>
        <v>978.16533942309024</v>
      </c>
      <c r="E58" s="1797">
        <f>'Cash Flow MH'!E$38*'Assumptions MH'!$Q22</f>
        <v>1377.2006373634763</v>
      </c>
      <c r="F58" s="1797">
        <f>'Cash Flow MH'!F$38*'Assumptions MH'!$Q22</f>
        <v>2068.4574497839089</v>
      </c>
      <c r="G58" s="1797">
        <f>'Cash Flow MH'!G$38*'Assumptions MH'!$Q22</f>
        <v>2315.4326337613393</v>
      </c>
      <c r="H58" s="1797">
        <f>'Cash Flow MH'!H$38*'Assumptions MH'!$Q22</f>
        <v>2642.0506038278236</v>
      </c>
      <c r="I58" s="1797">
        <f>'Cash Flow MH'!I$38*'Assumptions MH'!$Q22</f>
        <v>2953.1782120699968</v>
      </c>
      <c r="J58" s="1797">
        <f>'Cash Flow MH'!J$38*'Assumptions MH'!$Q22</f>
        <v>2857.4226932732254</v>
      </c>
      <c r="K58" s="1797">
        <f>'Cash Flow MH'!K$38*'Assumptions MH'!$Q22</f>
        <v>3085.2845172253001</v>
      </c>
      <c r="L58" s="1797">
        <f>'Cash Flow MH'!L$38*'Assumptions MH'!$Q22</f>
        <v>3385.9435706477279</v>
      </c>
      <c r="M58" s="1797">
        <f>'Cash Flow MH'!M$38*'Assumptions MH'!$Q22</f>
        <v>4054.9403796281358</v>
      </c>
      <c r="N58" s="1797">
        <f>'Cash Flow MH'!N$38*'Assumptions MH'!$Q22</f>
        <v>3254.7672115599353</v>
      </c>
      <c r="O58" s="1797">
        <f>'Cash Flow MH'!O$38*'Assumptions MH'!$Q22</f>
        <v>2764.6188197473307</v>
      </c>
      <c r="P58" s="1797">
        <f>'Cash Flow MH'!P$38*'Assumptions MH'!$Q22</f>
        <v>2572.7495150647669</v>
      </c>
      <c r="Q58" s="1797">
        <f>'Cash Flow MH'!Q$38*'Assumptions MH'!$Q22</f>
        <v>3146.5278562017165</v>
      </c>
      <c r="R58" s="1797">
        <f>'Cash Flow MH'!R$38*'Assumptions MH'!$Q22</f>
        <v>4199.3496546968208</v>
      </c>
      <c r="S58" s="1797">
        <f>'Cash Flow MH'!S$38*'Assumptions MH'!$Q22</f>
        <v>4248.4419520581878</v>
      </c>
      <c r="T58" s="1797">
        <f>'Cash Flow MH'!T$38*'Assumptions MH'!$Q22</f>
        <v>4439.1403989189621</v>
      </c>
      <c r="U58" s="1797">
        <f>'Cash Flow MH'!U$38*'Assumptions MH'!$Q22</f>
        <v>4591.3563146144843</v>
      </c>
      <c r="V58" s="1797">
        <f>'Cash Flow MH'!V$38*'Assumptions MH'!$Q22</f>
        <v>4059.5108607881698</v>
      </c>
      <c r="W58" s="1797">
        <f>'Cash Flow MH'!W$38*'Assumptions MH'!$Q22</f>
        <v>4035.3562574502344</v>
      </c>
      <c r="X58" s="1797">
        <f>'Cash Flow MH'!X$38*'Assumptions MH'!$Q22</f>
        <v>4312.2372522623309</v>
      </c>
      <c r="Y58" s="1797">
        <f>'Cash Flow MH'!Y$38*'Assumptions MH'!$Q22</f>
        <v>5032.0344470084092</v>
      </c>
      <c r="Z58" s="1797">
        <f>'Cash Flow MH'!Z$38*'Assumptions MH'!$Q22</f>
        <v>3938.2205320490257</v>
      </c>
      <c r="AA58" s="1797">
        <f>'Cash Flow MH'!AA$38*'Assumptions MH'!$Q22</f>
        <v>3263.6760852031534</v>
      </c>
      <c r="AB58" s="1797">
        <f>'Cash Flow MH'!AB$38*'Assumptions MH'!$Q22</f>
        <v>2964.9588816970186</v>
      </c>
      <c r="AC58" s="1797">
        <f>'Cash Flow MH'!AC$38*'Assumptions MH'!$Q22</f>
        <v>3541.9931058882712</v>
      </c>
      <c r="AD58" s="1797">
        <f>'Cash Flow MH'!AD$38*'Assumptions MH'!$Q22</f>
        <v>4619.845281001576</v>
      </c>
      <c r="AE58" s="1797">
        <f>'Cash Flow MH'!AE$38*'Assumptions MH'!$Q22</f>
        <v>4570.1255463393582</v>
      </c>
      <c r="AF58" s="1797">
        <f>'Cash Flow MH'!AF$38*'Assumptions MH'!$Q22</f>
        <v>4671.5858093348988</v>
      </c>
      <c r="AG58" s="1797">
        <f>'Cash Flow MH'!AG$38*'Assumptions MH'!$Q22</f>
        <v>4729.0970040529201</v>
      </c>
      <c r="AH58" s="1797">
        <f>'Cash Flow MH'!AH$38*'Assumptions MH'!$Q22</f>
        <v>4181.2961866118139</v>
      </c>
      <c r="AI58" s="1797">
        <f>'Cash Flow MH'!AI$38*'Assumptions MH'!$Q22</f>
        <v>4156.4169451737425</v>
      </c>
      <c r="AJ58" s="1797">
        <f>'Cash Flow MH'!AJ$38*'Assumptions MH'!$Q22</f>
        <v>4441.604369830201</v>
      </c>
      <c r="AK58" s="1797">
        <f>'Cash Flow MH'!AK$38*'Assumptions MH'!$Q22</f>
        <v>5182.9954804186618</v>
      </c>
      <c r="AL58" s="1797">
        <f>'Cash Flow MH'!AL$38*'Assumptions MH'!$Q22</f>
        <v>4056.3671480104963</v>
      </c>
      <c r="AM58" s="1797">
        <f>'Cash Flow MH'!AM$38*'Assumptions MH'!$Q22</f>
        <v>3361.5863677592465</v>
      </c>
      <c r="AN58" s="1797">
        <f>'Cash Flow MH'!AN$38*'Assumptions MH'!$Q22</f>
        <v>3053.9076481479292</v>
      </c>
      <c r="AO58" s="1797">
        <f>'Cash Flow MH'!AO$38*'Assumptions MH'!$Q22</f>
        <v>3778.5476454600948</v>
      </c>
      <c r="AP58" s="1797">
        <f>'Cash Flow MH'!AP$38*'Assumptions MH'!$Q22</f>
        <v>4758.4406394316238</v>
      </c>
      <c r="AQ58" s="1797">
        <f>'Cash Flow MH'!AQ$38*'Assumptions MH'!$Q22</f>
        <v>4707.2293127295379</v>
      </c>
      <c r="AR58" s="1797">
        <f>'Cash Flow MH'!AR$38*'Assumptions MH'!$Q22</f>
        <v>4811.7333836149446</v>
      </c>
      <c r="AS58" s="1797">
        <f>'Cash Flow MH'!AS$38*'Assumptions MH'!$Q22</f>
        <v>4870.9699141745068</v>
      </c>
      <c r="AT58" s="1797">
        <f>'Cash Flow MH'!AT$38*'Assumptions MH'!$Q22</f>
        <v>4306.7350722101692</v>
      </c>
      <c r="AU58" s="1797">
        <f>'Cash Flow MH'!AU$38*'Assumptions MH'!$Q22</f>
        <v>4281.109453528954</v>
      </c>
      <c r="AV58" s="1797">
        <f>'Cash Flow MH'!AV$38*'Assumptions MH'!$Q22</f>
        <v>4574.8525009251052</v>
      </c>
      <c r="AW58" s="1797">
        <f>'Cash Flow MH'!AW$38*'Assumptions MH'!$Q22</f>
        <v>5338.4853448312206</v>
      </c>
      <c r="AX58" s="1797">
        <f>'Cash Flow MH'!AX$38*'Assumptions MH'!$Q22</f>
        <v>4178.0581624508104</v>
      </c>
      <c r="AY58" s="1797">
        <f>'Cash Flow MH'!AY$38*'Assumptions MH'!$Q22</f>
        <v>3462.433958792024</v>
      </c>
      <c r="AZ58" s="1797">
        <f>'Cash Flow MH'!AZ$38*'Assumptions MH'!$Q22</f>
        <v>3145.5248775923665</v>
      </c>
      <c r="BA58" s="1797">
        <f>'Cash Flow MH'!BA$38*'Assumptions MH'!$Q22</f>
        <v>3757.700486036867</v>
      </c>
      <c r="BB58" s="1797">
        <f>'Cash Flow MH'!BB$38*'Assumptions MH'!$Q22</f>
        <v>4901.1938586145725</v>
      </c>
      <c r="BC58" s="1797">
        <f>'Cash Flow MH'!BC$38*'Assumptions MH'!$Q22</f>
        <v>4848.4461921114253</v>
      </c>
      <c r="BD58" s="1797">
        <f>'Cash Flow MH'!BD$38*'Assumptions MH'!$Q22</f>
        <v>4956.0853851233933</v>
      </c>
      <c r="BE58" s="1797">
        <f>'Cash Flow MH'!BE$38*'Assumptions MH'!$Q22</f>
        <v>5017.099011599742</v>
      </c>
      <c r="BF58" s="1797">
        <f>'Cash Flow MH'!BF$38*'Assumptions MH'!$Q22</f>
        <v>4435.9371243764745</v>
      </c>
      <c r="BG58" s="1797">
        <f>'Cash Flow MH'!BG$38*'Assumptions MH'!$Q22</f>
        <v>4409.5427371348223</v>
      </c>
      <c r="BH58" s="1797">
        <f>'Cash Flow MH'!BH$38*'Assumptions MH'!$Q22</f>
        <v>4712.0980759528593</v>
      </c>
      <c r="BI58" s="1797">
        <f>'Cash Flow MH'!BI$38*'Assumptions MH'!$Q22</f>
        <v>5498.6399051761573</v>
      </c>
      <c r="BJ58" s="1797">
        <f>'Cash Flow MH'!BJ$38*'Assumptions MH'!$Q22</f>
        <v>4303.3999073243349</v>
      </c>
      <c r="BK58" s="1797">
        <f>'Cash Flow MH'!BK$38*'Assumptions MH'!$Q22</f>
        <v>3566.3069775557851</v>
      </c>
      <c r="BL58" s="1797">
        <f>'Cash Flow MH'!BL$38*'Assumptions MH'!$Q22</f>
        <v>3239.8906239201378</v>
      </c>
      <c r="BM58" s="1797">
        <f>'Cash Flow MH'!BM$38*'Assumptions MH'!$Q22</f>
        <v>3870.4315006179722</v>
      </c>
      <c r="BN58" s="1797">
        <f>'Cash Flow MH'!BN$38*'Assumptions MH'!$Q22</f>
        <v>5048.2296743730094</v>
      </c>
      <c r="BO58" s="1797">
        <f>'Cash Flow MH'!BO$38*'Assumptions MH'!$Q22</f>
        <v>4993.8995778747676</v>
      </c>
      <c r="BP58" s="1797">
        <f>'Cash Flow MH'!BP$38*'Assumptions MH'!$Q22</f>
        <v>5104.7679466770942</v>
      </c>
      <c r="BQ58" s="1797">
        <f>'Cash Flow MH'!BQ$38*'Assumptions MH'!$Q22</f>
        <v>5167.6119819477344</v>
      </c>
      <c r="BR58" s="1797">
        <f>'Cash Flow MH'!BR$38*'Assumptions MH'!$Q22</f>
        <v>4569.0152381077678</v>
      </c>
      <c r="BS58" s="1797">
        <f>'Cash Flow MH'!BS$38*'Assumptions MH'!$Q22</f>
        <v>4541.8290192488657</v>
      </c>
      <c r="BT58" s="1797">
        <f>'Cash Flow MH'!BT$38*'Assumptions MH'!$Q22</f>
        <v>4853.4610182314445</v>
      </c>
      <c r="BU58" s="1797">
        <f>'Cash Flow MH'!BU$38*'Assumptions MH'!$Q22</f>
        <v>5663.5991023314418</v>
      </c>
      <c r="BV58" s="1797">
        <f>'Cash Flow MH'!BV$38*'Assumptions MH'!$Q22</f>
        <v>4432.5019045440658</v>
      </c>
      <c r="BW58" s="1797">
        <f>'Cash Flow MH'!BW$38*'Assumptions MH'!$Q22</f>
        <v>3673.2961868824582</v>
      </c>
      <c r="BX58" s="1797">
        <f>'Cash Flow MH'!BX$38*'Assumptions MH'!$Q22</f>
        <v>3337.0873426377411</v>
      </c>
      <c r="BY58" s="1797">
        <f>'Cash Flow MH'!BY$38*'Assumptions MH'!$Q22</f>
        <v>3986.5444456365121</v>
      </c>
      <c r="BZ58" s="1797">
        <f>'Cash Flow MH'!BZ$38*'Assumptions MH'!$Q22</f>
        <v>5199.6765646042004</v>
      </c>
      <c r="CA58" s="1797">
        <f>'Cash Flow MH'!CA$38*'Assumptions MH'!$Q22</f>
        <v>5143.7165652110098</v>
      </c>
      <c r="CB58" s="1797">
        <f>'Cash Flow MH'!CB$38*'Assumptions MH'!$Q22</f>
        <v>5257.9109850774066</v>
      </c>
      <c r="CC58" s="1797">
        <f>'Cash Flow MH'!CC$38*'Assumptions MH'!$Q22</f>
        <v>5322.6403414061651</v>
      </c>
      <c r="CD58" s="1797">
        <f>'Cash Flow MH'!CD$38*'Assumptions MH'!$Q22</f>
        <v>4706.0856952510012</v>
      </c>
      <c r="CE58" s="1797">
        <f>'Cash Flow MH'!CE$38*'Assumptions MH'!$Q22</f>
        <v>4678.0838898263328</v>
      </c>
      <c r="CF58" s="1797">
        <f>'Cash Flow MH'!CF$38*'Assumptions MH'!$Q22</f>
        <v>4999.0648487783892</v>
      </c>
      <c r="CG58" s="1797">
        <f>'Cash Flow MH'!CG$38*'Assumptions MH'!$Q22</f>
        <v>5833.5070754013859</v>
      </c>
      <c r="CH58" s="1797">
        <f>'Cash Flow MH'!CH$38*'Assumptions MH'!$Q22</f>
        <v>4565.4769616803869</v>
      </c>
      <c r="CI58" s="1797">
        <f>'Cash Flow MH'!CI$38*'Assumptions MH'!$Q22</f>
        <v>3783.4950724889327</v>
      </c>
      <c r="CJ58" s="1797">
        <f>'Cash Flow MH'!CJ$38*'Assumptions MH'!$Q22</f>
        <v>3437.1999629168745</v>
      </c>
      <c r="CK58" s="1797">
        <f>'Cash Flow MH'!CK$38*'Assumptions MH'!$Q22</f>
        <v>4252.7886639700937</v>
      </c>
      <c r="CL58" s="1797">
        <f>'Cash Flow MH'!CL$38*'Assumptions MH'!$Q22</f>
        <v>5355.6668615423259</v>
      </c>
      <c r="CM58" s="1797">
        <f>'Cash Flow MH'!CM$38*'Assumptions MH'!$Q22</f>
        <v>5298.0280621673392</v>
      </c>
      <c r="CN58" s="1797">
        <f>'Cash Flow MH'!CN$38*'Assumptions MH'!$Q22</f>
        <v>5415.6483146297305</v>
      </c>
      <c r="CO58" s="1797">
        <f>'Cash Flow MH'!CO$38*'Assumptions MH'!$Q22</f>
        <v>5482.3195516483511</v>
      </c>
      <c r="CP58" s="1797">
        <f>'Cash Flow MH'!CP$38*'Assumptions MH'!$Q22</f>
        <v>4847.2682661085319</v>
      </c>
      <c r="CQ58" s="1797">
        <f>'Cash Flow MH'!CQ$38*'Assumptions MH'!$Q22</f>
        <v>4818.4264065211237</v>
      </c>
      <c r="CR58" s="1797">
        <f>'Cash Flow MH'!CR$38*'Assumptions MH'!$Q22</f>
        <v>5149.0367942417406</v>
      </c>
      <c r="CS58" s="1797">
        <f>'Cash Flow MH'!CS$38*'Assumptions MH'!$Q22</f>
        <v>6008.5122876634287</v>
      </c>
      <c r="CT58" s="1797">
        <f>'Cash Flow MH'!CT$38*'Assumptions MH'!$Q22</f>
        <v>4702.4412705307996</v>
      </c>
      <c r="CU58" s="1797">
        <f>'Cash Flow MH'!CU$38*'Assumptions MH'!$Q22</f>
        <v>3896.9999246636003</v>
      </c>
      <c r="CV58" s="1797">
        <f>'Cash Flow MH'!CV$38*'Assumptions MH'!$Q22</f>
        <v>3540.3159618043801</v>
      </c>
      <c r="CW58" s="1797">
        <f>'Cash Flow MH'!CW$38*'Assumptions MH'!$Q22</f>
        <v>4229.3250023757746</v>
      </c>
      <c r="CX58" s="1797">
        <f>'Cash Flow MH'!CX$38*'Assumptions MH'!$Q22</f>
        <v>5516.3368673885943</v>
      </c>
      <c r="CY58" s="1797">
        <f>'Cash Flow MH'!CY$38*'Assumptions MH'!$Q22</f>
        <v>5456.9689040323601</v>
      </c>
      <c r="CZ58" s="1797">
        <f>'Cash Flow MH'!CZ$38*'Assumptions MH'!$Q22</f>
        <v>5578.1177640686219</v>
      </c>
      <c r="DA58" s="1797">
        <f>'Cash Flow MH'!DA$38*'Assumptions MH'!$Q22</f>
        <v>5646.7891381978025</v>
      </c>
      <c r="DB58" s="1797">
        <f>'Cash Flow MH'!DB$38*'Assumptions MH'!$Q22</f>
        <v>4992.6863140917867</v>
      </c>
      <c r="DC58" s="1797">
        <f>'Cash Flow MH'!DC$38*'Assumptions MH'!$Q22</f>
        <v>4962.9791987167555</v>
      </c>
      <c r="DD58" s="1797">
        <f>'Cash Flow MH'!DD$38*'Assumptions MH'!$Q22</f>
        <v>5303.5078980689914</v>
      </c>
      <c r="DE58" s="1797">
        <f>'Cash Flow MH'!DE$38*'Assumptions MH'!$Q22</f>
        <v>6188.7676562933284</v>
      </c>
      <c r="DF58" s="1797">
        <f>'Cash Flow MH'!DF$38*'Assumptions MH'!$Q22</f>
        <v>4843.5145086467228</v>
      </c>
      <c r="DG58" s="1797">
        <f>'Cash Flow MH'!DG$38*'Assumptions MH'!$Q22</f>
        <v>4013.9099224035076</v>
      </c>
      <c r="DH58" s="1797">
        <f>'Cash Flow MH'!DH$38*'Assumptions MH'!$Q22</f>
        <v>3646.5254406585118</v>
      </c>
      <c r="DI58" s="1797">
        <f>'Cash Flow MH'!DI$38*'Assumptions MH'!$Q22</f>
        <v>4356.204752447049</v>
      </c>
      <c r="DJ58" s="1797">
        <f>'Cash Flow MH'!DJ$38*'Assumptions MH'!$Q22</f>
        <v>5681.8269734102523</v>
      </c>
      <c r="DK58" s="1797">
        <f>'Cash Flow MH'!DK$38*'Assumptions MH'!$Q22</f>
        <v>5620.6779711533318</v>
      </c>
      <c r="DL58" s="1797">
        <f>'Cash Flow MH'!DL$38*'Assumptions MH'!$Q22</f>
        <v>5745.4612969906802</v>
      </c>
      <c r="DM58" s="1797">
        <f>'Cash Flow MH'!DM$38*'Assumptions MH'!$Q22</f>
        <v>5816.1928123437356</v>
      </c>
      <c r="DN58" s="1797">
        <f>'Cash Flow MH'!DN$38*'Assumptions MH'!$Q22</f>
        <v>5142.4669035145407</v>
      </c>
      <c r="DO58" s="1797">
        <f>'Cash Flow MH'!DO$38*'Assumptions MH'!$Q22</f>
        <v>5111.8685746782585</v>
      </c>
      <c r="DP58" s="1797">
        <f>'Cash Flow MH'!DP$38*'Assumptions MH'!$Q22</f>
        <v>5462.6131350110627</v>
      </c>
      <c r="DQ58" s="1797">
        <f>'Cash Flow MH'!DQ$38*'Assumptions MH'!$Q22</f>
        <v>6374.4306859821299</v>
      </c>
      <c r="DR58" s="1797">
        <f>'Cash Flow MH'!DR$38*'Assumptions MH'!$Q22</f>
        <v>4988.8199439061245</v>
      </c>
      <c r="DS58" s="1797">
        <f>'Cash Flow MH'!DS$38*'Assumptions MH'!$Q22</f>
        <v>4134.3272200756137</v>
      </c>
      <c r="DT58" s="1485" t="s">
        <v>65</v>
      </c>
    </row>
    <row r="59" spans="1:124">
      <c r="B59" s="1724" t="s">
        <v>993</v>
      </c>
      <c r="D59" s="1726">
        <f>'Cash Flow MH'!D$38*'Assumptions MH'!$Q23</f>
        <v>13694.314751923264</v>
      </c>
      <c r="E59" s="1726">
        <f>'Cash Flow MH'!E$38*'Assumptions MH'!$Q23</f>
        <v>19280.808923088669</v>
      </c>
      <c r="F59" s="1726">
        <f>'Cash Flow MH'!F$38*'Assumptions MH'!$Q23</f>
        <v>28958.404296974728</v>
      </c>
      <c r="G59" s="1726">
        <f>'Cash Flow MH'!G$38*'Assumptions MH'!$Q23</f>
        <v>32416.056872658752</v>
      </c>
      <c r="H59" s="1726">
        <f>'Cash Flow MH'!H$38*'Assumptions MH'!$Q23</f>
        <v>36988.708453589534</v>
      </c>
      <c r="I59" s="1726">
        <f>'Cash Flow MH'!I$38*'Assumptions MH'!$Q23</f>
        <v>41344.494968979954</v>
      </c>
      <c r="J59" s="1726">
        <f>'Cash Flow MH'!J$38*'Assumptions MH'!$Q23</f>
        <v>40003.917705825159</v>
      </c>
      <c r="K59" s="1726">
        <f>'Cash Flow MH'!K$38*'Assumptions MH'!$Q23</f>
        <v>43193.983241154208</v>
      </c>
      <c r="L59" s="1726">
        <f>'Cash Flow MH'!L$38*'Assumptions MH'!$Q23</f>
        <v>47403.2099890682</v>
      </c>
      <c r="M59" s="1726">
        <f>'Cash Flow MH'!M$38*'Assumptions MH'!$Q23</f>
        <v>56769.165314793907</v>
      </c>
      <c r="N59" s="1726">
        <f>'Cash Flow MH'!N$38*'Assumptions MH'!$Q23</f>
        <v>45566.740961839096</v>
      </c>
      <c r="O59" s="1726">
        <f>'Cash Flow MH'!O$38*'Assumptions MH'!$Q23</f>
        <v>38704.663476462636</v>
      </c>
      <c r="P59" s="1726">
        <f>'Cash Flow MH'!P$38*'Assumptions MH'!$Q23</f>
        <v>36018.493210906745</v>
      </c>
      <c r="Q59" s="1726">
        <f>'Cash Flow MH'!Q$38*'Assumptions MH'!$Q23</f>
        <v>44051.389986824033</v>
      </c>
      <c r="R59" s="1726">
        <f>'Cash Flow MH'!R$38*'Assumptions MH'!$Q23</f>
        <v>58790.895165755494</v>
      </c>
      <c r="S59" s="1726">
        <f>'Cash Flow MH'!S$38*'Assumptions MH'!$Q23</f>
        <v>59478.187328814638</v>
      </c>
      <c r="T59" s="1726">
        <f>'Cash Flow MH'!T$38*'Assumptions MH'!$Q23</f>
        <v>62147.965584865473</v>
      </c>
      <c r="U59" s="1726">
        <f>'Cash Flow MH'!U$38*'Assumptions MH'!$Q23</f>
        <v>64278.98840460278</v>
      </c>
      <c r="V59" s="1726">
        <f>'Cash Flow MH'!V$38*'Assumptions MH'!$Q23</f>
        <v>56833.152051034383</v>
      </c>
      <c r="W59" s="1726">
        <f>'Cash Flow MH'!W$38*'Assumptions MH'!$Q23</f>
        <v>56494.987604303285</v>
      </c>
      <c r="X59" s="1726">
        <f>'Cash Flow MH'!X$38*'Assumptions MH'!$Q23</f>
        <v>60371.321531672635</v>
      </c>
      <c r="Y59" s="1726">
        <f>'Cash Flow MH'!Y$38*'Assumptions MH'!$Q23</f>
        <v>70448.482258117729</v>
      </c>
      <c r="Z59" s="1726">
        <f>'Cash Flow MH'!Z$38*'Assumptions MH'!$Q23</f>
        <v>55135.087448686361</v>
      </c>
      <c r="AA59" s="1726">
        <f>'Cash Flow MH'!AA$38*'Assumptions MH'!$Q23</f>
        <v>45691.465192844153</v>
      </c>
      <c r="AB59" s="1726">
        <f>'Cash Flow MH'!AB$38*'Assumptions MH'!$Q23</f>
        <v>41509.424343758263</v>
      </c>
      <c r="AC59" s="1726">
        <f>'Cash Flow MH'!AC$38*'Assumptions MH'!$Q23</f>
        <v>49587.903482435802</v>
      </c>
      <c r="AD59" s="1726">
        <f>'Cash Flow MH'!AD$38*'Assumptions MH'!$Q23</f>
        <v>64677.83393402207</v>
      </c>
      <c r="AE59" s="1726">
        <f>'Cash Flow MH'!AE$38*'Assumptions MH'!$Q23</f>
        <v>63981.757648751016</v>
      </c>
      <c r="AF59" s="1726">
        <f>'Cash Flow MH'!AF$38*'Assumptions MH'!$Q23</f>
        <v>65402.201330688586</v>
      </c>
      <c r="AG59" s="1726">
        <f>'Cash Flow MH'!AG$38*'Assumptions MH'!$Q23</f>
        <v>66207.358056740894</v>
      </c>
      <c r="AH59" s="1726">
        <f>'Cash Flow MH'!AH$38*'Assumptions MH'!$Q23</f>
        <v>58538.146612565397</v>
      </c>
      <c r="AI59" s="1726">
        <f>'Cash Flow MH'!AI$38*'Assumptions MH'!$Q23</f>
        <v>58189.837232432394</v>
      </c>
      <c r="AJ59" s="1726">
        <f>'Cash Flow MH'!AJ$38*'Assumptions MH'!$Q23</f>
        <v>62182.461177622812</v>
      </c>
      <c r="AK59" s="1726">
        <f>'Cash Flow MH'!AK$38*'Assumptions MH'!$Q23</f>
        <v>72561.936725861276</v>
      </c>
      <c r="AL59" s="1726">
        <f>'Cash Flow MH'!AL$38*'Assumptions MH'!$Q23</f>
        <v>56789.140072146954</v>
      </c>
      <c r="AM59" s="1726">
        <f>'Cash Flow MH'!AM$38*'Assumptions MH'!$Q23</f>
        <v>47062.209148629452</v>
      </c>
      <c r="AN59" s="1726">
        <f>'Cash Flow MH'!AN$38*'Assumptions MH'!$Q23</f>
        <v>42754.707074071011</v>
      </c>
      <c r="AO59" s="1726">
        <f>'Cash Flow MH'!AO$38*'Assumptions MH'!$Q23</f>
        <v>52899.667036441329</v>
      </c>
      <c r="AP59" s="1726">
        <f>'Cash Flow MH'!AP$38*'Assumptions MH'!$Q23</f>
        <v>66618.168952042732</v>
      </c>
      <c r="AQ59" s="1726">
        <f>'Cash Flow MH'!AQ$38*'Assumptions MH'!$Q23</f>
        <v>65901.210378213538</v>
      </c>
      <c r="AR59" s="1726">
        <f>'Cash Flow MH'!AR$38*'Assumptions MH'!$Q23</f>
        <v>67364.267370609232</v>
      </c>
      <c r="AS59" s="1726">
        <f>'Cash Flow MH'!AS$38*'Assumptions MH'!$Q23</f>
        <v>68193.578798443108</v>
      </c>
      <c r="AT59" s="1726">
        <f>'Cash Flow MH'!AT$38*'Assumptions MH'!$Q23</f>
        <v>60294.291010942376</v>
      </c>
      <c r="AU59" s="1726">
        <f>'Cash Flow MH'!AU$38*'Assumptions MH'!$Q23</f>
        <v>59935.532349405359</v>
      </c>
      <c r="AV59" s="1726">
        <f>'Cash Flow MH'!AV$38*'Assumptions MH'!$Q23</f>
        <v>64047.935012951479</v>
      </c>
      <c r="AW59" s="1726">
        <f>'Cash Flow MH'!AW$38*'Assumptions MH'!$Q23</f>
        <v>74738.794827637088</v>
      </c>
      <c r="AX59" s="1726">
        <f>'Cash Flow MH'!AX$38*'Assumptions MH'!$Q23</f>
        <v>58492.814274311357</v>
      </c>
      <c r="AY59" s="1726">
        <f>'Cash Flow MH'!AY$38*'Assumptions MH'!$Q23</f>
        <v>48474.075423088339</v>
      </c>
      <c r="AZ59" s="1726">
        <f>'Cash Flow MH'!AZ$38*'Assumptions MH'!$Q23</f>
        <v>44037.348286293134</v>
      </c>
      <c r="BA59" s="1726">
        <f>'Cash Flow MH'!BA$38*'Assumptions MH'!$Q23</f>
        <v>52607.806804516142</v>
      </c>
      <c r="BB59" s="1726">
        <f>'Cash Flow MH'!BB$38*'Assumptions MH'!$Q23</f>
        <v>68616.71402060402</v>
      </c>
      <c r="BC59" s="1726">
        <f>'Cash Flow MH'!BC$38*'Assumptions MH'!$Q23</f>
        <v>67878.24668955995</v>
      </c>
      <c r="BD59" s="1726">
        <f>'Cash Flow MH'!BD$38*'Assumptions MH'!$Q23</f>
        <v>69385.19539172751</v>
      </c>
      <c r="BE59" s="1726">
        <f>'Cash Flow MH'!BE$38*'Assumptions MH'!$Q23</f>
        <v>70239.386162396404</v>
      </c>
      <c r="BF59" s="1726">
        <f>'Cash Flow MH'!BF$38*'Assumptions MH'!$Q23</f>
        <v>62103.119741270639</v>
      </c>
      <c r="BG59" s="1726">
        <f>'Cash Flow MH'!BG$38*'Assumptions MH'!$Q23</f>
        <v>61733.598319887511</v>
      </c>
      <c r="BH59" s="1726">
        <f>'Cash Flow MH'!BH$38*'Assumptions MH'!$Q23</f>
        <v>65969.373063340041</v>
      </c>
      <c r="BI59" s="1726">
        <f>'Cash Flow MH'!BI$38*'Assumptions MH'!$Q23</f>
        <v>76980.958672466208</v>
      </c>
      <c r="BJ59" s="1726">
        <f>'Cash Flow MH'!BJ$38*'Assumptions MH'!$Q23</f>
        <v>60247.598702540694</v>
      </c>
      <c r="BK59" s="1726">
        <f>'Cash Flow MH'!BK$38*'Assumptions MH'!$Q23</f>
        <v>49928.297685780992</v>
      </c>
      <c r="BL59" s="1726">
        <f>'Cash Flow MH'!BL$38*'Assumptions MH'!$Q23</f>
        <v>45358.468734881935</v>
      </c>
      <c r="BM59" s="1726">
        <f>'Cash Flow MH'!BM$38*'Assumptions MH'!$Q23</f>
        <v>54186.04100865162</v>
      </c>
      <c r="BN59" s="1726">
        <f>'Cash Flow MH'!BN$38*'Assumptions MH'!$Q23</f>
        <v>70675.215441222128</v>
      </c>
      <c r="BO59" s="1726">
        <f>'Cash Flow MH'!BO$38*'Assumptions MH'!$Q23</f>
        <v>69914.594090246741</v>
      </c>
      <c r="BP59" s="1726">
        <f>'Cash Flow MH'!BP$38*'Assumptions MH'!$Q23</f>
        <v>71466.751253479335</v>
      </c>
      <c r="BQ59" s="1726">
        <f>'Cash Flow MH'!BQ$38*'Assumptions MH'!$Q23</f>
        <v>72346.567747268287</v>
      </c>
      <c r="BR59" s="1726">
        <f>'Cash Flow MH'!BR$38*'Assumptions MH'!$Q23</f>
        <v>63966.213333508756</v>
      </c>
      <c r="BS59" s="1726">
        <f>'Cash Flow MH'!BS$38*'Assumptions MH'!$Q23</f>
        <v>63585.606269484124</v>
      </c>
      <c r="BT59" s="1726">
        <f>'Cash Flow MH'!BT$38*'Assumptions MH'!$Q23</f>
        <v>67948.454255240227</v>
      </c>
      <c r="BU59" s="1726">
        <f>'Cash Flow MH'!BU$38*'Assumptions MH'!$Q23</f>
        <v>79290.3874326402</v>
      </c>
      <c r="BV59" s="1726">
        <f>'Cash Flow MH'!BV$38*'Assumptions MH'!$Q23</f>
        <v>62055.026663616925</v>
      </c>
      <c r="BW59" s="1726">
        <f>'Cash Flow MH'!BW$38*'Assumptions MH'!$Q23</f>
        <v>51426.146616354417</v>
      </c>
      <c r="BX59" s="1726">
        <f>'Cash Flow MH'!BX$38*'Assumptions MH'!$Q23</f>
        <v>46719.222796928385</v>
      </c>
      <c r="BY59" s="1726">
        <f>'Cash Flow MH'!BY$38*'Assumptions MH'!$Q23</f>
        <v>55811.622238911179</v>
      </c>
      <c r="BZ59" s="1726">
        <f>'Cash Flow MH'!BZ$38*'Assumptions MH'!$Q23</f>
        <v>72795.471904458813</v>
      </c>
      <c r="CA59" s="1726">
        <f>'Cash Flow MH'!CA$38*'Assumptions MH'!$Q23</f>
        <v>72012.031912954146</v>
      </c>
      <c r="CB59" s="1726">
        <f>'Cash Flow MH'!CB$38*'Assumptions MH'!$Q23</f>
        <v>73610.753791083698</v>
      </c>
      <c r="CC59" s="1726">
        <f>'Cash Flow MH'!CC$38*'Assumptions MH'!$Q23</f>
        <v>74516.964779686328</v>
      </c>
      <c r="CD59" s="1726">
        <f>'Cash Flow MH'!CD$38*'Assumptions MH'!$Q23</f>
        <v>65885.199733514019</v>
      </c>
      <c r="CE59" s="1726">
        <f>'Cash Flow MH'!CE$38*'Assumptions MH'!$Q23</f>
        <v>65493.174457568668</v>
      </c>
      <c r="CF59" s="1726">
        <f>'Cash Flow MH'!CF$38*'Assumptions MH'!$Q23</f>
        <v>69986.907882897445</v>
      </c>
      <c r="CG59" s="1726">
        <f>'Cash Flow MH'!CG$38*'Assumptions MH'!$Q23</f>
        <v>81669.099055619416</v>
      </c>
      <c r="CH59" s="1726">
        <f>'Cash Flow MH'!CH$38*'Assumptions MH'!$Q23</f>
        <v>63916.677463525426</v>
      </c>
      <c r="CI59" s="1726">
        <f>'Cash Flow MH'!CI$38*'Assumptions MH'!$Q23</f>
        <v>52968.93101484506</v>
      </c>
      <c r="CJ59" s="1726">
        <f>'Cash Flow MH'!CJ$38*'Assumptions MH'!$Q23</f>
        <v>48120.799480836242</v>
      </c>
      <c r="CK59" s="1726">
        <f>'Cash Flow MH'!CK$38*'Assumptions MH'!$Q23</f>
        <v>59539.041295581315</v>
      </c>
      <c r="CL59" s="1726">
        <f>'Cash Flow MH'!CL$38*'Assumptions MH'!$Q23</f>
        <v>74979.336061592563</v>
      </c>
      <c r="CM59" s="1726">
        <f>'Cash Flow MH'!CM$38*'Assumptions MH'!$Q23</f>
        <v>74172.392870342752</v>
      </c>
      <c r="CN59" s="1726">
        <f>'Cash Flow MH'!CN$38*'Assumptions MH'!$Q23</f>
        <v>75819.076404816238</v>
      </c>
      <c r="CO59" s="1726">
        <f>'Cash Flow MH'!CO$38*'Assumptions MH'!$Q23</f>
        <v>76752.473723076924</v>
      </c>
      <c r="CP59" s="1726">
        <f>'Cash Flow MH'!CP$38*'Assumptions MH'!$Q23</f>
        <v>67861.755725519441</v>
      </c>
      <c r="CQ59" s="1726">
        <f>'Cash Flow MH'!CQ$38*'Assumptions MH'!$Q23</f>
        <v>67457.96969129573</v>
      </c>
      <c r="CR59" s="1726">
        <f>'Cash Flow MH'!CR$38*'Assumptions MH'!$Q23</f>
        <v>72086.515119384363</v>
      </c>
      <c r="CS59" s="1726">
        <f>'Cash Flow MH'!CS$38*'Assumptions MH'!$Q23</f>
        <v>84119.172027288005</v>
      </c>
      <c r="CT59" s="1726">
        <f>'Cash Flow MH'!CT$38*'Assumptions MH'!$Q23</f>
        <v>65834.177787431196</v>
      </c>
      <c r="CU59" s="1726">
        <f>'Cash Flow MH'!CU$38*'Assumptions MH'!$Q23</f>
        <v>54557.998945290412</v>
      </c>
      <c r="CV59" s="1726">
        <f>'Cash Flow MH'!CV$38*'Assumptions MH'!$Q23</f>
        <v>49564.423465261323</v>
      </c>
      <c r="CW59" s="1726">
        <f>'Cash Flow MH'!CW$38*'Assumptions MH'!$Q23</f>
        <v>59210.55003326085</v>
      </c>
      <c r="CX59" s="1726">
        <f>'Cash Flow MH'!CX$38*'Assumptions MH'!$Q23</f>
        <v>77228.716143440324</v>
      </c>
      <c r="CY59" s="1726">
        <f>'Cash Flow MH'!CY$38*'Assumptions MH'!$Q23</f>
        <v>76397.564656453047</v>
      </c>
      <c r="CZ59" s="1726">
        <f>'Cash Flow MH'!CZ$38*'Assumptions MH'!$Q23</f>
        <v>78093.648696960721</v>
      </c>
      <c r="DA59" s="1726">
        <f>'Cash Flow MH'!DA$38*'Assumptions MH'!$Q23</f>
        <v>79055.047934769245</v>
      </c>
      <c r="DB59" s="1726">
        <f>'Cash Flow MH'!DB$38*'Assumptions MH'!$Q23</f>
        <v>69897.608397285017</v>
      </c>
      <c r="DC59" s="1726">
        <f>'Cash Flow MH'!DC$38*'Assumptions MH'!$Q23</f>
        <v>69481.708782034577</v>
      </c>
      <c r="DD59" s="1726">
        <f>'Cash Flow MH'!DD$38*'Assumptions MH'!$Q23</f>
        <v>74249.110572965888</v>
      </c>
      <c r="DE59" s="1726">
        <f>'Cash Flow MH'!DE$38*'Assumptions MH'!$Q23</f>
        <v>86642.747188106616</v>
      </c>
      <c r="DF59" s="1726">
        <f>'Cash Flow MH'!DF$38*'Assumptions MH'!$Q23</f>
        <v>67809.203121054117</v>
      </c>
      <c r="DG59" s="1726">
        <f>'Cash Flow MH'!DG$38*'Assumptions MH'!$Q23</f>
        <v>56194.738913649111</v>
      </c>
      <c r="DH59" s="1726">
        <f>'Cash Flow MH'!DH$38*'Assumptions MH'!$Q23</f>
        <v>51051.356169219172</v>
      </c>
      <c r="DI59" s="1726">
        <f>'Cash Flow MH'!DI$38*'Assumptions MH'!$Q23</f>
        <v>60986.866534258697</v>
      </c>
      <c r="DJ59" s="1726">
        <f>'Cash Flow MH'!DJ$38*'Assumptions MH'!$Q23</f>
        <v>79545.577627743536</v>
      </c>
      <c r="DK59" s="1726">
        <f>'Cash Flow MH'!DK$38*'Assumptions MH'!$Q23</f>
        <v>78689.491596146647</v>
      </c>
      <c r="DL59" s="1726">
        <f>'Cash Flow MH'!DL$38*'Assumptions MH'!$Q23</f>
        <v>80436.458157869536</v>
      </c>
      <c r="DM59" s="1726">
        <f>'Cash Flow MH'!DM$38*'Assumptions MH'!$Q23</f>
        <v>81426.699372812305</v>
      </c>
      <c r="DN59" s="1726">
        <f>'Cash Flow MH'!DN$38*'Assumptions MH'!$Q23</f>
        <v>71994.536649203568</v>
      </c>
      <c r="DO59" s="1726">
        <f>'Cash Flow MH'!DO$38*'Assumptions MH'!$Q23</f>
        <v>71566.160045495635</v>
      </c>
      <c r="DP59" s="1726">
        <f>'Cash Flow MH'!DP$38*'Assumptions MH'!$Q23</f>
        <v>76476.583890154885</v>
      </c>
      <c r="DQ59" s="1726">
        <f>'Cash Flow MH'!DQ$38*'Assumptions MH'!$Q23</f>
        <v>89242.029603749834</v>
      </c>
      <c r="DR59" s="1726">
        <f>'Cash Flow MH'!DR$38*'Assumptions MH'!$Q23</f>
        <v>69843.479214685751</v>
      </c>
      <c r="DS59" s="1726">
        <f>'Cash Flow MH'!DS$38*'Assumptions MH'!$Q23</f>
        <v>57880.581081058597</v>
      </c>
      <c r="DT59" s="1485" t="s">
        <v>65</v>
      </c>
    </row>
    <row r="60" spans="1:124">
      <c r="B60" s="1724" t="s">
        <v>984</v>
      </c>
      <c r="D60" s="1726">
        <f>'Cash Flow MH'!D$27*'Assumptions MH'!$Q19*((1+D$13)^('Cash Flow MH'!D$5-1))</f>
        <v>3930</v>
      </c>
      <c r="E60" s="1726">
        <f>'Cash Flow MH'!E$27*'Assumptions MH'!$Q19*((1+E$13)^('Cash Flow MH'!E$5-1))</f>
        <v>3930</v>
      </c>
      <c r="F60" s="1726">
        <f>'Cash Flow MH'!F$27*'Assumptions MH'!$Q19*((1+F$13)^('Cash Flow MH'!F$5-1))</f>
        <v>3930</v>
      </c>
      <c r="G60" s="1726">
        <f>'Cash Flow MH'!G$27*'Assumptions MH'!$Q19*((1+G$13)^('Cash Flow MH'!G$5-1))</f>
        <v>3930</v>
      </c>
      <c r="H60" s="1726">
        <f>'Cash Flow MH'!H$27*'Assumptions MH'!$Q19*((1+H$13)^('Cash Flow MH'!H$5-1))</f>
        <v>3930</v>
      </c>
      <c r="I60" s="1726">
        <f>'Cash Flow MH'!I$27*'Assumptions MH'!$Q19*((1+I$13)^('Cash Flow MH'!I$5-1))</f>
        <v>3930</v>
      </c>
      <c r="J60" s="1726">
        <f>'Cash Flow MH'!J$27*'Assumptions MH'!$Q19*((1+J$13)^('Cash Flow MH'!J$5-1))</f>
        <v>3930</v>
      </c>
      <c r="K60" s="1726">
        <f>'Cash Flow MH'!K$27*'Assumptions MH'!$Q19*((1+K$13)^('Cash Flow MH'!K$5-1))</f>
        <v>3930</v>
      </c>
      <c r="L60" s="1726">
        <f>'Cash Flow MH'!L$27*'Assumptions MH'!$Q19*((1+L$13)^('Cash Flow MH'!L$5-1))</f>
        <v>3930</v>
      </c>
      <c r="M60" s="1726">
        <f>'Cash Flow MH'!M$27*'Assumptions MH'!$Q19*((1+M$13)^('Cash Flow MH'!M$5-1))</f>
        <v>3930</v>
      </c>
      <c r="N60" s="1726">
        <f>'Cash Flow MH'!N$27*'Assumptions MH'!$Q19*((1+N$13)^('Cash Flow MH'!N$5-1))</f>
        <v>3930</v>
      </c>
      <c r="O60" s="1726">
        <f>'Cash Flow MH'!O$27*'Assumptions MH'!$Q19*((1+O$13)^('Cash Flow MH'!O$5-1))</f>
        <v>3930</v>
      </c>
      <c r="P60" s="1726">
        <f>'Cash Flow MH'!P$27*'Assumptions MH'!$Q19*((1+P$13)^('Cash Flow MH'!P$5-1))</f>
        <v>4047.9</v>
      </c>
      <c r="Q60" s="1726">
        <f>'Cash Flow MH'!Q$27*'Assumptions MH'!$Q19*((1+Q$13)^('Cash Flow MH'!Q$5-1))</f>
        <v>4047.9</v>
      </c>
      <c r="R60" s="1726">
        <f>'Cash Flow MH'!R$27*'Assumptions MH'!$Q19*((1+R$13)^('Cash Flow MH'!R$5-1))</f>
        <v>4047.9</v>
      </c>
      <c r="S60" s="1726">
        <f>'Cash Flow MH'!S$27*'Assumptions MH'!$Q19*((1+S$13)^('Cash Flow MH'!S$5-1))</f>
        <v>4047.9</v>
      </c>
      <c r="T60" s="1726">
        <f>'Cash Flow MH'!T$27*'Assumptions MH'!$Q19*((1+T$13)^('Cash Flow MH'!T$5-1))</f>
        <v>4047.9</v>
      </c>
      <c r="U60" s="1726">
        <f>'Cash Flow MH'!U$27*'Assumptions MH'!$Q19*((1+U$13)^('Cash Flow MH'!U$5-1))</f>
        <v>4047.9</v>
      </c>
      <c r="V60" s="1726">
        <f>'Cash Flow MH'!V$27*'Assumptions MH'!$Q19*((1+V$13)^('Cash Flow MH'!V$5-1))</f>
        <v>4047.9</v>
      </c>
      <c r="W60" s="1726">
        <f>'Cash Flow MH'!W$27*'Assumptions MH'!$Q19*((1+W$13)^('Cash Flow MH'!W$5-1))</f>
        <v>4047.9</v>
      </c>
      <c r="X60" s="1726">
        <f>'Cash Flow MH'!X$27*'Assumptions MH'!$Q19*((1+X$13)^('Cash Flow MH'!X$5-1))</f>
        <v>4047.9</v>
      </c>
      <c r="Y60" s="1726">
        <f>'Cash Flow MH'!Y$27*'Assumptions MH'!$Q19*((1+Y$13)^('Cash Flow MH'!Y$5-1))</f>
        <v>4047.9</v>
      </c>
      <c r="Z60" s="1726">
        <f>'Cash Flow MH'!Z$27*'Assumptions MH'!$Q19*((1+Z$13)^('Cash Flow MH'!Z$5-1))</f>
        <v>4047.9</v>
      </c>
      <c r="AA60" s="1726">
        <f>'Cash Flow MH'!AA$27*'Assumptions MH'!$Q19*((1+AA$13)^('Cash Flow MH'!AA$5-1))</f>
        <v>4047.9</v>
      </c>
      <c r="AB60" s="1726">
        <f>'Cash Flow MH'!AB$27*'Assumptions MH'!$Q19*((1+AB$13)^('Cash Flow MH'!AB$5-1))</f>
        <v>4169.3369999999995</v>
      </c>
      <c r="AC60" s="1726">
        <f>'Cash Flow MH'!AC$27*'Assumptions MH'!$Q19*((1+AC$13)^('Cash Flow MH'!AC$5-1))</f>
        <v>4169.3369999999995</v>
      </c>
      <c r="AD60" s="1726">
        <f>'Cash Flow MH'!AD$27*'Assumptions MH'!$Q19*((1+AD$13)^('Cash Flow MH'!AD$5-1))</f>
        <v>4169.3369999999995</v>
      </c>
      <c r="AE60" s="1726">
        <f>'Cash Flow MH'!AE$27*'Assumptions MH'!$Q19*((1+AE$13)^('Cash Flow MH'!AE$5-1))</f>
        <v>4169.3369999999995</v>
      </c>
      <c r="AF60" s="1726">
        <f>'Cash Flow MH'!AF$27*'Assumptions MH'!$Q19*((1+AF$13)^('Cash Flow MH'!AF$5-1))</f>
        <v>4169.3369999999995</v>
      </c>
      <c r="AG60" s="1726">
        <f>'Cash Flow MH'!AG$27*'Assumptions MH'!$Q19*((1+AG$13)^('Cash Flow MH'!AG$5-1))</f>
        <v>4169.3369999999995</v>
      </c>
      <c r="AH60" s="1726">
        <f>'Cash Flow MH'!AH$27*'Assumptions MH'!$Q19*((1+AH$13)^('Cash Flow MH'!AH$5-1))</f>
        <v>4169.3369999999995</v>
      </c>
      <c r="AI60" s="1726">
        <f>'Cash Flow MH'!AI$27*'Assumptions MH'!$Q19*((1+AI$13)^('Cash Flow MH'!AI$5-1))</f>
        <v>4169.3369999999995</v>
      </c>
      <c r="AJ60" s="1726">
        <f>'Cash Flow MH'!AJ$27*'Assumptions MH'!$Q19*((1+AJ$13)^('Cash Flow MH'!AJ$5-1))</f>
        <v>4169.3369999999995</v>
      </c>
      <c r="AK60" s="1726">
        <f>'Cash Flow MH'!AK$27*'Assumptions MH'!$Q19*((1+AK$13)^('Cash Flow MH'!AK$5-1))</f>
        <v>4169.3369999999995</v>
      </c>
      <c r="AL60" s="1726">
        <f>'Cash Flow MH'!AL$27*'Assumptions MH'!$Q19*((1+AL$13)^('Cash Flow MH'!AL$5-1))</f>
        <v>4169.3369999999995</v>
      </c>
      <c r="AM60" s="1726">
        <f>'Cash Flow MH'!AM$27*'Assumptions MH'!$Q19*((1+AM$13)^('Cash Flow MH'!AM$5-1))</f>
        <v>4169.3369999999995</v>
      </c>
      <c r="AN60" s="1726">
        <f>'Cash Flow MH'!AN$27*'Assumptions MH'!$Q19*((1+AN$13)^('Cash Flow MH'!AN$5-1))</f>
        <v>4294.4171100000003</v>
      </c>
      <c r="AO60" s="1726">
        <f>'Cash Flow MH'!AO$27*'Assumptions MH'!$Q19*((1+AO$13)^('Cash Flow MH'!AO$5-1))</f>
        <v>4294.4171100000003</v>
      </c>
      <c r="AP60" s="1726">
        <f>'Cash Flow MH'!AP$27*'Assumptions MH'!$Q19*((1+AP$13)^('Cash Flow MH'!AP$5-1))</f>
        <v>4294.4171100000003</v>
      </c>
      <c r="AQ60" s="1726">
        <f>'Cash Flow MH'!AQ$27*'Assumptions MH'!$Q19*((1+AQ$13)^('Cash Flow MH'!AQ$5-1))</f>
        <v>4294.4171100000003</v>
      </c>
      <c r="AR60" s="1726">
        <f>'Cash Flow MH'!AR$27*'Assumptions MH'!$Q19*((1+AR$13)^('Cash Flow MH'!AR$5-1))</f>
        <v>4294.4171100000003</v>
      </c>
      <c r="AS60" s="1726">
        <f>'Cash Flow MH'!AS$27*'Assumptions MH'!$Q19*((1+AS$13)^('Cash Flow MH'!AS$5-1))</f>
        <v>4294.4171100000003</v>
      </c>
      <c r="AT60" s="1726">
        <f>'Cash Flow MH'!AT$27*'Assumptions MH'!$Q19*((1+AT$13)^('Cash Flow MH'!AT$5-1))</f>
        <v>4294.4171100000003</v>
      </c>
      <c r="AU60" s="1726">
        <f>'Cash Flow MH'!AU$27*'Assumptions MH'!$Q19*((1+AU$13)^('Cash Flow MH'!AU$5-1))</f>
        <v>4294.4171100000003</v>
      </c>
      <c r="AV60" s="1726">
        <f>'Cash Flow MH'!AV$27*'Assumptions MH'!$Q19*((1+AV$13)^('Cash Flow MH'!AV$5-1))</f>
        <v>4294.4171100000003</v>
      </c>
      <c r="AW60" s="1726">
        <f>'Cash Flow MH'!AW$27*'Assumptions MH'!$Q19*((1+AW$13)^('Cash Flow MH'!AW$5-1))</f>
        <v>4294.4171100000003</v>
      </c>
      <c r="AX60" s="1726">
        <f>'Cash Flow MH'!AX$27*'Assumptions MH'!$Q19*((1+AX$13)^('Cash Flow MH'!AX$5-1))</f>
        <v>4294.4171100000003</v>
      </c>
      <c r="AY60" s="1726">
        <f>'Cash Flow MH'!AY$27*'Assumptions MH'!$Q19*((1+AY$13)^('Cash Flow MH'!AY$5-1))</f>
        <v>4294.4171100000003</v>
      </c>
      <c r="AZ60" s="1726">
        <f>'Cash Flow MH'!AZ$27*'Assumptions MH'!$Q19*((1+AZ$13)^('Cash Flow MH'!AZ$5-1))</f>
        <v>4423.2496232999993</v>
      </c>
      <c r="BA60" s="1726">
        <f>'Cash Flow MH'!BA$27*'Assumptions MH'!$Q19*((1+BA$13)^('Cash Flow MH'!BA$5-1))</f>
        <v>4423.2496232999993</v>
      </c>
      <c r="BB60" s="1726">
        <f>'Cash Flow MH'!BB$27*'Assumptions MH'!$Q19*((1+BB$13)^('Cash Flow MH'!BB$5-1))</f>
        <v>4423.2496232999993</v>
      </c>
      <c r="BC60" s="1726">
        <f>'Cash Flow MH'!BC$27*'Assumptions MH'!$Q19*((1+BC$13)^('Cash Flow MH'!BC$5-1))</f>
        <v>4423.2496232999993</v>
      </c>
      <c r="BD60" s="1726">
        <f>'Cash Flow MH'!BD$27*'Assumptions MH'!$Q19*((1+BD$13)^('Cash Flow MH'!BD$5-1))</f>
        <v>4423.2496232999993</v>
      </c>
      <c r="BE60" s="1726">
        <f>'Cash Flow MH'!BE$27*'Assumptions MH'!$Q19*((1+BE$13)^('Cash Flow MH'!BE$5-1))</f>
        <v>4423.2496232999993</v>
      </c>
      <c r="BF60" s="1726">
        <f>'Cash Flow MH'!BF$27*'Assumptions MH'!$Q19*((1+BF$13)^('Cash Flow MH'!BF$5-1))</f>
        <v>4423.2496232999993</v>
      </c>
      <c r="BG60" s="1726">
        <f>'Cash Flow MH'!BG$27*'Assumptions MH'!$Q19*((1+BG$13)^('Cash Flow MH'!BG$5-1))</f>
        <v>4423.2496232999993</v>
      </c>
      <c r="BH60" s="1726">
        <f>'Cash Flow MH'!BH$27*'Assumptions MH'!$Q19*((1+BH$13)^('Cash Flow MH'!BH$5-1))</f>
        <v>4423.2496232999993</v>
      </c>
      <c r="BI60" s="1726">
        <f>'Cash Flow MH'!BI$27*'Assumptions MH'!$Q19*((1+BI$13)^('Cash Flow MH'!BI$5-1))</f>
        <v>4423.2496232999993</v>
      </c>
      <c r="BJ60" s="1726">
        <f>'Cash Flow MH'!BJ$27*'Assumptions MH'!$Q19*((1+BJ$13)^('Cash Flow MH'!BJ$5-1))</f>
        <v>4423.2496232999993</v>
      </c>
      <c r="BK60" s="1726">
        <f>'Cash Flow MH'!BK$27*'Assumptions MH'!$Q19*((1+BK$13)^('Cash Flow MH'!BK$5-1))</f>
        <v>4423.2496232999993</v>
      </c>
      <c r="BL60" s="1726">
        <f>'Cash Flow MH'!BL$27*'Assumptions MH'!$Q19*((1+BL$13)^('Cash Flow MH'!BL$5-1))</f>
        <v>4555.9471119989994</v>
      </c>
      <c r="BM60" s="1726">
        <f>'Cash Flow MH'!BM$27*'Assumptions MH'!$Q19*((1+BM$13)^('Cash Flow MH'!BM$5-1))</f>
        <v>4555.9471119989994</v>
      </c>
      <c r="BN60" s="1726">
        <f>'Cash Flow MH'!BN$27*'Assumptions MH'!$Q19*((1+BN$13)^('Cash Flow MH'!BN$5-1))</f>
        <v>4555.9471119989994</v>
      </c>
      <c r="BO60" s="1726">
        <f>'Cash Flow MH'!BO$27*'Assumptions MH'!$Q19*((1+BO$13)^('Cash Flow MH'!BO$5-1))</f>
        <v>4555.9471119989994</v>
      </c>
      <c r="BP60" s="1726">
        <f>'Cash Flow MH'!BP$27*'Assumptions MH'!$Q19*((1+BP$13)^('Cash Flow MH'!BP$5-1))</f>
        <v>4555.9471119989994</v>
      </c>
      <c r="BQ60" s="1726">
        <f>'Cash Flow MH'!BQ$27*'Assumptions MH'!$Q19*((1+BQ$13)^('Cash Flow MH'!BQ$5-1))</f>
        <v>4555.9471119989994</v>
      </c>
      <c r="BR60" s="1726">
        <f>'Cash Flow MH'!BR$27*'Assumptions MH'!$Q19*((1+BR$13)^('Cash Flow MH'!BR$5-1))</f>
        <v>4555.9471119989994</v>
      </c>
      <c r="BS60" s="1726">
        <f>'Cash Flow MH'!BS$27*'Assumptions MH'!$Q19*((1+BS$13)^('Cash Flow MH'!BS$5-1))</f>
        <v>4555.9471119989994</v>
      </c>
      <c r="BT60" s="1726">
        <f>'Cash Flow MH'!BT$27*'Assumptions MH'!$Q19*((1+BT$13)^('Cash Flow MH'!BT$5-1))</f>
        <v>4555.9471119989994</v>
      </c>
      <c r="BU60" s="1726">
        <f>'Cash Flow MH'!BU$27*'Assumptions MH'!$Q19*((1+BU$13)^('Cash Flow MH'!BU$5-1))</f>
        <v>4555.9471119989994</v>
      </c>
      <c r="BV60" s="1726">
        <f>'Cash Flow MH'!BV$27*'Assumptions MH'!$Q19*((1+BV$13)^('Cash Flow MH'!BV$5-1))</f>
        <v>4555.9471119989994</v>
      </c>
      <c r="BW60" s="1726">
        <f>'Cash Flow MH'!BW$27*'Assumptions MH'!$Q19*((1+BW$13)^('Cash Flow MH'!BW$5-1))</f>
        <v>4555.9471119989994</v>
      </c>
      <c r="BX60" s="1726">
        <f>'Cash Flow MH'!BX$27*'Assumptions MH'!$Q19*((1+BX$13)^('Cash Flow MH'!BX$5-1))</f>
        <v>4692.6255253589698</v>
      </c>
      <c r="BY60" s="1726">
        <f>'Cash Flow MH'!BY$27*'Assumptions MH'!$Q19*((1+BY$13)^('Cash Flow MH'!BY$5-1))</f>
        <v>4692.6255253589698</v>
      </c>
      <c r="BZ60" s="1726">
        <f>'Cash Flow MH'!BZ$27*'Assumptions MH'!$Q19*((1+BZ$13)^('Cash Flow MH'!BZ$5-1))</f>
        <v>4692.6255253589698</v>
      </c>
      <c r="CA60" s="1726">
        <f>'Cash Flow MH'!CA$27*'Assumptions MH'!$Q19*((1+CA$13)^('Cash Flow MH'!CA$5-1))</f>
        <v>4692.6255253589698</v>
      </c>
      <c r="CB60" s="1726">
        <f>'Cash Flow MH'!CB$27*'Assumptions MH'!$Q19*((1+CB$13)^('Cash Flow MH'!CB$5-1))</f>
        <v>4692.6255253589698</v>
      </c>
      <c r="CC60" s="1726">
        <f>'Cash Flow MH'!CC$27*'Assumptions MH'!$Q19*((1+CC$13)^('Cash Flow MH'!CC$5-1))</f>
        <v>4692.6255253589698</v>
      </c>
      <c r="CD60" s="1726">
        <f>'Cash Flow MH'!CD$27*'Assumptions MH'!$Q19*((1+CD$13)^('Cash Flow MH'!CD$5-1))</f>
        <v>4692.6255253589698</v>
      </c>
      <c r="CE60" s="1726">
        <f>'Cash Flow MH'!CE$27*'Assumptions MH'!$Q19*((1+CE$13)^('Cash Flow MH'!CE$5-1))</f>
        <v>4692.6255253589698</v>
      </c>
      <c r="CF60" s="1726">
        <f>'Cash Flow MH'!CF$27*'Assumptions MH'!$Q19*((1+CF$13)^('Cash Flow MH'!CF$5-1))</f>
        <v>4692.6255253589698</v>
      </c>
      <c r="CG60" s="1726">
        <f>'Cash Flow MH'!CG$27*'Assumptions MH'!$Q19*((1+CG$13)^('Cash Flow MH'!CG$5-1))</f>
        <v>4692.6255253589698</v>
      </c>
      <c r="CH60" s="1726">
        <f>'Cash Flow MH'!CH$27*'Assumptions MH'!$Q19*((1+CH$13)^('Cash Flow MH'!CH$5-1))</f>
        <v>4692.6255253589698</v>
      </c>
      <c r="CI60" s="1726">
        <f>'Cash Flow MH'!CI$27*'Assumptions MH'!$Q19*((1+CI$13)^('Cash Flow MH'!CI$5-1))</f>
        <v>4692.6255253589698</v>
      </c>
      <c r="CJ60" s="1726">
        <f>'Cash Flow MH'!CJ$27*'Assumptions MH'!$Q19*((1+CJ$13)^('Cash Flow MH'!CJ$5-1))</f>
        <v>4833.4042911197394</v>
      </c>
      <c r="CK60" s="1726">
        <f>'Cash Flow MH'!CK$27*'Assumptions MH'!$Q19*((1+CK$13)^('Cash Flow MH'!CK$5-1))</f>
        <v>4833.4042911197394</v>
      </c>
      <c r="CL60" s="1726">
        <f>'Cash Flow MH'!CL$27*'Assumptions MH'!$Q19*((1+CL$13)^('Cash Flow MH'!CL$5-1))</f>
        <v>4833.4042911197394</v>
      </c>
      <c r="CM60" s="1726">
        <f>'Cash Flow MH'!CM$27*'Assumptions MH'!$Q19*((1+CM$13)^('Cash Flow MH'!CM$5-1))</f>
        <v>4833.4042911197394</v>
      </c>
      <c r="CN60" s="1726">
        <f>'Cash Flow MH'!CN$27*'Assumptions MH'!$Q19*((1+CN$13)^('Cash Flow MH'!CN$5-1))</f>
        <v>4833.4042911197394</v>
      </c>
      <c r="CO60" s="1726">
        <f>'Cash Flow MH'!CO$27*'Assumptions MH'!$Q19*((1+CO$13)^('Cash Flow MH'!CO$5-1))</f>
        <v>4833.4042911197394</v>
      </c>
      <c r="CP60" s="1726">
        <f>'Cash Flow MH'!CP$27*'Assumptions MH'!$Q19*((1+CP$13)^('Cash Flow MH'!CP$5-1))</f>
        <v>4833.4042911197394</v>
      </c>
      <c r="CQ60" s="1726">
        <f>'Cash Flow MH'!CQ$27*'Assumptions MH'!$Q19*((1+CQ$13)^('Cash Flow MH'!CQ$5-1))</f>
        <v>4833.4042911197394</v>
      </c>
      <c r="CR60" s="1726">
        <f>'Cash Flow MH'!CR$27*'Assumptions MH'!$Q19*((1+CR$13)^('Cash Flow MH'!CR$5-1))</f>
        <v>4833.4042911197394</v>
      </c>
      <c r="CS60" s="1726">
        <f>'Cash Flow MH'!CS$27*'Assumptions MH'!$Q19*((1+CS$13)^('Cash Flow MH'!CS$5-1))</f>
        <v>4833.4042911197394</v>
      </c>
      <c r="CT60" s="1726">
        <f>'Cash Flow MH'!CT$27*'Assumptions MH'!$Q19*((1+CT$13)^('Cash Flow MH'!CT$5-1))</f>
        <v>4833.4042911197394</v>
      </c>
      <c r="CU60" s="1726">
        <f>'Cash Flow MH'!CU$27*'Assumptions MH'!$Q19*((1+CU$13)^('Cash Flow MH'!CU$5-1))</f>
        <v>4833.4042911197394</v>
      </c>
      <c r="CV60" s="1726">
        <f>'Cash Flow MH'!CV$27*'Assumptions MH'!$Q19*((1+CV$13)^('Cash Flow MH'!CV$5-1))</f>
        <v>4978.4064198533306</v>
      </c>
      <c r="CW60" s="1726">
        <f>'Cash Flow MH'!CW$27*'Assumptions MH'!$Q19*((1+CW$13)^('Cash Flow MH'!CW$5-1))</f>
        <v>4978.4064198533306</v>
      </c>
      <c r="CX60" s="1726">
        <f>'Cash Flow MH'!CX$27*'Assumptions MH'!$Q19*((1+CX$13)^('Cash Flow MH'!CX$5-1))</f>
        <v>4978.4064198533306</v>
      </c>
      <c r="CY60" s="1726">
        <f>'Cash Flow MH'!CY$27*'Assumptions MH'!$Q19*((1+CY$13)^('Cash Flow MH'!CY$5-1))</f>
        <v>4978.4064198533306</v>
      </c>
      <c r="CZ60" s="1726">
        <f>'Cash Flow MH'!CZ$27*'Assumptions MH'!$Q19*((1+CZ$13)^('Cash Flow MH'!CZ$5-1))</f>
        <v>4978.4064198533306</v>
      </c>
      <c r="DA60" s="1726">
        <f>'Cash Flow MH'!DA$27*'Assumptions MH'!$Q19*((1+DA$13)^('Cash Flow MH'!DA$5-1))</f>
        <v>4978.4064198533306</v>
      </c>
      <c r="DB60" s="1726">
        <f>'Cash Flow MH'!DB$27*'Assumptions MH'!$Q19*((1+DB$13)^('Cash Flow MH'!DB$5-1))</f>
        <v>4978.4064198533306</v>
      </c>
      <c r="DC60" s="1726">
        <f>'Cash Flow MH'!DC$27*'Assumptions MH'!$Q19*((1+DC$13)^('Cash Flow MH'!DC$5-1))</f>
        <v>4978.4064198533306</v>
      </c>
      <c r="DD60" s="1726">
        <f>'Cash Flow MH'!DD$27*'Assumptions MH'!$Q19*((1+DD$13)^('Cash Flow MH'!DD$5-1))</f>
        <v>4978.4064198533306</v>
      </c>
      <c r="DE60" s="1726">
        <f>'Cash Flow MH'!DE$27*'Assumptions MH'!$Q19*((1+DE$13)^('Cash Flow MH'!DE$5-1))</f>
        <v>4978.4064198533306</v>
      </c>
      <c r="DF60" s="1726">
        <f>'Cash Flow MH'!DF$27*'Assumptions MH'!$Q19*((1+DF$13)^('Cash Flow MH'!DF$5-1))</f>
        <v>4978.4064198533306</v>
      </c>
      <c r="DG60" s="1726">
        <f>'Cash Flow MH'!DG$27*'Assumptions MH'!$Q19*((1+DG$13)^('Cash Flow MH'!DG$5-1))</f>
        <v>4978.4064198533306</v>
      </c>
      <c r="DH60" s="1726">
        <f>'Cash Flow MH'!DH$27*'Assumptions MH'!$Q19*((1+DH$13)^('Cash Flow MH'!DH$5-1))</f>
        <v>5127.7586124489308</v>
      </c>
      <c r="DI60" s="1726">
        <f>'Cash Flow MH'!DI$27*'Assumptions MH'!$Q19*((1+DI$13)^('Cash Flow MH'!DI$5-1))</f>
        <v>5127.7586124489308</v>
      </c>
      <c r="DJ60" s="1726">
        <f>'Cash Flow MH'!DJ$27*'Assumptions MH'!$Q19*((1+DJ$13)^('Cash Flow MH'!DJ$5-1))</f>
        <v>5127.7586124489308</v>
      </c>
      <c r="DK60" s="1726">
        <f>'Cash Flow MH'!DK$27*'Assumptions MH'!$Q19*((1+DK$13)^('Cash Flow MH'!DK$5-1))</f>
        <v>5127.7586124489308</v>
      </c>
      <c r="DL60" s="1726">
        <f>'Cash Flow MH'!DL$27*'Assumptions MH'!$Q19*((1+DL$13)^('Cash Flow MH'!DL$5-1))</f>
        <v>5127.7586124489308</v>
      </c>
      <c r="DM60" s="1726">
        <f>'Cash Flow MH'!DM$27*'Assumptions MH'!$Q19*((1+DM$13)^('Cash Flow MH'!DM$5-1))</f>
        <v>5127.7586124489308</v>
      </c>
      <c r="DN60" s="1726">
        <f>'Cash Flow MH'!DN$27*'Assumptions MH'!$Q19*((1+DN$13)^('Cash Flow MH'!DN$5-1))</f>
        <v>5127.7586124489308</v>
      </c>
      <c r="DO60" s="1726">
        <f>'Cash Flow MH'!DO$27*'Assumptions MH'!$Q19*((1+DO$13)^('Cash Flow MH'!DO$5-1))</f>
        <v>5127.7586124489308</v>
      </c>
      <c r="DP60" s="1726">
        <f>'Cash Flow MH'!DP$27*'Assumptions MH'!$Q19*((1+DP$13)^('Cash Flow MH'!DP$5-1))</f>
        <v>5127.7586124489308</v>
      </c>
      <c r="DQ60" s="1726">
        <f>'Cash Flow MH'!DQ$27*'Assumptions MH'!$Q19*((1+DQ$13)^('Cash Flow MH'!DQ$5-1))</f>
        <v>5127.7586124489308</v>
      </c>
      <c r="DR60" s="1726">
        <f>'Cash Flow MH'!DR$27*'Assumptions MH'!$Q19*((1+DR$13)^('Cash Flow MH'!DR$5-1))</f>
        <v>5127.7586124489308</v>
      </c>
      <c r="DS60" s="1726">
        <f>'Cash Flow MH'!DS$27*'Assumptions MH'!$Q19*((1+DS$13)^('Cash Flow MH'!DS$5-1))</f>
        <v>5127.7586124489308</v>
      </c>
      <c r="DT60" s="1485" t="s">
        <v>65</v>
      </c>
    </row>
    <row r="61" spans="1:124">
      <c r="B61" s="1724" t="s">
        <v>1129</v>
      </c>
      <c r="D61" s="1726">
        <f>('Cash Flow MH'!D$27*'Assumptions MH'!$Q$31*((1+D$13)^('Cash Flow MH'!D$5-1)))</f>
        <v>11790</v>
      </c>
      <c r="E61" s="1726">
        <f>('Cash Flow MH'!E$27*'Assumptions MH'!$Q$31*((1+E$13)^('Cash Flow MH'!E$5-1)))</f>
        <v>11790</v>
      </c>
      <c r="F61" s="1726">
        <f>('Cash Flow MH'!F$27*'Assumptions MH'!$Q$31*((1+F$13)^('Cash Flow MH'!F$5-1)))</f>
        <v>11790</v>
      </c>
      <c r="G61" s="1726">
        <f>('Cash Flow MH'!G$27*'Assumptions MH'!$Q$31*((1+G$13)^('Cash Flow MH'!G$5-1)))</f>
        <v>11790</v>
      </c>
      <c r="H61" s="1726">
        <f>('Cash Flow MH'!H$27*'Assumptions MH'!$Q$31*((1+H$13)^('Cash Flow MH'!H$5-1)))</f>
        <v>11790</v>
      </c>
      <c r="I61" s="1726">
        <f>('Cash Flow MH'!I$27*'Assumptions MH'!$Q$31*((1+I$13)^('Cash Flow MH'!I$5-1)))</f>
        <v>11790</v>
      </c>
      <c r="J61" s="1726">
        <f>('Cash Flow MH'!J$27*'Assumptions MH'!$Q$31*((1+J$13)^('Cash Flow MH'!J$5-1)))</f>
        <v>11790</v>
      </c>
      <c r="K61" s="1726">
        <f>('Cash Flow MH'!K$27*'Assumptions MH'!$Q$31*((1+K$13)^('Cash Flow MH'!K$5-1)))</f>
        <v>11790</v>
      </c>
      <c r="L61" s="1726">
        <f>('Cash Flow MH'!L$27*'Assumptions MH'!$Q$31*((1+L$13)^('Cash Flow MH'!L$5-1)))</f>
        <v>11790</v>
      </c>
      <c r="M61" s="1726">
        <f>('Cash Flow MH'!M$27*'Assumptions MH'!$Q$31*((1+M$13)^('Cash Flow MH'!M$5-1)))</f>
        <v>11790</v>
      </c>
      <c r="N61" s="1726">
        <f>('Cash Flow MH'!N$27*'Assumptions MH'!$Q$31*((1+N$13)^('Cash Flow MH'!N$5-1)))</f>
        <v>11790</v>
      </c>
      <c r="O61" s="1726">
        <f>('Cash Flow MH'!O$27*'Assumptions MH'!$Q$31*((1+O$13)^('Cash Flow MH'!O$5-1)))</f>
        <v>11790</v>
      </c>
      <c r="P61" s="1726">
        <f>('Cash Flow MH'!P$27*'Assumptions MH'!$Q$31*((1+P$13)^('Cash Flow MH'!P$5-1)))</f>
        <v>12143.7</v>
      </c>
      <c r="Q61" s="1726">
        <f>('Cash Flow MH'!Q$27*'Assumptions MH'!$Q$31*((1+Q$13)^('Cash Flow MH'!Q$5-1)))</f>
        <v>12143.7</v>
      </c>
      <c r="R61" s="1726">
        <f>('Cash Flow MH'!R$27*'Assumptions MH'!$Q$31*((1+R$13)^('Cash Flow MH'!R$5-1)))</f>
        <v>12143.7</v>
      </c>
      <c r="S61" s="1726">
        <f>('Cash Flow MH'!S$27*'Assumptions MH'!$Q$31*((1+S$13)^('Cash Flow MH'!S$5-1)))</f>
        <v>12143.7</v>
      </c>
      <c r="T61" s="1726">
        <f>('Cash Flow MH'!T$27*'Assumptions MH'!$Q$31*((1+T$13)^('Cash Flow MH'!T$5-1)))</f>
        <v>12143.7</v>
      </c>
      <c r="U61" s="1726">
        <f>('Cash Flow MH'!U$27*'Assumptions MH'!$Q$31*((1+U$13)^('Cash Flow MH'!U$5-1)))</f>
        <v>12143.7</v>
      </c>
      <c r="V61" s="1726">
        <f>('Cash Flow MH'!V$27*'Assumptions MH'!$Q$31*((1+V$13)^('Cash Flow MH'!V$5-1)))</f>
        <v>12143.7</v>
      </c>
      <c r="W61" s="1726">
        <f>('Cash Flow MH'!W$27*'Assumptions MH'!$Q$31*((1+W$13)^('Cash Flow MH'!W$5-1)))</f>
        <v>12143.7</v>
      </c>
      <c r="X61" s="1726">
        <f>('Cash Flow MH'!X$27*'Assumptions MH'!$Q$31*((1+X$13)^('Cash Flow MH'!X$5-1)))</f>
        <v>12143.7</v>
      </c>
      <c r="Y61" s="1726">
        <f>('Cash Flow MH'!Y$27*'Assumptions MH'!$Q$31*((1+Y$13)^('Cash Flow MH'!Y$5-1)))</f>
        <v>12143.7</v>
      </c>
      <c r="Z61" s="1726">
        <f>('Cash Flow MH'!Z$27*'Assumptions MH'!$Q$31*((1+Z$13)^('Cash Flow MH'!Z$5-1)))</f>
        <v>12143.7</v>
      </c>
      <c r="AA61" s="1726">
        <f>('Cash Flow MH'!AA$27*'Assumptions MH'!$Q$31*((1+AA$13)^('Cash Flow MH'!AA$5-1)))</f>
        <v>12143.7</v>
      </c>
      <c r="AB61" s="1726">
        <f>('Cash Flow MH'!AB$27*'Assumptions MH'!$Q$31*((1+AB$13)^('Cash Flow MH'!AB$5-1)))</f>
        <v>12508.010999999999</v>
      </c>
      <c r="AC61" s="1726">
        <f>('Cash Flow MH'!AC$27*'Assumptions MH'!$Q$31*((1+AC$13)^('Cash Flow MH'!AC$5-1)))</f>
        <v>12508.010999999999</v>
      </c>
      <c r="AD61" s="1726">
        <f>('Cash Flow MH'!AD$27*'Assumptions MH'!$Q$31*((1+AD$13)^('Cash Flow MH'!AD$5-1)))</f>
        <v>12508.010999999999</v>
      </c>
      <c r="AE61" s="1726">
        <f>('Cash Flow MH'!AE$27*'Assumptions MH'!$Q$31*((1+AE$13)^('Cash Flow MH'!AE$5-1)))</f>
        <v>12508.010999999999</v>
      </c>
      <c r="AF61" s="1726">
        <f>('Cash Flow MH'!AF$27*'Assumptions MH'!$Q$31*((1+AF$13)^('Cash Flow MH'!AF$5-1)))</f>
        <v>12508.010999999999</v>
      </c>
      <c r="AG61" s="1726">
        <f>('Cash Flow MH'!AG$27*'Assumptions MH'!$Q$31*((1+AG$13)^('Cash Flow MH'!AG$5-1)))</f>
        <v>12508.010999999999</v>
      </c>
      <c r="AH61" s="1726">
        <f>('Cash Flow MH'!AH$27*'Assumptions MH'!$Q$31*((1+AH$13)^('Cash Flow MH'!AH$5-1)))</f>
        <v>12508.010999999999</v>
      </c>
      <c r="AI61" s="1726">
        <f>('Cash Flow MH'!AI$27*'Assumptions MH'!$Q$31*((1+AI$13)^('Cash Flow MH'!AI$5-1)))</f>
        <v>12508.010999999999</v>
      </c>
      <c r="AJ61" s="1726">
        <f>('Cash Flow MH'!AJ$27*'Assumptions MH'!$Q$31*((1+AJ$13)^('Cash Flow MH'!AJ$5-1)))</f>
        <v>12508.010999999999</v>
      </c>
      <c r="AK61" s="1726">
        <f>('Cash Flow MH'!AK$27*'Assumptions MH'!$Q$31*((1+AK$13)^('Cash Flow MH'!AK$5-1)))</f>
        <v>12508.010999999999</v>
      </c>
      <c r="AL61" s="1726">
        <f>('Cash Flow MH'!AL$27*'Assumptions MH'!$Q$31*((1+AL$13)^('Cash Flow MH'!AL$5-1)))</f>
        <v>12508.010999999999</v>
      </c>
      <c r="AM61" s="1726">
        <f>('Cash Flow MH'!AM$27*'Assumptions MH'!$Q$31*((1+AM$13)^('Cash Flow MH'!AM$5-1)))</f>
        <v>12508.010999999999</v>
      </c>
      <c r="AN61" s="1726">
        <f>('Cash Flow MH'!AN$27*'Assumptions MH'!$Q$31*((1+AN$13)^('Cash Flow MH'!AN$5-1)))</f>
        <v>12883.251329999999</v>
      </c>
      <c r="AO61" s="1726">
        <f>('Cash Flow MH'!AO$27*'Assumptions MH'!$Q$31*((1+AO$13)^('Cash Flow MH'!AO$5-1)))</f>
        <v>12883.251329999999</v>
      </c>
      <c r="AP61" s="1726">
        <f>('Cash Flow MH'!AP$27*'Assumptions MH'!$Q$31*((1+AP$13)^('Cash Flow MH'!AP$5-1)))</f>
        <v>12883.251329999999</v>
      </c>
      <c r="AQ61" s="1726">
        <f>('Cash Flow MH'!AQ$27*'Assumptions MH'!$Q$31*((1+AQ$13)^('Cash Flow MH'!AQ$5-1)))</f>
        <v>12883.251329999999</v>
      </c>
      <c r="AR61" s="1726">
        <f>('Cash Flow MH'!AR$27*'Assumptions MH'!$Q$31*((1+AR$13)^('Cash Flow MH'!AR$5-1)))</f>
        <v>12883.251329999999</v>
      </c>
      <c r="AS61" s="1726">
        <f>('Cash Flow MH'!AS$27*'Assumptions MH'!$Q$31*((1+AS$13)^('Cash Flow MH'!AS$5-1)))</f>
        <v>12883.251329999999</v>
      </c>
      <c r="AT61" s="1726">
        <f>('Cash Flow MH'!AT$27*'Assumptions MH'!$Q$31*((1+AT$13)^('Cash Flow MH'!AT$5-1)))</f>
        <v>12883.251329999999</v>
      </c>
      <c r="AU61" s="1726">
        <f>('Cash Flow MH'!AU$27*'Assumptions MH'!$Q$31*((1+AU$13)^('Cash Flow MH'!AU$5-1)))</f>
        <v>12883.251329999999</v>
      </c>
      <c r="AV61" s="1726">
        <f>('Cash Flow MH'!AV$27*'Assumptions MH'!$Q$31*((1+AV$13)^('Cash Flow MH'!AV$5-1)))</f>
        <v>12883.251329999999</v>
      </c>
      <c r="AW61" s="1726">
        <f>('Cash Flow MH'!AW$27*'Assumptions MH'!$Q$31*((1+AW$13)^('Cash Flow MH'!AW$5-1)))</f>
        <v>12883.251329999999</v>
      </c>
      <c r="AX61" s="1726">
        <f>('Cash Flow MH'!AX$27*'Assumptions MH'!$Q$31*((1+AX$13)^('Cash Flow MH'!AX$5-1)))</f>
        <v>12883.251329999999</v>
      </c>
      <c r="AY61" s="1726">
        <f>('Cash Flow MH'!AY$27*'Assumptions MH'!$Q$31*((1+AY$13)^('Cash Flow MH'!AY$5-1)))</f>
        <v>12883.251329999999</v>
      </c>
      <c r="AZ61" s="1726">
        <f>('Cash Flow MH'!AZ$27*'Assumptions MH'!$Q$31*((1+AZ$13)^('Cash Flow MH'!AZ$5-1)))</f>
        <v>13269.748869899999</v>
      </c>
      <c r="BA61" s="1726">
        <f>('Cash Flow MH'!BA$27*'Assumptions MH'!$Q$31*((1+BA$13)^('Cash Flow MH'!BA$5-1)))</f>
        <v>13269.748869899999</v>
      </c>
      <c r="BB61" s="1726">
        <f>('Cash Flow MH'!BB$27*'Assumptions MH'!$Q$31*((1+BB$13)^('Cash Flow MH'!BB$5-1)))</f>
        <v>13269.748869899999</v>
      </c>
      <c r="BC61" s="1726">
        <f>('Cash Flow MH'!BC$27*'Assumptions MH'!$Q$31*((1+BC$13)^('Cash Flow MH'!BC$5-1)))</f>
        <v>13269.748869899999</v>
      </c>
      <c r="BD61" s="1726">
        <f>('Cash Flow MH'!BD$27*'Assumptions MH'!$Q$31*((1+BD$13)^('Cash Flow MH'!BD$5-1)))</f>
        <v>13269.748869899999</v>
      </c>
      <c r="BE61" s="1726">
        <f>('Cash Flow MH'!BE$27*'Assumptions MH'!$Q$31*((1+BE$13)^('Cash Flow MH'!BE$5-1)))</f>
        <v>13269.748869899999</v>
      </c>
      <c r="BF61" s="1726">
        <f>('Cash Flow MH'!BF$27*'Assumptions MH'!$Q$31*((1+BF$13)^('Cash Flow MH'!BF$5-1)))</f>
        <v>13269.748869899999</v>
      </c>
      <c r="BG61" s="1726">
        <f>('Cash Flow MH'!BG$27*'Assumptions MH'!$Q$31*((1+BG$13)^('Cash Flow MH'!BG$5-1)))</f>
        <v>13269.748869899999</v>
      </c>
      <c r="BH61" s="1726">
        <f>('Cash Flow MH'!BH$27*'Assumptions MH'!$Q$31*((1+BH$13)^('Cash Flow MH'!BH$5-1)))</f>
        <v>13269.748869899999</v>
      </c>
      <c r="BI61" s="1726">
        <f>('Cash Flow MH'!BI$27*'Assumptions MH'!$Q$31*((1+BI$13)^('Cash Flow MH'!BI$5-1)))</f>
        <v>13269.748869899999</v>
      </c>
      <c r="BJ61" s="1726">
        <f>('Cash Flow MH'!BJ$27*'Assumptions MH'!$Q$31*((1+BJ$13)^('Cash Flow MH'!BJ$5-1)))</f>
        <v>13269.748869899999</v>
      </c>
      <c r="BK61" s="1726">
        <f>('Cash Flow MH'!BK$27*'Assumptions MH'!$Q$31*((1+BK$13)^('Cash Flow MH'!BK$5-1)))</f>
        <v>13269.748869899999</v>
      </c>
      <c r="BL61" s="1726">
        <f>('Cash Flow MH'!BL$27*'Assumptions MH'!$Q$31*((1+BL$13)^('Cash Flow MH'!BL$5-1)))</f>
        <v>13667.841335996998</v>
      </c>
      <c r="BM61" s="1726">
        <f>('Cash Flow MH'!BM$27*'Assumptions MH'!$Q$31*((1+BM$13)^('Cash Flow MH'!BM$5-1)))</f>
        <v>13667.841335996998</v>
      </c>
      <c r="BN61" s="1726">
        <f>('Cash Flow MH'!BN$27*'Assumptions MH'!$Q$31*((1+BN$13)^('Cash Flow MH'!BN$5-1)))</f>
        <v>13667.841335996998</v>
      </c>
      <c r="BO61" s="1726">
        <f>('Cash Flow MH'!BO$27*'Assumptions MH'!$Q$31*((1+BO$13)^('Cash Flow MH'!BO$5-1)))</f>
        <v>13667.841335996998</v>
      </c>
      <c r="BP61" s="1726">
        <f>('Cash Flow MH'!BP$27*'Assumptions MH'!$Q$31*((1+BP$13)^('Cash Flow MH'!BP$5-1)))</f>
        <v>13667.841335996998</v>
      </c>
      <c r="BQ61" s="1726">
        <f>('Cash Flow MH'!BQ$27*'Assumptions MH'!$Q$31*((1+BQ$13)^('Cash Flow MH'!BQ$5-1)))</f>
        <v>13667.841335996998</v>
      </c>
      <c r="BR61" s="1726">
        <f>('Cash Flow MH'!BR$27*'Assumptions MH'!$Q$31*((1+BR$13)^('Cash Flow MH'!BR$5-1)))</f>
        <v>13667.841335996998</v>
      </c>
      <c r="BS61" s="1726">
        <f>('Cash Flow MH'!BS$27*'Assumptions MH'!$Q$31*((1+BS$13)^('Cash Flow MH'!BS$5-1)))</f>
        <v>13667.841335996998</v>
      </c>
      <c r="BT61" s="1726">
        <f>('Cash Flow MH'!BT$27*'Assumptions MH'!$Q$31*((1+BT$13)^('Cash Flow MH'!BT$5-1)))</f>
        <v>13667.841335996998</v>
      </c>
      <c r="BU61" s="1726">
        <f>('Cash Flow MH'!BU$27*'Assumptions MH'!$Q$31*((1+BU$13)^('Cash Flow MH'!BU$5-1)))</f>
        <v>13667.841335996998</v>
      </c>
      <c r="BV61" s="1726">
        <f>('Cash Flow MH'!BV$27*'Assumptions MH'!$Q$31*((1+BV$13)^('Cash Flow MH'!BV$5-1)))</f>
        <v>13667.841335996998</v>
      </c>
      <c r="BW61" s="1726">
        <f>('Cash Flow MH'!BW$27*'Assumptions MH'!$Q$31*((1+BW$13)^('Cash Flow MH'!BW$5-1)))</f>
        <v>13667.841335996998</v>
      </c>
      <c r="BX61" s="1726">
        <f>('Cash Flow MH'!BX$27*'Assumptions MH'!$Q$31*((1+BX$13)^('Cash Flow MH'!BX$5-1)))</f>
        <v>14077.876576076909</v>
      </c>
      <c r="BY61" s="1726">
        <f>('Cash Flow MH'!BY$27*'Assumptions MH'!$Q$31*((1+BY$13)^('Cash Flow MH'!BY$5-1)))</f>
        <v>14077.876576076909</v>
      </c>
      <c r="BZ61" s="1726">
        <f>('Cash Flow MH'!BZ$27*'Assumptions MH'!$Q$31*((1+BZ$13)^('Cash Flow MH'!BZ$5-1)))</f>
        <v>14077.876576076909</v>
      </c>
      <c r="CA61" s="1726">
        <f>('Cash Flow MH'!CA$27*'Assumptions MH'!$Q$31*((1+CA$13)^('Cash Flow MH'!CA$5-1)))</f>
        <v>14077.876576076909</v>
      </c>
      <c r="CB61" s="1726">
        <f>('Cash Flow MH'!CB$27*'Assumptions MH'!$Q$31*((1+CB$13)^('Cash Flow MH'!CB$5-1)))</f>
        <v>14077.876576076909</v>
      </c>
      <c r="CC61" s="1726">
        <f>('Cash Flow MH'!CC$27*'Assumptions MH'!$Q$31*((1+CC$13)^('Cash Flow MH'!CC$5-1)))</f>
        <v>14077.876576076909</v>
      </c>
      <c r="CD61" s="1726">
        <f>('Cash Flow MH'!CD$27*'Assumptions MH'!$Q$31*((1+CD$13)^('Cash Flow MH'!CD$5-1)))</f>
        <v>14077.876576076909</v>
      </c>
      <c r="CE61" s="1726">
        <f>('Cash Flow MH'!CE$27*'Assumptions MH'!$Q$31*((1+CE$13)^('Cash Flow MH'!CE$5-1)))</f>
        <v>14077.876576076909</v>
      </c>
      <c r="CF61" s="1726">
        <f>('Cash Flow MH'!CF$27*'Assumptions MH'!$Q$31*((1+CF$13)^('Cash Flow MH'!CF$5-1)))</f>
        <v>14077.876576076909</v>
      </c>
      <c r="CG61" s="1726">
        <f>('Cash Flow MH'!CG$27*'Assumptions MH'!$Q$31*((1+CG$13)^('Cash Flow MH'!CG$5-1)))</f>
        <v>14077.876576076909</v>
      </c>
      <c r="CH61" s="1726">
        <f>('Cash Flow MH'!CH$27*'Assumptions MH'!$Q$31*((1+CH$13)^('Cash Flow MH'!CH$5-1)))</f>
        <v>14077.876576076909</v>
      </c>
      <c r="CI61" s="1726">
        <f>('Cash Flow MH'!CI$27*'Assumptions MH'!$Q$31*((1+CI$13)^('Cash Flow MH'!CI$5-1)))</f>
        <v>14077.876576076909</v>
      </c>
      <c r="CJ61" s="1726">
        <f>('Cash Flow MH'!CJ$27*'Assumptions MH'!$Q$31*((1+CJ$13)^('Cash Flow MH'!CJ$5-1)))</f>
        <v>14500.212873359216</v>
      </c>
      <c r="CK61" s="1726">
        <f>('Cash Flow MH'!CK$27*'Assumptions MH'!$Q$31*((1+CK$13)^('Cash Flow MH'!CK$5-1)))</f>
        <v>14500.212873359216</v>
      </c>
      <c r="CL61" s="1726">
        <f>('Cash Flow MH'!CL$27*'Assumptions MH'!$Q$31*((1+CL$13)^('Cash Flow MH'!CL$5-1)))</f>
        <v>14500.212873359216</v>
      </c>
      <c r="CM61" s="1726">
        <f>('Cash Flow MH'!CM$27*'Assumptions MH'!$Q$31*((1+CM$13)^('Cash Flow MH'!CM$5-1)))</f>
        <v>14500.212873359216</v>
      </c>
      <c r="CN61" s="1726">
        <f>('Cash Flow MH'!CN$27*'Assumptions MH'!$Q$31*((1+CN$13)^('Cash Flow MH'!CN$5-1)))</f>
        <v>14500.212873359216</v>
      </c>
      <c r="CO61" s="1726">
        <f>('Cash Flow MH'!CO$27*'Assumptions MH'!$Q$31*((1+CO$13)^('Cash Flow MH'!CO$5-1)))</f>
        <v>14500.212873359216</v>
      </c>
      <c r="CP61" s="1726">
        <f>('Cash Flow MH'!CP$27*'Assumptions MH'!$Q$31*((1+CP$13)^('Cash Flow MH'!CP$5-1)))</f>
        <v>14500.212873359216</v>
      </c>
      <c r="CQ61" s="1726">
        <f>('Cash Flow MH'!CQ$27*'Assumptions MH'!$Q$31*((1+CQ$13)^('Cash Flow MH'!CQ$5-1)))</f>
        <v>14500.212873359216</v>
      </c>
      <c r="CR61" s="1726">
        <f>('Cash Flow MH'!CR$27*'Assumptions MH'!$Q$31*((1+CR$13)^('Cash Flow MH'!CR$5-1)))</f>
        <v>14500.212873359216</v>
      </c>
      <c r="CS61" s="1726">
        <f>('Cash Flow MH'!CS$27*'Assumptions MH'!$Q$31*((1+CS$13)^('Cash Flow MH'!CS$5-1)))</f>
        <v>14500.212873359216</v>
      </c>
      <c r="CT61" s="1726">
        <f>('Cash Flow MH'!CT$27*'Assumptions MH'!$Q$31*((1+CT$13)^('Cash Flow MH'!CT$5-1)))</f>
        <v>14500.212873359216</v>
      </c>
      <c r="CU61" s="1726">
        <f>('Cash Flow MH'!CU$27*'Assumptions MH'!$Q$31*((1+CU$13)^('Cash Flow MH'!CU$5-1)))</f>
        <v>14500.212873359216</v>
      </c>
      <c r="CV61" s="1726">
        <f>('Cash Flow MH'!CV$27*'Assumptions MH'!$Q$31*((1+CV$13)^('Cash Flow MH'!CV$5-1)))</f>
        <v>14935.219259559992</v>
      </c>
      <c r="CW61" s="1726">
        <f>('Cash Flow MH'!CW$27*'Assumptions MH'!$Q$31*((1+CW$13)^('Cash Flow MH'!CW$5-1)))</f>
        <v>14935.219259559992</v>
      </c>
      <c r="CX61" s="1726">
        <f>('Cash Flow MH'!CX$27*'Assumptions MH'!$Q$31*((1+CX$13)^('Cash Flow MH'!CX$5-1)))</f>
        <v>14935.219259559992</v>
      </c>
      <c r="CY61" s="1726">
        <f>('Cash Flow MH'!CY$27*'Assumptions MH'!$Q$31*((1+CY$13)^('Cash Flow MH'!CY$5-1)))</f>
        <v>14935.219259559992</v>
      </c>
      <c r="CZ61" s="1726">
        <f>('Cash Flow MH'!CZ$27*'Assumptions MH'!$Q$31*((1+CZ$13)^('Cash Flow MH'!CZ$5-1)))</f>
        <v>14935.219259559992</v>
      </c>
      <c r="DA61" s="1726">
        <f>('Cash Flow MH'!DA$27*'Assumptions MH'!$Q$31*((1+DA$13)^('Cash Flow MH'!DA$5-1)))</f>
        <v>14935.219259559992</v>
      </c>
      <c r="DB61" s="1726">
        <f>('Cash Flow MH'!DB$27*'Assumptions MH'!$Q$31*((1+DB$13)^('Cash Flow MH'!DB$5-1)))</f>
        <v>14935.219259559992</v>
      </c>
      <c r="DC61" s="1726">
        <f>('Cash Flow MH'!DC$27*'Assumptions MH'!$Q$31*((1+DC$13)^('Cash Flow MH'!DC$5-1)))</f>
        <v>14935.219259559992</v>
      </c>
      <c r="DD61" s="1726">
        <f>('Cash Flow MH'!DD$27*'Assumptions MH'!$Q$31*((1+DD$13)^('Cash Flow MH'!DD$5-1)))</f>
        <v>14935.219259559992</v>
      </c>
      <c r="DE61" s="1726">
        <f>('Cash Flow MH'!DE$27*'Assumptions MH'!$Q$31*((1+DE$13)^('Cash Flow MH'!DE$5-1)))</f>
        <v>14935.219259559992</v>
      </c>
      <c r="DF61" s="1726">
        <f>('Cash Flow MH'!DF$27*'Assumptions MH'!$Q$31*((1+DF$13)^('Cash Flow MH'!DF$5-1)))</f>
        <v>14935.219259559992</v>
      </c>
      <c r="DG61" s="1726">
        <f>('Cash Flow MH'!DG$27*'Assumptions MH'!$Q$31*((1+DG$13)^('Cash Flow MH'!DG$5-1)))</f>
        <v>14935.219259559992</v>
      </c>
      <c r="DH61" s="1726">
        <f>('Cash Flow MH'!DH$27*'Assumptions MH'!$Q$31*((1+DH$13)^('Cash Flow MH'!DH$5-1)))</f>
        <v>15383.275837346791</v>
      </c>
      <c r="DI61" s="1726">
        <f>('Cash Flow MH'!DI$27*'Assumptions MH'!$Q$31*((1+DI$13)^('Cash Flow MH'!DI$5-1)))</f>
        <v>15383.275837346791</v>
      </c>
      <c r="DJ61" s="1726">
        <f>('Cash Flow MH'!DJ$27*'Assumptions MH'!$Q$31*((1+DJ$13)^('Cash Flow MH'!DJ$5-1)))</f>
        <v>15383.275837346791</v>
      </c>
      <c r="DK61" s="1726">
        <f>('Cash Flow MH'!DK$27*'Assumptions MH'!$Q$31*((1+DK$13)^('Cash Flow MH'!DK$5-1)))</f>
        <v>15383.275837346791</v>
      </c>
      <c r="DL61" s="1726">
        <f>('Cash Flow MH'!DL$27*'Assumptions MH'!$Q$31*((1+DL$13)^('Cash Flow MH'!DL$5-1)))</f>
        <v>15383.275837346791</v>
      </c>
      <c r="DM61" s="1726">
        <f>('Cash Flow MH'!DM$27*'Assumptions MH'!$Q$31*((1+DM$13)^('Cash Flow MH'!DM$5-1)))</f>
        <v>15383.275837346791</v>
      </c>
      <c r="DN61" s="1726">
        <f>('Cash Flow MH'!DN$27*'Assumptions MH'!$Q$31*((1+DN$13)^('Cash Flow MH'!DN$5-1)))</f>
        <v>15383.275837346791</v>
      </c>
      <c r="DO61" s="1726">
        <f>('Cash Flow MH'!DO$27*'Assumptions MH'!$Q$31*((1+DO$13)^('Cash Flow MH'!DO$5-1)))</f>
        <v>15383.275837346791</v>
      </c>
      <c r="DP61" s="1726">
        <f>('Cash Flow MH'!DP$27*'Assumptions MH'!$Q$31*((1+DP$13)^('Cash Flow MH'!DP$5-1)))</f>
        <v>15383.275837346791</v>
      </c>
      <c r="DQ61" s="1726">
        <f>('Cash Flow MH'!DQ$27*'Assumptions MH'!$Q$31*((1+DQ$13)^('Cash Flow MH'!DQ$5-1)))</f>
        <v>15383.275837346791</v>
      </c>
      <c r="DR61" s="1726">
        <f>('Cash Flow MH'!DR$27*'Assumptions MH'!$Q$31*((1+DR$13)^('Cash Flow MH'!DR$5-1)))</f>
        <v>15383.275837346791</v>
      </c>
      <c r="DS61" s="1726">
        <f>('Cash Flow MH'!DS$27*'Assumptions MH'!$Q$31*((1+DS$13)^('Cash Flow MH'!DS$5-1)))</f>
        <v>15383.275837346791</v>
      </c>
      <c r="DT61" s="1485" t="s">
        <v>65</v>
      </c>
    </row>
    <row r="62" spans="1:124">
      <c r="B62" s="1724" t="s">
        <v>1094</v>
      </c>
      <c r="D62" s="1726">
        <f>'Cash Flow MH'!D$27*'Assumptions MH'!$Q18*((1+D$13)^('Cash Flow MH'!D$5-1))</f>
        <v>13100</v>
      </c>
      <c r="E62" s="1726">
        <f>'Cash Flow MH'!E$27*'Assumptions MH'!$Q18*((1+E$13)^('Cash Flow MH'!E$5-1))</f>
        <v>13100</v>
      </c>
      <c r="F62" s="1726">
        <f>'Cash Flow MH'!F$27*'Assumptions MH'!$Q18*((1+F$13)^('Cash Flow MH'!F$5-1))</f>
        <v>13100</v>
      </c>
      <c r="G62" s="1726">
        <f>'Cash Flow MH'!G$27*'Assumptions MH'!$Q18*((1+G$13)^('Cash Flow MH'!G$5-1))</f>
        <v>13100</v>
      </c>
      <c r="H62" s="1726">
        <f>'Cash Flow MH'!H$27*'Assumptions MH'!$Q18*((1+H$13)^('Cash Flow MH'!H$5-1))</f>
        <v>13100</v>
      </c>
      <c r="I62" s="1726">
        <f>'Cash Flow MH'!I$27*'Assumptions MH'!$Q18*((1+I$13)^('Cash Flow MH'!I$5-1))</f>
        <v>13100</v>
      </c>
      <c r="J62" s="1726">
        <f>'Cash Flow MH'!J$27*'Assumptions MH'!$Q18*((1+J$13)^('Cash Flow MH'!J$5-1))</f>
        <v>13100</v>
      </c>
      <c r="K62" s="1726">
        <f>'Cash Flow MH'!K$27*'Assumptions MH'!$Q18*((1+K$13)^('Cash Flow MH'!K$5-1))</f>
        <v>13100</v>
      </c>
      <c r="L62" s="1726">
        <f>'Cash Flow MH'!L$27*'Assumptions MH'!$Q18*((1+L$13)^('Cash Flow MH'!L$5-1))</f>
        <v>13100</v>
      </c>
      <c r="M62" s="1726">
        <f>'Cash Flow MH'!M$27*'Assumptions MH'!$Q18*((1+M$13)^('Cash Flow MH'!M$5-1))</f>
        <v>13100</v>
      </c>
      <c r="N62" s="1726">
        <f>'Cash Flow MH'!N$27*'Assumptions MH'!$Q18*((1+N$13)^('Cash Flow MH'!N$5-1))</f>
        <v>13100</v>
      </c>
      <c r="O62" s="1726">
        <f>'Cash Flow MH'!O$27*'Assumptions MH'!$Q18*((1+O$13)^('Cash Flow MH'!O$5-1))</f>
        <v>13100</v>
      </c>
      <c r="P62" s="1726">
        <f>'Cash Flow MH'!P$27*'Assumptions MH'!$Q18*((1+P$13)^('Cash Flow MH'!P$5-1))</f>
        <v>13493</v>
      </c>
      <c r="Q62" s="1726">
        <f>'Cash Flow MH'!Q$27*'Assumptions MH'!$Q18*((1+Q$13)^('Cash Flow MH'!Q$5-1))</f>
        <v>13493</v>
      </c>
      <c r="R62" s="1726">
        <f>'Cash Flow MH'!R$27*'Assumptions MH'!$Q18*((1+R$13)^('Cash Flow MH'!R$5-1))</f>
        <v>13493</v>
      </c>
      <c r="S62" s="1726">
        <f>'Cash Flow MH'!S$27*'Assumptions MH'!$Q18*((1+S$13)^('Cash Flow MH'!S$5-1))</f>
        <v>13493</v>
      </c>
      <c r="T62" s="1726">
        <f>'Cash Flow MH'!T$27*'Assumptions MH'!$Q18*((1+T$13)^('Cash Flow MH'!T$5-1))</f>
        <v>13493</v>
      </c>
      <c r="U62" s="1726">
        <f>'Cash Flow MH'!U$27*'Assumptions MH'!$Q18*((1+U$13)^('Cash Flow MH'!U$5-1))</f>
        <v>13493</v>
      </c>
      <c r="V62" s="1726">
        <f>'Cash Flow MH'!V$27*'Assumptions MH'!$Q18*((1+V$13)^('Cash Flow MH'!V$5-1))</f>
        <v>13493</v>
      </c>
      <c r="W62" s="1726">
        <f>'Cash Flow MH'!W$27*'Assumptions MH'!$Q18*((1+W$13)^('Cash Flow MH'!W$5-1))</f>
        <v>13493</v>
      </c>
      <c r="X62" s="1726">
        <f>'Cash Flow MH'!X$27*'Assumptions MH'!$Q18*((1+X$13)^('Cash Flow MH'!X$5-1))</f>
        <v>13493</v>
      </c>
      <c r="Y62" s="1726">
        <f>'Cash Flow MH'!Y$27*'Assumptions MH'!$Q18*((1+Y$13)^('Cash Flow MH'!Y$5-1))</f>
        <v>13493</v>
      </c>
      <c r="Z62" s="1726">
        <f>'Cash Flow MH'!Z$27*'Assumptions MH'!$Q18*((1+Z$13)^('Cash Flow MH'!Z$5-1))</f>
        <v>13493</v>
      </c>
      <c r="AA62" s="1726">
        <f>'Cash Flow MH'!AA$27*'Assumptions MH'!$Q18*((1+AA$13)^('Cash Flow MH'!AA$5-1))</f>
        <v>13493</v>
      </c>
      <c r="AB62" s="1726">
        <f>'Cash Flow MH'!AB$27*'Assumptions MH'!$Q18*((1+AB$13)^('Cash Flow MH'!AB$5-1))</f>
        <v>13897.789999999999</v>
      </c>
      <c r="AC62" s="1726">
        <f>'Cash Flow MH'!AC$27*'Assumptions MH'!$Q18*((1+AC$13)^('Cash Flow MH'!AC$5-1))</f>
        <v>13897.789999999999</v>
      </c>
      <c r="AD62" s="1726">
        <f>'Cash Flow MH'!AD$27*'Assumptions MH'!$Q18*((1+AD$13)^('Cash Flow MH'!AD$5-1))</f>
        <v>13897.789999999999</v>
      </c>
      <c r="AE62" s="1726">
        <f>'Cash Flow MH'!AE$27*'Assumptions MH'!$Q18*((1+AE$13)^('Cash Flow MH'!AE$5-1))</f>
        <v>13897.789999999999</v>
      </c>
      <c r="AF62" s="1726">
        <f>'Cash Flow MH'!AF$27*'Assumptions MH'!$Q18*((1+AF$13)^('Cash Flow MH'!AF$5-1))</f>
        <v>13897.789999999999</v>
      </c>
      <c r="AG62" s="1726">
        <f>'Cash Flow MH'!AG$27*'Assumptions MH'!$Q18*((1+AG$13)^('Cash Flow MH'!AG$5-1))</f>
        <v>13897.789999999999</v>
      </c>
      <c r="AH62" s="1726">
        <f>'Cash Flow MH'!AH$27*'Assumptions MH'!$Q18*((1+AH$13)^('Cash Flow MH'!AH$5-1))</f>
        <v>13897.789999999999</v>
      </c>
      <c r="AI62" s="1726">
        <f>'Cash Flow MH'!AI$27*'Assumptions MH'!$Q18*((1+AI$13)^('Cash Flow MH'!AI$5-1))</f>
        <v>13897.789999999999</v>
      </c>
      <c r="AJ62" s="1726">
        <f>'Cash Flow MH'!AJ$27*'Assumptions MH'!$Q18*((1+AJ$13)^('Cash Flow MH'!AJ$5-1))</f>
        <v>13897.789999999999</v>
      </c>
      <c r="AK62" s="1726">
        <f>'Cash Flow MH'!AK$27*'Assumptions MH'!$Q18*((1+AK$13)^('Cash Flow MH'!AK$5-1))</f>
        <v>13897.789999999999</v>
      </c>
      <c r="AL62" s="1726">
        <f>'Cash Flow MH'!AL$27*'Assumptions MH'!$Q18*((1+AL$13)^('Cash Flow MH'!AL$5-1))</f>
        <v>13897.789999999999</v>
      </c>
      <c r="AM62" s="1726">
        <f>'Cash Flow MH'!AM$27*'Assumptions MH'!$Q18*((1+AM$13)^('Cash Flow MH'!AM$5-1))</f>
        <v>13897.789999999999</v>
      </c>
      <c r="AN62" s="1726">
        <f>'Cash Flow MH'!AN$27*'Assumptions MH'!$Q18*((1+AN$13)^('Cash Flow MH'!AN$5-1))</f>
        <v>14314.7237</v>
      </c>
      <c r="AO62" s="1726">
        <f>'Cash Flow MH'!AO$27*'Assumptions MH'!$Q18*((1+AO$13)^('Cash Flow MH'!AO$5-1))</f>
        <v>14314.7237</v>
      </c>
      <c r="AP62" s="1726">
        <f>'Cash Flow MH'!AP$27*'Assumptions MH'!$Q18*((1+AP$13)^('Cash Flow MH'!AP$5-1))</f>
        <v>14314.7237</v>
      </c>
      <c r="AQ62" s="1726">
        <f>'Cash Flow MH'!AQ$27*'Assumptions MH'!$Q18*((1+AQ$13)^('Cash Flow MH'!AQ$5-1))</f>
        <v>14314.7237</v>
      </c>
      <c r="AR62" s="1726">
        <f>'Cash Flow MH'!AR$27*'Assumptions MH'!$Q18*((1+AR$13)^('Cash Flow MH'!AR$5-1))</f>
        <v>14314.7237</v>
      </c>
      <c r="AS62" s="1726">
        <f>'Cash Flow MH'!AS$27*'Assumptions MH'!$Q18*((1+AS$13)^('Cash Flow MH'!AS$5-1))</f>
        <v>14314.7237</v>
      </c>
      <c r="AT62" s="1726">
        <f>'Cash Flow MH'!AT$27*'Assumptions MH'!$Q18*((1+AT$13)^('Cash Flow MH'!AT$5-1))</f>
        <v>14314.7237</v>
      </c>
      <c r="AU62" s="1726">
        <f>'Cash Flow MH'!AU$27*'Assumptions MH'!$Q18*((1+AU$13)^('Cash Flow MH'!AU$5-1))</f>
        <v>14314.7237</v>
      </c>
      <c r="AV62" s="1726">
        <f>'Cash Flow MH'!AV$27*'Assumptions MH'!$Q18*((1+AV$13)^('Cash Flow MH'!AV$5-1))</f>
        <v>14314.7237</v>
      </c>
      <c r="AW62" s="1726">
        <f>'Cash Flow MH'!AW$27*'Assumptions MH'!$Q18*((1+AW$13)^('Cash Flow MH'!AW$5-1))</f>
        <v>14314.7237</v>
      </c>
      <c r="AX62" s="1726">
        <f>'Cash Flow MH'!AX$27*'Assumptions MH'!$Q18*((1+AX$13)^('Cash Flow MH'!AX$5-1))</f>
        <v>14314.7237</v>
      </c>
      <c r="AY62" s="1726">
        <f>'Cash Flow MH'!AY$27*'Assumptions MH'!$Q18*((1+AY$13)^('Cash Flow MH'!AY$5-1))</f>
        <v>14314.7237</v>
      </c>
      <c r="AZ62" s="1726">
        <f>'Cash Flow MH'!AZ$27*'Assumptions MH'!$Q18*((1+AZ$13)^('Cash Flow MH'!AZ$5-1))</f>
        <v>14744.165410999998</v>
      </c>
      <c r="BA62" s="1726">
        <f>'Cash Flow MH'!BA$27*'Assumptions MH'!$Q18*((1+BA$13)^('Cash Flow MH'!BA$5-1))</f>
        <v>14744.165410999998</v>
      </c>
      <c r="BB62" s="1726">
        <f>'Cash Flow MH'!BB$27*'Assumptions MH'!$Q18*((1+BB$13)^('Cash Flow MH'!BB$5-1))</f>
        <v>14744.165410999998</v>
      </c>
      <c r="BC62" s="1726">
        <f>'Cash Flow MH'!BC$27*'Assumptions MH'!$Q18*((1+BC$13)^('Cash Flow MH'!BC$5-1))</f>
        <v>14744.165410999998</v>
      </c>
      <c r="BD62" s="1726">
        <f>'Cash Flow MH'!BD$27*'Assumptions MH'!$Q18*((1+BD$13)^('Cash Flow MH'!BD$5-1))</f>
        <v>14744.165410999998</v>
      </c>
      <c r="BE62" s="1726">
        <f>'Cash Flow MH'!BE$27*'Assumptions MH'!$Q18*((1+BE$13)^('Cash Flow MH'!BE$5-1))</f>
        <v>14744.165410999998</v>
      </c>
      <c r="BF62" s="1726">
        <f>'Cash Flow MH'!BF$27*'Assumptions MH'!$Q18*((1+BF$13)^('Cash Flow MH'!BF$5-1))</f>
        <v>14744.165410999998</v>
      </c>
      <c r="BG62" s="1726">
        <f>'Cash Flow MH'!BG$27*'Assumptions MH'!$Q18*((1+BG$13)^('Cash Flow MH'!BG$5-1))</f>
        <v>14744.165410999998</v>
      </c>
      <c r="BH62" s="1726">
        <f>'Cash Flow MH'!BH$27*'Assumptions MH'!$Q18*((1+BH$13)^('Cash Flow MH'!BH$5-1))</f>
        <v>14744.165410999998</v>
      </c>
      <c r="BI62" s="1726">
        <f>'Cash Flow MH'!BI$27*'Assumptions MH'!$Q18*((1+BI$13)^('Cash Flow MH'!BI$5-1))</f>
        <v>14744.165410999998</v>
      </c>
      <c r="BJ62" s="1726">
        <f>'Cash Flow MH'!BJ$27*'Assumptions MH'!$Q18*((1+BJ$13)^('Cash Flow MH'!BJ$5-1))</f>
        <v>14744.165410999998</v>
      </c>
      <c r="BK62" s="1726">
        <f>'Cash Flow MH'!BK$27*'Assumptions MH'!$Q18*((1+BK$13)^('Cash Flow MH'!BK$5-1))</f>
        <v>14744.165410999998</v>
      </c>
      <c r="BL62" s="1726">
        <f>'Cash Flow MH'!BL$27*'Assumptions MH'!$Q18*((1+BL$13)^('Cash Flow MH'!BL$5-1))</f>
        <v>15186.490373329998</v>
      </c>
      <c r="BM62" s="1726">
        <f>'Cash Flow MH'!BM$27*'Assumptions MH'!$Q18*((1+BM$13)^('Cash Flow MH'!BM$5-1))</f>
        <v>15186.490373329998</v>
      </c>
      <c r="BN62" s="1726">
        <f>'Cash Flow MH'!BN$27*'Assumptions MH'!$Q18*((1+BN$13)^('Cash Flow MH'!BN$5-1))</f>
        <v>15186.490373329998</v>
      </c>
      <c r="BO62" s="1726">
        <f>'Cash Flow MH'!BO$27*'Assumptions MH'!$Q18*((1+BO$13)^('Cash Flow MH'!BO$5-1))</f>
        <v>15186.490373329998</v>
      </c>
      <c r="BP62" s="1726">
        <f>'Cash Flow MH'!BP$27*'Assumptions MH'!$Q18*((1+BP$13)^('Cash Flow MH'!BP$5-1))</f>
        <v>15186.490373329998</v>
      </c>
      <c r="BQ62" s="1726">
        <f>'Cash Flow MH'!BQ$27*'Assumptions MH'!$Q18*((1+BQ$13)^('Cash Flow MH'!BQ$5-1))</f>
        <v>15186.490373329998</v>
      </c>
      <c r="BR62" s="1726">
        <f>'Cash Flow MH'!BR$27*'Assumptions MH'!$Q18*((1+BR$13)^('Cash Flow MH'!BR$5-1))</f>
        <v>15186.490373329998</v>
      </c>
      <c r="BS62" s="1726">
        <f>'Cash Flow MH'!BS$27*'Assumptions MH'!$Q18*((1+BS$13)^('Cash Flow MH'!BS$5-1))</f>
        <v>15186.490373329998</v>
      </c>
      <c r="BT62" s="1726">
        <f>'Cash Flow MH'!BT$27*'Assumptions MH'!$Q18*((1+BT$13)^('Cash Flow MH'!BT$5-1))</f>
        <v>15186.490373329998</v>
      </c>
      <c r="BU62" s="1726">
        <f>'Cash Flow MH'!BU$27*'Assumptions MH'!$Q18*((1+BU$13)^('Cash Flow MH'!BU$5-1))</f>
        <v>15186.490373329998</v>
      </c>
      <c r="BV62" s="1726">
        <f>'Cash Flow MH'!BV$27*'Assumptions MH'!$Q18*((1+BV$13)^('Cash Flow MH'!BV$5-1))</f>
        <v>15186.490373329998</v>
      </c>
      <c r="BW62" s="1726">
        <f>'Cash Flow MH'!BW$27*'Assumptions MH'!$Q18*((1+BW$13)^('Cash Flow MH'!BW$5-1))</f>
        <v>15186.490373329998</v>
      </c>
      <c r="BX62" s="1726">
        <f>'Cash Flow MH'!BX$27*'Assumptions MH'!$Q18*((1+BX$13)^('Cash Flow MH'!BX$5-1))</f>
        <v>15642.085084529899</v>
      </c>
      <c r="BY62" s="1726">
        <f>'Cash Flow MH'!BY$27*'Assumptions MH'!$Q18*((1+BY$13)^('Cash Flow MH'!BY$5-1))</f>
        <v>15642.085084529899</v>
      </c>
      <c r="BZ62" s="1726">
        <f>'Cash Flow MH'!BZ$27*'Assumptions MH'!$Q18*((1+BZ$13)^('Cash Flow MH'!BZ$5-1))</f>
        <v>15642.085084529899</v>
      </c>
      <c r="CA62" s="1726">
        <f>'Cash Flow MH'!CA$27*'Assumptions MH'!$Q18*((1+CA$13)^('Cash Flow MH'!CA$5-1))</f>
        <v>15642.085084529899</v>
      </c>
      <c r="CB62" s="1726">
        <f>'Cash Flow MH'!CB$27*'Assumptions MH'!$Q18*((1+CB$13)^('Cash Flow MH'!CB$5-1))</f>
        <v>15642.085084529899</v>
      </c>
      <c r="CC62" s="1726">
        <f>'Cash Flow MH'!CC$27*'Assumptions MH'!$Q18*((1+CC$13)^('Cash Flow MH'!CC$5-1))</f>
        <v>15642.085084529899</v>
      </c>
      <c r="CD62" s="1726">
        <f>'Cash Flow MH'!CD$27*'Assumptions MH'!$Q18*((1+CD$13)^('Cash Flow MH'!CD$5-1))</f>
        <v>15642.085084529899</v>
      </c>
      <c r="CE62" s="1726">
        <f>'Cash Flow MH'!CE$27*'Assumptions MH'!$Q18*((1+CE$13)^('Cash Flow MH'!CE$5-1))</f>
        <v>15642.085084529899</v>
      </c>
      <c r="CF62" s="1726">
        <f>'Cash Flow MH'!CF$27*'Assumptions MH'!$Q18*((1+CF$13)^('Cash Flow MH'!CF$5-1))</f>
        <v>15642.085084529899</v>
      </c>
      <c r="CG62" s="1726">
        <f>'Cash Flow MH'!CG$27*'Assumptions MH'!$Q18*((1+CG$13)^('Cash Flow MH'!CG$5-1))</f>
        <v>15642.085084529899</v>
      </c>
      <c r="CH62" s="1726">
        <f>'Cash Flow MH'!CH$27*'Assumptions MH'!$Q18*((1+CH$13)^('Cash Flow MH'!CH$5-1))</f>
        <v>15642.085084529899</v>
      </c>
      <c r="CI62" s="1726">
        <f>'Cash Flow MH'!CI$27*'Assumptions MH'!$Q18*((1+CI$13)^('Cash Flow MH'!CI$5-1))</f>
        <v>15642.085084529899</v>
      </c>
      <c r="CJ62" s="1726">
        <f>'Cash Flow MH'!CJ$27*'Assumptions MH'!$Q18*((1+CJ$13)^('Cash Flow MH'!CJ$5-1))</f>
        <v>16111.347637065797</v>
      </c>
      <c r="CK62" s="1726">
        <f>'Cash Flow MH'!CK$27*'Assumptions MH'!$Q18*((1+CK$13)^('Cash Flow MH'!CK$5-1))</f>
        <v>16111.347637065797</v>
      </c>
      <c r="CL62" s="1726">
        <f>'Cash Flow MH'!CL$27*'Assumptions MH'!$Q18*((1+CL$13)^('Cash Flow MH'!CL$5-1))</f>
        <v>16111.347637065797</v>
      </c>
      <c r="CM62" s="1726">
        <f>'Cash Flow MH'!CM$27*'Assumptions MH'!$Q18*((1+CM$13)^('Cash Flow MH'!CM$5-1))</f>
        <v>16111.347637065797</v>
      </c>
      <c r="CN62" s="1726">
        <f>'Cash Flow MH'!CN$27*'Assumptions MH'!$Q18*((1+CN$13)^('Cash Flow MH'!CN$5-1))</f>
        <v>16111.347637065797</v>
      </c>
      <c r="CO62" s="1726">
        <f>'Cash Flow MH'!CO$27*'Assumptions MH'!$Q18*((1+CO$13)^('Cash Flow MH'!CO$5-1))</f>
        <v>16111.347637065797</v>
      </c>
      <c r="CP62" s="1726">
        <f>'Cash Flow MH'!CP$27*'Assumptions MH'!$Q18*((1+CP$13)^('Cash Flow MH'!CP$5-1))</f>
        <v>16111.347637065797</v>
      </c>
      <c r="CQ62" s="1726">
        <f>'Cash Flow MH'!CQ$27*'Assumptions MH'!$Q18*((1+CQ$13)^('Cash Flow MH'!CQ$5-1))</f>
        <v>16111.347637065797</v>
      </c>
      <c r="CR62" s="1726">
        <f>'Cash Flow MH'!CR$27*'Assumptions MH'!$Q18*((1+CR$13)^('Cash Flow MH'!CR$5-1))</f>
        <v>16111.347637065797</v>
      </c>
      <c r="CS62" s="1726">
        <f>'Cash Flow MH'!CS$27*'Assumptions MH'!$Q18*((1+CS$13)^('Cash Flow MH'!CS$5-1))</f>
        <v>16111.347637065797</v>
      </c>
      <c r="CT62" s="1726">
        <f>'Cash Flow MH'!CT$27*'Assumptions MH'!$Q18*((1+CT$13)^('Cash Flow MH'!CT$5-1))</f>
        <v>16111.347637065797</v>
      </c>
      <c r="CU62" s="1726">
        <f>'Cash Flow MH'!CU$27*'Assumptions MH'!$Q18*((1+CU$13)^('Cash Flow MH'!CU$5-1))</f>
        <v>16111.347637065797</v>
      </c>
      <c r="CV62" s="1726">
        <f>'Cash Flow MH'!CV$27*'Assumptions MH'!$Q18*((1+CV$13)^('Cash Flow MH'!CV$5-1))</f>
        <v>16594.688066177769</v>
      </c>
      <c r="CW62" s="1726">
        <f>'Cash Flow MH'!CW$27*'Assumptions MH'!$Q18*((1+CW$13)^('Cash Flow MH'!CW$5-1))</f>
        <v>16594.688066177769</v>
      </c>
      <c r="CX62" s="1726">
        <f>'Cash Flow MH'!CX$27*'Assumptions MH'!$Q18*((1+CX$13)^('Cash Flow MH'!CX$5-1))</f>
        <v>16594.688066177769</v>
      </c>
      <c r="CY62" s="1726">
        <f>'Cash Flow MH'!CY$27*'Assumptions MH'!$Q18*((1+CY$13)^('Cash Flow MH'!CY$5-1))</f>
        <v>16594.688066177769</v>
      </c>
      <c r="CZ62" s="1726">
        <f>'Cash Flow MH'!CZ$27*'Assumptions MH'!$Q18*((1+CZ$13)^('Cash Flow MH'!CZ$5-1))</f>
        <v>16594.688066177769</v>
      </c>
      <c r="DA62" s="1726">
        <f>'Cash Flow MH'!DA$27*'Assumptions MH'!$Q18*((1+DA$13)^('Cash Flow MH'!DA$5-1))</f>
        <v>16594.688066177769</v>
      </c>
      <c r="DB62" s="1726">
        <f>'Cash Flow MH'!DB$27*'Assumptions MH'!$Q18*((1+DB$13)^('Cash Flow MH'!DB$5-1))</f>
        <v>16594.688066177769</v>
      </c>
      <c r="DC62" s="1726">
        <f>'Cash Flow MH'!DC$27*'Assumptions MH'!$Q18*((1+DC$13)^('Cash Flow MH'!DC$5-1))</f>
        <v>16594.688066177769</v>
      </c>
      <c r="DD62" s="1726">
        <f>'Cash Flow MH'!DD$27*'Assumptions MH'!$Q18*((1+DD$13)^('Cash Flow MH'!DD$5-1))</f>
        <v>16594.688066177769</v>
      </c>
      <c r="DE62" s="1726">
        <f>'Cash Flow MH'!DE$27*'Assumptions MH'!$Q18*((1+DE$13)^('Cash Flow MH'!DE$5-1))</f>
        <v>16594.688066177769</v>
      </c>
      <c r="DF62" s="1726">
        <f>'Cash Flow MH'!DF$27*'Assumptions MH'!$Q18*((1+DF$13)^('Cash Flow MH'!DF$5-1))</f>
        <v>16594.688066177769</v>
      </c>
      <c r="DG62" s="1726">
        <f>'Cash Flow MH'!DG$27*'Assumptions MH'!$Q18*((1+DG$13)^('Cash Flow MH'!DG$5-1))</f>
        <v>16594.688066177769</v>
      </c>
      <c r="DH62" s="1726">
        <f>'Cash Flow MH'!DH$27*'Assumptions MH'!$Q18*((1+DH$13)^('Cash Flow MH'!DH$5-1))</f>
        <v>17092.528708163103</v>
      </c>
      <c r="DI62" s="1726">
        <f>'Cash Flow MH'!DI$27*'Assumptions MH'!$Q18*((1+DI$13)^('Cash Flow MH'!DI$5-1))</f>
        <v>17092.528708163103</v>
      </c>
      <c r="DJ62" s="1726">
        <f>'Cash Flow MH'!DJ$27*'Assumptions MH'!$Q18*((1+DJ$13)^('Cash Flow MH'!DJ$5-1))</f>
        <v>17092.528708163103</v>
      </c>
      <c r="DK62" s="1726">
        <f>'Cash Flow MH'!DK$27*'Assumptions MH'!$Q18*((1+DK$13)^('Cash Flow MH'!DK$5-1))</f>
        <v>17092.528708163103</v>
      </c>
      <c r="DL62" s="1726">
        <f>'Cash Flow MH'!DL$27*'Assumptions MH'!$Q18*((1+DL$13)^('Cash Flow MH'!DL$5-1))</f>
        <v>17092.528708163103</v>
      </c>
      <c r="DM62" s="1726">
        <f>'Cash Flow MH'!DM$27*'Assumptions MH'!$Q18*((1+DM$13)^('Cash Flow MH'!DM$5-1))</f>
        <v>17092.528708163103</v>
      </c>
      <c r="DN62" s="1726">
        <f>'Cash Flow MH'!DN$27*'Assumptions MH'!$Q18*((1+DN$13)^('Cash Flow MH'!DN$5-1))</f>
        <v>17092.528708163103</v>
      </c>
      <c r="DO62" s="1726">
        <f>'Cash Flow MH'!DO$27*'Assumptions MH'!$Q18*((1+DO$13)^('Cash Flow MH'!DO$5-1))</f>
        <v>17092.528708163103</v>
      </c>
      <c r="DP62" s="1726">
        <f>'Cash Flow MH'!DP$27*'Assumptions MH'!$Q18*((1+DP$13)^('Cash Flow MH'!DP$5-1))</f>
        <v>17092.528708163103</v>
      </c>
      <c r="DQ62" s="1726">
        <f>'Cash Flow MH'!DQ$27*'Assumptions MH'!$Q18*((1+DQ$13)^('Cash Flow MH'!DQ$5-1))</f>
        <v>17092.528708163103</v>
      </c>
      <c r="DR62" s="1726">
        <f>'Cash Flow MH'!DR$27*'Assumptions MH'!$Q18*((1+DR$13)^('Cash Flow MH'!DR$5-1))</f>
        <v>17092.528708163103</v>
      </c>
      <c r="DS62" s="1726">
        <f>'Cash Flow MH'!DS$27*'Assumptions MH'!$Q18*((1+DS$13)^('Cash Flow MH'!DS$5-1))</f>
        <v>17092.528708163103</v>
      </c>
      <c r="DT62" s="1485" t="s">
        <v>65</v>
      </c>
    </row>
    <row r="63" spans="1:124">
      <c r="B63" s="1724" t="s">
        <v>996</v>
      </c>
      <c r="D63" s="1726">
        <f>'Cash Flow MH'!D$27*'Assumptions MH'!$Q24*((1+D$13)^('Cash Flow MH'!D$5-1))</f>
        <v>9825</v>
      </c>
      <c r="E63" s="1726">
        <f>'Cash Flow MH'!E$27*'Assumptions MH'!$Q24*((1+E$13)^('Cash Flow MH'!E$5-1))</f>
        <v>9825</v>
      </c>
      <c r="F63" s="1726">
        <f>'Cash Flow MH'!F$27*'Assumptions MH'!$Q24*((1+F$13)^('Cash Flow MH'!F$5-1))</f>
        <v>9825</v>
      </c>
      <c r="G63" s="1726">
        <f>'Cash Flow MH'!G$27*'Assumptions MH'!$Q24*((1+G$13)^('Cash Flow MH'!G$5-1))</f>
        <v>9825</v>
      </c>
      <c r="H63" s="1726">
        <f>'Cash Flow MH'!H$27*'Assumptions MH'!$Q24*((1+H$13)^('Cash Flow MH'!H$5-1))</f>
        <v>9825</v>
      </c>
      <c r="I63" s="1726">
        <f>'Cash Flow MH'!I$27*'Assumptions MH'!$Q24*((1+I$13)^('Cash Flow MH'!I$5-1))</f>
        <v>9825</v>
      </c>
      <c r="J63" s="1726">
        <f>'Cash Flow MH'!J$27*'Assumptions MH'!$Q24*((1+J$13)^('Cash Flow MH'!J$5-1))</f>
        <v>9825</v>
      </c>
      <c r="K63" s="1726">
        <f>'Cash Flow MH'!K$27*'Assumptions MH'!$Q24*((1+K$13)^('Cash Flow MH'!K$5-1))</f>
        <v>9825</v>
      </c>
      <c r="L63" s="1726">
        <f>'Cash Flow MH'!L$27*'Assumptions MH'!$Q24*((1+L$13)^('Cash Flow MH'!L$5-1))</f>
        <v>9825</v>
      </c>
      <c r="M63" s="1726">
        <f>'Cash Flow MH'!M$27*'Assumptions MH'!$Q24*((1+M$13)^('Cash Flow MH'!M$5-1))</f>
        <v>9825</v>
      </c>
      <c r="N63" s="1726">
        <f>'Cash Flow MH'!N$27*'Assumptions MH'!$Q24*((1+N$13)^('Cash Flow MH'!N$5-1))</f>
        <v>9825</v>
      </c>
      <c r="O63" s="1726">
        <f>'Cash Flow MH'!O$27*'Assumptions MH'!$Q24*((1+O$13)^('Cash Flow MH'!O$5-1))</f>
        <v>9825</v>
      </c>
      <c r="P63" s="1726">
        <f>'Cash Flow MH'!P$27*'Assumptions MH'!$Q24*((1+P$13)^('Cash Flow MH'!P$5-1))</f>
        <v>10119.75</v>
      </c>
      <c r="Q63" s="1726">
        <f>'Cash Flow MH'!Q$27*'Assumptions MH'!$Q24*((1+Q$13)^('Cash Flow MH'!Q$5-1))</f>
        <v>10119.75</v>
      </c>
      <c r="R63" s="1726">
        <f>'Cash Flow MH'!R$27*'Assumptions MH'!$Q24*((1+R$13)^('Cash Flow MH'!R$5-1))</f>
        <v>10119.75</v>
      </c>
      <c r="S63" s="1726">
        <f>'Cash Flow MH'!S$27*'Assumptions MH'!$Q24*((1+S$13)^('Cash Flow MH'!S$5-1))</f>
        <v>10119.75</v>
      </c>
      <c r="T63" s="1726">
        <f>'Cash Flow MH'!T$27*'Assumptions MH'!$Q24*((1+T$13)^('Cash Flow MH'!T$5-1))</f>
        <v>10119.75</v>
      </c>
      <c r="U63" s="1726">
        <f>'Cash Flow MH'!U$27*'Assumptions MH'!$Q24*((1+U$13)^('Cash Flow MH'!U$5-1))</f>
        <v>10119.75</v>
      </c>
      <c r="V63" s="1726">
        <f>'Cash Flow MH'!V$27*'Assumptions MH'!$Q24*((1+V$13)^('Cash Flow MH'!V$5-1))</f>
        <v>10119.75</v>
      </c>
      <c r="W63" s="1726">
        <f>'Cash Flow MH'!W$27*'Assumptions MH'!$Q24*((1+W$13)^('Cash Flow MH'!W$5-1))</f>
        <v>10119.75</v>
      </c>
      <c r="X63" s="1726">
        <f>'Cash Flow MH'!X$27*'Assumptions MH'!$Q24*((1+X$13)^('Cash Flow MH'!X$5-1))</f>
        <v>10119.75</v>
      </c>
      <c r="Y63" s="1726">
        <f>'Cash Flow MH'!Y$27*'Assumptions MH'!$Q24*((1+Y$13)^('Cash Flow MH'!Y$5-1))</f>
        <v>10119.75</v>
      </c>
      <c r="Z63" s="1726">
        <f>'Cash Flow MH'!Z$27*'Assumptions MH'!$Q24*((1+Z$13)^('Cash Flow MH'!Z$5-1))</f>
        <v>10119.75</v>
      </c>
      <c r="AA63" s="1726">
        <f>'Cash Flow MH'!AA$27*'Assumptions MH'!$Q24*((1+AA$13)^('Cash Flow MH'!AA$5-1))</f>
        <v>10119.75</v>
      </c>
      <c r="AB63" s="1726">
        <f>'Cash Flow MH'!AB$27*'Assumptions MH'!$Q24*((1+AB$13)^('Cash Flow MH'!AB$5-1))</f>
        <v>10423.342499999999</v>
      </c>
      <c r="AC63" s="1726">
        <f>'Cash Flow MH'!AC$27*'Assumptions MH'!$Q24*((1+AC$13)^('Cash Flow MH'!AC$5-1))</f>
        <v>10423.342499999999</v>
      </c>
      <c r="AD63" s="1726">
        <f>'Cash Flow MH'!AD$27*'Assumptions MH'!$Q24*((1+AD$13)^('Cash Flow MH'!AD$5-1))</f>
        <v>10423.342499999999</v>
      </c>
      <c r="AE63" s="1726">
        <f>'Cash Flow MH'!AE$27*'Assumptions MH'!$Q24*((1+AE$13)^('Cash Flow MH'!AE$5-1))</f>
        <v>10423.342499999999</v>
      </c>
      <c r="AF63" s="1726">
        <f>'Cash Flow MH'!AF$27*'Assumptions MH'!$Q24*((1+AF$13)^('Cash Flow MH'!AF$5-1))</f>
        <v>10423.342499999999</v>
      </c>
      <c r="AG63" s="1726">
        <f>'Cash Flow MH'!AG$27*'Assumptions MH'!$Q24*((1+AG$13)^('Cash Flow MH'!AG$5-1))</f>
        <v>10423.342499999999</v>
      </c>
      <c r="AH63" s="1726">
        <f>'Cash Flow MH'!AH$27*'Assumptions MH'!$Q24*((1+AH$13)^('Cash Flow MH'!AH$5-1))</f>
        <v>10423.342499999999</v>
      </c>
      <c r="AI63" s="1726">
        <f>'Cash Flow MH'!AI$27*'Assumptions MH'!$Q24*((1+AI$13)^('Cash Flow MH'!AI$5-1))</f>
        <v>10423.342499999999</v>
      </c>
      <c r="AJ63" s="1726">
        <f>'Cash Flow MH'!AJ$27*'Assumptions MH'!$Q24*((1+AJ$13)^('Cash Flow MH'!AJ$5-1))</f>
        <v>10423.342499999999</v>
      </c>
      <c r="AK63" s="1726">
        <f>'Cash Flow MH'!AK$27*'Assumptions MH'!$Q24*((1+AK$13)^('Cash Flow MH'!AK$5-1))</f>
        <v>10423.342499999999</v>
      </c>
      <c r="AL63" s="1726">
        <f>'Cash Flow MH'!AL$27*'Assumptions MH'!$Q24*((1+AL$13)^('Cash Flow MH'!AL$5-1))</f>
        <v>10423.342499999999</v>
      </c>
      <c r="AM63" s="1726">
        <f>'Cash Flow MH'!AM$27*'Assumptions MH'!$Q24*((1+AM$13)^('Cash Flow MH'!AM$5-1))</f>
        <v>10423.342499999999</v>
      </c>
      <c r="AN63" s="1726">
        <f>'Cash Flow MH'!AN$27*'Assumptions MH'!$Q24*((1+AN$13)^('Cash Flow MH'!AN$5-1))</f>
        <v>10736.042775</v>
      </c>
      <c r="AO63" s="1726">
        <f>'Cash Flow MH'!AO$27*'Assumptions MH'!$Q24*((1+AO$13)^('Cash Flow MH'!AO$5-1))</f>
        <v>10736.042775</v>
      </c>
      <c r="AP63" s="1726">
        <f>'Cash Flow MH'!AP$27*'Assumptions MH'!$Q24*((1+AP$13)^('Cash Flow MH'!AP$5-1))</f>
        <v>10736.042775</v>
      </c>
      <c r="AQ63" s="1726">
        <f>'Cash Flow MH'!AQ$27*'Assumptions MH'!$Q24*((1+AQ$13)^('Cash Flow MH'!AQ$5-1))</f>
        <v>10736.042775</v>
      </c>
      <c r="AR63" s="1726">
        <f>'Cash Flow MH'!AR$27*'Assumptions MH'!$Q24*((1+AR$13)^('Cash Flow MH'!AR$5-1))</f>
        <v>10736.042775</v>
      </c>
      <c r="AS63" s="1726">
        <f>'Cash Flow MH'!AS$27*'Assumptions MH'!$Q24*((1+AS$13)^('Cash Flow MH'!AS$5-1))</f>
        <v>10736.042775</v>
      </c>
      <c r="AT63" s="1726">
        <f>'Cash Flow MH'!AT$27*'Assumptions MH'!$Q24*((1+AT$13)^('Cash Flow MH'!AT$5-1))</f>
        <v>10736.042775</v>
      </c>
      <c r="AU63" s="1726">
        <f>'Cash Flow MH'!AU$27*'Assumptions MH'!$Q24*((1+AU$13)^('Cash Flow MH'!AU$5-1))</f>
        <v>10736.042775</v>
      </c>
      <c r="AV63" s="1726">
        <f>'Cash Flow MH'!AV$27*'Assumptions MH'!$Q24*((1+AV$13)^('Cash Flow MH'!AV$5-1))</f>
        <v>10736.042775</v>
      </c>
      <c r="AW63" s="1726">
        <f>'Cash Flow MH'!AW$27*'Assumptions MH'!$Q24*((1+AW$13)^('Cash Flow MH'!AW$5-1))</f>
        <v>10736.042775</v>
      </c>
      <c r="AX63" s="1726">
        <f>'Cash Flow MH'!AX$27*'Assumptions MH'!$Q24*((1+AX$13)^('Cash Flow MH'!AX$5-1))</f>
        <v>10736.042775</v>
      </c>
      <c r="AY63" s="1726">
        <f>'Cash Flow MH'!AY$27*'Assumptions MH'!$Q24*((1+AY$13)^('Cash Flow MH'!AY$5-1))</f>
        <v>10736.042775</v>
      </c>
      <c r="AZ63" s="1726">
        <f>'Cash Flow MH'!AZ$27*'Assumptions MH'!$Q24*((1+AZ$13)^('Cash Flow MH'!AZ$5-1))</f>
        <v>11058.12405825</v>
      </c>
      <c r="BA63" s="1726">
        <f>'Cash Flow MH'!BA$27*'Assumptions MH'!$Q24*((1+BA$13)^('Cash Flow MH'!BA$5-1))</f>
        <v>11058.12405825</v>
      </c>
      <c r="BB63" s="1726">
        <f>'Cash Flow MH'!BB$27*'Assumptions MH'!$Q24*((1+BB$13)^('Cash Flow MH'!BB$5-1))</f>
        <v>11058.12405825</v>
      </c>
      <c r="BC63" s="1726">
        <f>'Cash Flow MH'!BC$27*'Assumptions MH'!$Q24*((1+BC$13)^('Cash Flow MH'!BC$5-1))</f>
        <v>11058.12405825</v>
      </c>
      <c r="BD63" s="1726">
        <f>'Cash Flow MH'!BD$27*'Assumptions MH'!$Q24*((1+BD$13)^('Cash Flow MH'!BD$5-1))</f>
        <v>11058.12405825</v>
      </c>
      <c r="BE63" s="1726">
        <f>'Cash Flow MH'!BE$27*'Assumptions MH'!$Q24*((1+BE$13)^('Cash Flow MH'!BE$5-1))</f>
        <v>11058.12405825</v>
      </c>
      <c r="BF63" s="1726">
        <f>'Cash Flow MH'!BF$27*'Assumptions MH'!$Q24*((1+BF$13)^('Cash Flow MH'!BF$5-1))</f>
        <v>11058.12405825</v>
      </c>
      <c r="BG63" s="1726">
        <f>'Cash Flow MH'!BG$27*'Assumptions MH'!$Q24*((1+BG$13)^('Cash Flow MH'!BG$5-1))</f>
        <v>11058.12405825</v>
      </c>
      <c r="BH63" s="1726">
        <f>'Cash Flow MH'!BH$27*'Assumptions MH'!$Q24*((1+BH$13)^('Cash Flow MH'!BH$5-1))</f>
        <v>11058.12405825</v>
      </c>
      <c r="BI63" s="1726">
        <f>'Cash Flow MH'!BI$27*'Assumptions MH'!$Q24*((1+BI$13)^('Cash Flow MH'!BI$5-1))</f>
        <v>11058.12405825</v>
      </c>
      <c r="BJ63" s="1726">
        <f>'Cash Flow MH'!BJ$27*'Assumptions MH'!$Q24*((1+BJ$13)^('Cash Flow MH'!BJ$5-1))</f>
        <v>11058.12405825</v>
      </c>
      <c r="BK63" s="1726">
        <f>'Cash Flow MH'!BK$27*'Assumptions MH'!$Q24*((1+BK$13)^('Cash Flow MH'!BK$5-1))</f>
        <v>11058.12405825</v>
      </c>
      <c r="BL63" s="1726">
        <f>'Cash Flow MH'!BL$27*'Assumptions MH'!$Q24*((1+BL$13)^('Cash Flow MH'!BL$5-1))</f>
        <v>11389.867779997499</v>
      </c>
      <c r="BM63" s="1726">
        <f>'Cash Flow MH'!BM$27*'Assumptions MH'!$Q24*((1+BM$13)^('Cash Flow MH'!BM$5-1))</f>
        <v>11389.867779997499</v>
      </c>
      <c r="BN63" s="1726">
        <f>'Cash Flow MH'!BN$27*'Assumptions MH'!$Q24*((1+BN$13)^('Cash Flow MH'!BN$5-1))</f>
        <v>11389.867779997499</v>
      </c>
      <c r="BO63" s="1726">
        <f>'Cash Flow MH'!BO$27*'Assumptions MH'!$Q24*((1+BO$13)^('Cash Flow MH'!BO$5-1))</f>
        <v>11389.867779997499</v>
      </c>
      <c r="BP63" s="1726">
        <f>'Cash Flow MH'!BP$27*'Assumptions MH'!$Q24*((1+BP$13)^('Cash Flow MH'!BP$5-1))</f>
        <v>11389.867779997499</v>
      </c>
      <c r="BQ63" s="1726">
        <f>'Cash Flow MH'!BQ$27*'Assumptions MH'!$Q24*((1+BQ$13)^('Cash Flow MH'!BQ$5-1))</f>
        <v>11389.867779997499</v>
      </c>
      <c r="BR63" s="1726">
        <f>'Cash Flow MH'!BR$27*'Assumptions MH'!$Q24*((1+BR$13)^('Cash Flow MH'!BR$5-1))</f>
        <v>11389.867779997499</v>
      </c>
      <c r="BS63" s="1726">
        <f>'Cash Flow MH'!BS$27*'Assumptions MH'!$Q24*((1+BS$13)^('Cash Flow MH'!BS$5-1))</f>
        <v>11389.867779997499</v>
      </c>
      <c r="BT63" s="1726">
        <f>'Cash Flow MH'!BT$27*'Assumptions MH'!$Q24*((1+BT$13)^('Cash Flow MH'!BT$5-1))</f>
        <v>11389.867779997499</v>
      </c>
      <c r="BU63" s="1726">
        <f>'Cash Flow MH'!BU$27*'Assumptions MH'!$Q24*((1+BU$13)^('Cash Flow MH'!BU$5-1))</f>
        <v>11389.867779997499</v>
      </c>
      <c r="BV63" s="1726">
        <f>'Cash Flow MH'!BV$27*'Assumptions MH'!$Q24*((1+BV$13)^('Cash Flow MH'!BV$5-1))</f>
        <v>11389.867779997499</v>
      </c>
      <c r="BW63" s="1726">
        <f>'Cash Flow MH'!BW$27*'Assumptions MH'!$Q24*((1+BW$13)^('Cash Flow MH'!BW$5-1))</f>
        <v>11389.867779997499</v>
      </c>
      <c r="BX63" s="1726">
        <f>'Cash Flow MH'!BX$27*'Assumptions MH'!$Q24*((1+BX$13)^('Cash Flow MH'!BX$5-1))</f>
        <v>11731.563813397424</v>
      </c>
      <c r="BY63" s="1726">
        <f>'Cash Flow MH'!BY$27*'Assumptions MH'!$Q24*((1+BY$13)^('Cash Flow MH'!BY$5-1))</f>
        <v>11731.563813397424</v>
      </c>
      <c r="BZ63" s="1726">
        <f>'Cash Flow MH'!BZ$27*'Assumptions MH'!$Q24*((1+BZ$13)^('Cash Flow MH'!BZ$5-1))</f>
        <v>11731.563813397424</v>
      </c>
      <c r="CA63" s="1726">
        <f>'Cash Flow MH'!CA$27*'Assumptions MH'!$Q24*((1+CA$13)^('Cash Flow MH'!CA$5-1))</f>
        <v>11731.563813397424</v>
      </c>
      <c r="CB63" s="1726">
        <f>'Cash Flow MH'!CB$27*'Assumptions MH'!$Q24*((1+CB$13)^('Cash Flow MH'!CB$5-1))</f>
        <v>11731.563813397424</v>
      </c>
      <c r="CC63" s="1726">
        <f>'Cash Flow MH'!CC$27*'Assumptions MH'!$Q24*((1+CC$13)^('Cash Flow MH'!CC$5-1))</f>
        <v>11731.563813397424</v>
      </c>
      <c r="CD63" s="1726">
        <f>'Cash Flow MH'!CD$27*'Assumptions MH'!$Q24*((1+CD$13)^('Cash Flow MH'!CD$5-1))</f>
        <v>11731.563813397424</v>
      </c>
      <c r="CE63" s="1726">
        <f>'Cash Flow MH'!CE$27*'Assumptions MH'!$Q24*((1+CE$13)^('Cash Flow MH'!CE$5-1))</f>
        <v>11731.563813397424</v>
      </c>
      <c r="CF63" s="1726">
        <f>'Cash Flow MH'!CF$27*'Assumptions MH'!$Q24*((1+CF$13)^('Cash Flow MH'!CF$5-1))</f>
        <v>11731.563813397424</v>
      </c>
      <c r="CG63" s="1726">
        <f>'Cash Flow MH'!CG$27*'Assumptions MH'!$Q24*((1+CG$13)^('Cash Flow MH'!CG$5-1))</f>
        <v>11731.563813397424</v>
      </c>
      <c r="CH63" s="1726">
        <f>'Cash Flow MH'!CH$27*'Assumptions MH'!$Q24*((1+CH$13)^('Cash Flow MH'!CH$5-1))</f>
        <v>11731.563813397424</v>
      </c>
      <c r="CI63" s="1726">
        <f>'Cash Flow MH'!CI$27*'Assumptions MH'!$Q24*((1+CI$13)^('Cash Flow MH'!CI$5-1))</f>
        <v>11731.563813397424</v>
      </c>
      <c r="CJ63" s="1726">
        <f>'Cash Flow MH'!CJ$27*'Assumptions MH'!$Q24*((1+CJ$13)^('Cash Flow MH'!CJ$5-1))</f>
        <v>12083.510727799348</v>
      </c>
      <c r="CK63" s="1726">
        <f>'Cash Flow MH'!CK$27*'Assumptions MH'!$Q24*((1+CK$13)^('Cash Flow MH'!CK$5-1))</f>
        <v>12083.510727799348</v>
      </c>
      <c r="CL63" s="1726">
        <f>'Cash Flow MH'!CL$27*'Assumptions MH'!$Q24*((1+CL$13)^('Cash Flow MH'!CL$5-1))</f>
        <v>12083.510727799348</v>
      </c>
      <c r="CM63" s="1726">
        <f>'Cash Flow MH'!CM$27*'Assumptions MH'!$Q24*((1+CM$13)^('Cash Flow MH'!CM$5-1))</f>
        <v>12083.510727799348</v>
      </c>
      <c r="CN63" s="1726">
        <f>'Cash Flow MH'!CN$27*'Assumptions MH'!$Q24*((1+CN$13)^('Cash Flow MH'!CN$5-1))</f>
        <v>12083.510727799348</v>
      </c>
      <c r="CO63" s="1726">
        <f>'Cash Flow MH'!CO$27*'Assumptions MH'!$Q24*((1+CO$13)^('Cash Flow MH'!CO$5-1))</f>
        <v>12083.510727799348</v>
      </c>
      <c r="CP63" s="1726">
        <f>'Cash Flow MH'!CP$27*'Assumptions MH'!$Q24*((1+CP$13)^('Cash Flow MH'!CP$5-1))</f>
        <v>12083.510727799348</v>
      </c>
      <c r="CQ63" s="1726">
        <f>'Cash Flow MH'!CQ$27*'Assumptions MH'!$Q24*((1+CQ$13)^('Cash Flow MH'!CQ$5-1))</f>
        <v>12083.510727799348</v>
      </c>
      <c r="CR63" s="1726">
        <f>'Cash Flow MH'!CR$27*'Assumptions MH'!$Q24*((1+CR$13)^('Cash Flow MH'!CR$5-1))</f>
        <v>12083.510727799348</v>
      </c>
      <c r="CS63" s="1726">
        <f>'Cash Flow MH'!CS$27*'Assumptions MH'!$Q24*((1+CS$13)^('Cash Flow MH'!CS$5-1))</f>
        <v>12083.510727799348</v>
      </c>
      <c r="CT63" s="1726">
        <f>'Cash Flow MH'!CT$27*'Assumptions MH'!$Q24*((1+CT$13)^('Cash Flow MH'!CT$5-1))</f>
        <v>12083.510727799348</v>
      </c>
      <c r="CU63" s="1726">
        <f>'Cash Flow MH'!CU$27*'Assumptions MH'!$Q24*((1+CU$13)^('Cash Flow MH'!CU$5-1))</f>
        <v>12083.510727799348</v>
      </c>
      <c r="CV63" s="1726">
        <f>'Cash Flow MH'!CV$27*'Assumptions MH'!$Q24*((1+CV$13)^('Cash Flow MH'!CV$5-1))</f>
        <v>12446.016049633326</v>
      </c>
      <c r="CW63" s="1726">
        <f>'Cash Flow MH'!CW$27*'Assumptions MH'!$Q24*((1+CW$13)^('Cash Flow MH'!CW$5-1))</f>
        <v>12446.016049633326</v>
      </c>
      <c r="CX63" s="1726">
        <f>'Cash Flow MH'!CX$27*'Assumptions MH'!$Q24*((1+CX$13)^('Cash Flow MH'!CX$5-1))</f>
        <v>12446.016049633326</v>
      </c>
      <c r="CY63" s="1726">
        <f>'Cash Flow MH'!CY$27*'Assumptions MH'!$Q24*((1+CY$13)^('Cash Flow MH'!CY$5-1))</f>
        <v>12446.016049633326</v>
      </c>
      <c r="CZ63" s="1726">
        <f>'Cash Flow MH'!CZ$27*'Assumptions MH'!$Q24*((1+CZ$13)^('Cash Flow MH'!CZ$5-1))</f>
        <v>12446.016049633326</v>
      </c>
      <c r="DA63" s="1726">
        <f>'Cash Flow MH'!DA$27*'Assumptions MH'!$Q24*((1+DA$13)^('Cash Flow MH'!DA$5-1))</f>
        <v>12446.016049633326</v>
      </c>
      <c r="DB63" s="1726">
        <f>'Cash Flow MH'!DB$27*'Assumptions MH'!$Q24*((1+DB$13)^('Cash Flow MH'!DB$5-1))</f>
        <v>12446.016049633326</v>
      </c>
      <c r="DC63" s="1726">
        <f>'Cash Flow MH'!DC$27*'Assumptions MH'!$Q24*((1+DC$13)^('Cash Flow MH'!DC$5-1))</f>
        <v>12446.016049633326</v>
      </c>
      <c r="DD63" s="1726">
        <f>'Cash Flow MH'!DD$27*'Assumptions MH'!$Q24*((1+DD$13)^('Cash Flow MH'!DD$5-1))</f>
        <v>12446.016049633326</v>
      </c>
      <c r="DE63" s="1726">
        <f>'Cash Flow MH'!DE$27*'Assumptions MH'!$Q24*((1+DE$13)^('Cash Flow MH'!DE$5-1))</f>
        <v>12446.016049633326</v>
      </c>
      <c r="DF63" s="1726">
        <f>'Cash Flow MH'!DF$27*'Assumptions MH'!$Q24*((1+DF$13)^('Cash Flow MH'!DF$5-1))</f>
        <v>12446.016049633326</v>
      </c>
      <c r="DG63" s="1726">
        <f>'Cash Flow MH'!DG$27*'Assumptions MH'!$Q24*((1+DG$13)^('Cash Flow MH'!DG$5-1))</f>
        <v>12446.016049633326</v>
      </c>
      <c r="DH63" s="1726">
        <f>'Cash Flow MH'!DH$27*'Assumptions MH'!$Q24*((1+DH$13)^('Cash Flow MH'!DH$5-1))</f>
        <v>12819.396531122327</v>
      </c>
      <c r="DI63" s="1726">
        <f>'Cash Flow MH'!DI$27*'Assumptions MH'!$Q24*((1+DI$13)^('Cash Flow MH'!DI$5-1))</f>
        <v>12819.396531122327</v>
      </c>
      <c r="DJ63" s="1726">
        <f>'Cash Flow MH'!DJ$27*'Assumptions MH'!$Q24*((1+DJ$13)^('Cash Flow MH'!DJ$5-1))</f>
        <v>12819.396531122327</v>
      </c>
      <c r="DK63" s="1726">
        <f>'Cash Flow MH'!DK$27*'Assumptions MH'!$Q24*((1+DK$13)^('Cash Flow MH'!DK$5-1))</f>
        <v>12819.396531122327</v>
      </c>
      <c r="DL63" s="1726">
        <f>'Cash Flow MH'!DL$27*'Assumptions MH'!$Q24*((1+DL$13)^('Cash Flow MH'!DL$5-1))</f>
        <v>12819.396531122327</v>
      </c>
      <c r="DM63" s="1726">
        <f>'Cash Flow MH'!DM$27*'Assumptions MH'!$Q24*((1+DM$13)^('Cash Flow MH'!DM$5-1))</f>
        <v>12819.396531122327</v>
      </c>
      <c r="DN63" s="1726">
        <f>'Cash Flow MH'!DN$27*'Assumptions MH'!$Q24*((1+DN$13)^('Cash Flow MH'!DN$5-1))</f>
        <v>12819.396531122327</v>
      </c>
      <c r="DO63" s="1726">
        <f>'Cash Flow MH'!DO$27*'Assumptions MH'!$Q24*((1+DO$13)^('Cash Flow MH'!DO$5-1))</f>
        <v>12819.396531122327</v>
      </c>
      <c r="DP63" s="1726">
        <f>'Cash Flow MH'!DP$27*'Assumptions MH'!$Q24*((1+DP$13)^('Cash Flow MH'!DP$5-1))</f>
        <v>12819.396531122327</v>
      </c>
      <c r="DQ63" s="1726">
        <f>'Cash Flow MH'!DQ$27*'Assumptions MH'!$Q24*((1+DQ$13)^('Cash Flow MH'!DQ$5-1))</f>
        <v>12819.396531122327</v>
      </c>
      <c r="DR63" s="1726">
        <f>'Cash Flow MH'!DR$27*'Assumptions MH'!$Q24*((1+DR$13)^('Cash Flow MH'!DR$5-1))</f>
        <v>12819.396531122327</v>
      </c>
      <c r="DS63" s="1726">
        <f>'Cash Flow MH'!DS$27*'Assumptions MH'!$Q24*((1+DS$13)^('Cash Flow MH'!DS$5-1))</f>
        <v>12819.396531122327</v>
      </c>
      <c r="DT63" s="1485" t="s">
        <v>65</v>
      </c>
    </row>
    <row r="64" spans="1:124">
      <c r="B64" s="1724" t="s">
        <v>1005</v>
      </c>
      <c r="D64" s="1726">
        <f>'Cash Flow MH'!D$38*'Assumptions MH'!$Q27</f>
        <v>3912.661357692361</v>
      </c>
      <c r="E64" s="1726">
        <f>'Cash Flow MH'!E$38*'Assumptions MH'!$Q27</f>
        <v>5508.8025494539052</v>
      </c>
      <c r="F64" s="1726">
        <f>'Cash Flow MH'!F$38*'Assumptions MH'!$Q27</f>
        <v>8273.8297991356358</v>
      </c>
      <c r="G64" s="1726">
        <f>'Cash Flow MH'!G$38*'Assumptions MH'!$Q27</f>
        <v>9261.7305350453571</v>
      </c>
      <c r="H64" s="1726">
        <f>'Cash Flow MH'!H$38*'Assumptions MH'!$Q27</f>
        <v>10568.202415311294</v>
      </c>
      <c r="I64" s="1726">
        <f>'Cash Flow MH'!I$38*'Assumptions MH'!$Q27</f>
        <v>11812.712848279987</v>
      </c>
      <c r="J64" s="1726">
        <f>'Cash Flow MH'!J$38*'Assumptions MH'!$Q27</f>
        <v>11429.690773092902</v>
      </c>
      <c r="K64" s="1726">
        <f>'Cash Flow MH'!K$38*'Assumptions MH'!$Q27</f>
        <v>12341.1380689012</v>
      </c>
      <c r="L64" s="1726">
        <f>'Cash Flow MH'!L$38*'Assumptions MH'!$Q27</f>
        <v>13543.774282590912</v>
      </c>
      <c r="M64" s="1726">
        <f>'Cash Flow MH'!M$38*'Assumptions MH'!$Q27</f>
        <v>16219.761518512543</v>
      </c>
      <c r="N64" s="1726">
        <f>'Cash Flow MH'!N$38*'Assumptions MH'!$Q27</f>
        <v>13019.068846239741</v>
      </c>
      <c r="O64" s="1726">
        <f>'Cash Flow MH'!O$38*'Assumptions MH'!$Q27</f>
        <v>11058.475278989323</v>
      </c>
      <c r="P64" s="1726">
        <f>'Cash Flow MH'!P$38*'Assumptions MH'!$Q27</f>
        <v>10290.998060259068</v>
      </c>
      <c r="Q64" s="1726">
        <f>'Cash Flow MH'!Q$38*'Assumptions MH'!$Q27</f>
        <v>12586.111424806866</v>
      </c>
      <c r="R64" s="1726">
        <f>'Cash Flow MH'!R$38*'Assumptions MH'!$Q27</f>
        <v>16797.398618787283</v>
      </c>
      <c r="S64" s="1726">
        <f>'Cash Flow MH'!S$38*'Assumptions MH'!$Q27</f>
        <v>16993.767808232751</v>
      </c>
      <c r="T64" s="1726">
        <f>'Cash Flow MH'!T$38*'Assumptions MH'!$Q27</f>
        <v>17756.561595675848</v>
      </c>
      <c r="U64" s="1726">
        <f>'Cash Flow MH'!U$38*'Assumptions MH'!$Q27</f>
        <v>18365.425258457937</v>
      </c>
      <c r="V64" s="1726">
        <f>'Cash Flow MH'!V$38*'Assumptions MH'!$Q27</f>
        <v>16238.043443152679</v>
      </c>
      <c r="W64" s="1726">
        <f>'Cash Flow MH'!W$38*'Assumptions MH'!$Q27</f>
        <v>16141.425029800937</v>
      </c>
      <c r="X64" s="1726">
        <f>'Cash Flow MH'!X$38*'Assumptions MH'!$Q27</f>
        <v>17248.949009049324</v>
      </c>
      <c r="Y64" s="1726">
        <f>'Cash Flow MH'!Y$38*'Assumptions MH'!$Q27</f>
        <v>20128.137788033637</v>
      </c>
      <c r="Z64" s="1726">
        <f>'Cash Flow MH'!Z$38*'Assumptions MH'!$Q27</f>
        <v>15752.882128196103</v>
      </c>
      <c r="AA64" s="1726">
        <f>'Cash Flow MH'!AA$38*'Assumptions MH'!$Q27</f>
        <v>13054.704340812614</v>
      </c>
      <c r="AB64" s="1726">
        <f>'Cash Flow MH'!AB$38*'Assumptions MH'!$Q27</f>
        <v>11859.835526788074</v>
      </c>
      <c r="AC64" s="1726">
        <f>'Cash Flow MH'!AC$38*'Assumptions MH'!$Q27</f>
        <v>14167.972423553085</v>
      </c>
      <c r="AD64" s="1726">
        <f>'Cash Flow MH'!AD$38*'Assumptions MH'!$Q27</f>
        <v>18479.381124006304</v>
      </c>
      <c r="AE64" s="1726">
        <f>'Cash Flow MH'!AE$38*'Assumptions MH'!$Q27</f>
        <v>18280.502185357433</v>
      </c>
      <c r="AF64" s="1726">
        <f>'Cash Flow MH'!AF$38*'Assumptions MH'!$Q27</f>
        <v>18686.343237339595</v>
      </c>
      <c r="AG64" s="1726">
        <f>'Cash Flow MH'!AG$38*'Assumptions MH'!$Q27</f>
        <v>18916.38801621168</v>
      </c>
      <c r="AH64" s="1726">
        <f>'Cash Flow MH'!AH$38*'Assumptions MH'!$Q27</f>
        <v>16725.184746447256</v>
      </c>
      <c r="AI64" s="1726">
        <f>'Cash Flow MH'!AI$38*'Assumptions MH'!$Q27</f>
        <v>16625.66778069497</v>
      </c>
      <c r="AJ64" s="1726">
        <f>'Cash Flow MH'!AJ$38*'Assumptions MH'!$Q27</f>
        <v>17766.417479320804</v>
      </c>
      <c r="AK64" s="1726">
        <f>'Cash Flow MH'!AK$38*'Assumptions MH'!$Q27</f>
        <v>20731.981921674647</v>
      </c>
      <c r="AL64" s="1726">
        <f>'Cash Flow MH'!AL$38*'Assumptions MH'!$Q27</f>
        <v>16225.468592041985</v>
      </c>
      <c r="AM64" s="1726">
        <f>'Cash Flow MH'!AM$38*'Assumptions MH'!$Q27</f>
        <v>13446.345471036986</v>
      </c>
      <c r="AN64" s="1726">
        <f>'Cash Flow MH'!AN$38*'Assumptions MH'!$Q27</f>
        <v>12215.630592591717</v>
      </c>
      <c r="AO64" s="1726">
        <f>'Cash Flow MH'!AO$38*'Assumptions MH'!$Q27</f>
        <v>15114.190581840379</v>
      </c>
      <c r="AP64" s="1726">
        <f>'Cash Flow MH'!AP$38*'Assumptions MH'!$Q27</f>
        <v>19033.762557726495</v>
      </c>
      <c r="AQ64" s="1726">
        <f>'Cash Flow MH'!AQ$38*'Assumptions MH'!$Q27</f>
        <v>18828.917250918152</v>
      </c>
      <c r="AR64" s="1726">
        <f>'Cash Flow MH'!AR$38*'Assumptions MH'!$Q27</f>
        <v>19246.933534459778</v>
      </c>
      <c r="AS64" s="1726">
        <f>'Cash Flow MH'!AS$38*'Assumptions MH'!$Q27</f>
        <v>19483.879656698027</v>
      </c>
      <c r="AT64" s="1726">
        <f>'Cash Flow MH'!AT$38*'Assumptions MH'!$Q27</f>
        <v>17226.940288840677</v>
      </c>
      <c r="AU64" s="1726">
        <f>'Cash Flow MH'!AU$38*'Assumptions MH'!$Q27</f>
        <v>17124.437814115816</v>
      </c>
      <c r="AV64" s="1726">
        <f>'Cash Flow MH'!AV$38*'Assumptions MH'!$Q27</f>
        <v>18299.410003700421</v>
      </c>
      <c r="AW64" s="1726">
        <f>'Cash Flow MH'!AW$38*'Assumptions MH'!$Q27</f>
        <v>21353.941379324882</v>
      </c>
      <c r="AX64" s="1726">
        <f>'Cash Flow MH'!AX$38*'Assumptions MH'!$Q27</f>
        <v>16712.232649803242</v>
      </c>
      <c r="AY64" s="1726">
        <f>'Cash Flow MH'!AY$38*'Assumptions MH'!$Q27</f>
        <v>13849.735835168096</v>
      </c>
      <c r="AZ64" s="1726">
        <f>'Cash Flow MH'!AZ$38*'Assumptions MH'!$Q27</f>
        <v>12582.099510369466</v>
      </c>
      <c r="BA64" s="1726">
        <f>'Cash Flow MH'!BA$38*'Assumptions MH'!$Q27</f>
        <v>15030.801944147468</v>
      </c>
      <c r="BB64" s="1726">
        <f>'Cash Flow MH'!BB$38*'Assumptions MH'!$Q27</f>
        <v>19604.77543445829</v>
      </c>
      <c r="BC64" s="1726">
        <f>'Cash Flow MH'!BC$38*'Assumptions MH'!$Q27</f>
        <v>19393.784768445701</v>
      </c>
      <c r="BD64" s="1726">
        <f>'Cash Flow MH'!BD$38*'Assumptions MH'!$Q27</f>
        <v>19824.341540493573</v>
      </c>
      <c r="BE64" s="1726">
        <f>'Cash Flow MH'!BE$38*'Assumptions MH'!$Q27</f>
        <v>20068.396046398968</v>
      </c>
      <c r="BF64" s="1726">
        <f>'Cash Flow MH'!BF$38*'Assumptions MH'!$Q27</f>
        <v>17743.748497505898</v>
      </c>
      <c r="BG64" s="1726">
        <f>'Cash Flow MH'!BG$38*'Assumptions MH'!$Q27</f>
        <v>17638.170948539289</v>
      </c>
      <c r="BH64" s="1726">
        <f>'Cash Flow MH'!BH$38*'Assumptions MH'!$Q27</f>
        <v>18848.392303811437</v>
      </c>
      <c r="BI64" s="1726">
        <f>'Cash Flow MH'!BI$38*'Assumptions MH'!$Q27</f>
        <v>21994.559620704629</v>
      </c>
      <c r="BJ64" s="1726">
        <f>'Cash Flow MH'!BJ$38*'Assumptions MH'!$Q27</f>
        <v>17213.59962929734</v>
      </c>
      <c r="BK64" s="1726">
        <f>'Cash Flow MH'!BK$38*'Assumptions MH'!$Q27</f>
        <v>14265.22791022314</v>
      </c>
      <c r="BL64" s="1726">
        <f>'Cash Flow MH'!BL$38*'Assumptions MH'!$Q27</f>
        <v>12959.562495680551</v>
      </c>
      <c r="BM64" s="1726">
        <f>'Cash Flow MH'!BM$38*'Assumptions MH'!$Q27</f>
        <v>15481.726002471889</v>
      </c>
      <c r="BN64" s="1726">
        <f>'Cash Flow MH'!BN$38*'Assumptions MH'!$Q27</f>
        <v>20192.918697492038</v>
      </c>
      <c r="BO64" s="1726">
        <f>'Cash Flow MH'!BO$38*'Assumptions MH'!$Q27</f>
        <v>19975.59831149907</v>
      </c>
      <c r="BP64" s="1726">
        <f>'Cash Flow MH'!BP$38*'Assumptions MH'!$Q27</f>
        <v>20419.071786708377</v>
      </c>
      <c r="BQ64" s="1726">
        <f>'Cash Flow MH'!BQ$38*'Assumptions MH'!$Q27</f>
        <v>20670.447927790938</v>
      </c>
      <c r="BR64" s="1726">
        <f>'Cash Flow MH'!BR$38*'Assumptions MH'!$Q27</f>
        <v>18276.060952431071</v>
      </c>
      <c r="BS64" s="1726">
        <f>'Cash Flow MH'!BS$38*'Assumptions MH'!$Q27</f>
        <v>18167.316076995463</v>
      </c>
      <c r="BT64" s="1726">
        <f>'Cash Flow MH'!BT$38*'Assumptions MH'!$Q27</f>
        <v>19413.844072925778</v>
      </c>
      <c r="BU64" s="1726">
        <f>'Cash Flow MH'!BU$38*'Assumptions MH'!$Q27</f>
        <v>22654.396409325767</v>
      </c>
      <c r="BV64" s="1726">
        <f>'Cash Flow MH'!BV$38*'Assumptions MH'!$Q27</f>
        <v>17730.007618176263</v>
      </c>
      <c r="BW64" s="1726">
        <f>'Cash Flow MH'!BW$38*'Assumptions MH'!$Q27</f>
        <v>14693.184747529833</v>
      </c>
      <c r="BX64" s="1726">
        <f>'Cash Flow MH'!BX$38*'Assumptions MH'!$Q27</f>
        <v>13348.349370550965</v>
      </c>
      <c r="BY64" s="1726">
        <f>'Cash Flow MH'!BY$38*'Assumptions MH'!$Q27</f>
        <v>15946.177782546049</v>
      </c>
      <c r="BZ64" s="1726">
        <f>'Cash Flow MH'!BZ$38*'Assumptions MH'!$Q27</f>
        <v>20798.706258416802</v>
      </c>
      <c r="CA64" s="1726">
        <f>'Cash Flow MH'!CA$38*'Assumptions MH'!$Q27</f>
        <v>20574.866260844039</v>
      </c>
      <c r="CB64" s="1726">
        <f>'Cash Flow MH'!CB$38*'Assumptions MH'!$Q27</f>
        <v>21031.643940309626</v>
      </c>
      <c r="CC64" s="1726">
        <f>'Cash Flow MH'!CC$38*'Assumptions MH'!$Q27</f>
        <v>21290.561365624661</v>
      </c>
      <c r="CD64" s="1726">
        <f>'Cash Flow MH'!CD$38*'Assumptions MH'!$Q27</f>
        <v>18824.342781004005</v>
      </c>
      <c r="CE64" s="1726">
        <f>'Cash Flow MH'!CE$38*'Assumptions MH'!$Q27</f>
        <v>18712.335559305331</v>
      </c>
      <c r="CF64" s="1726">
        <f>'Cash Flow MH'!CF$38*'Assumptions MH'!$Q27</f>
        <v>19996.259395113557</v>
      </c>
      <c r="CG64" s="1726">
        <f>'Cash Flow MH'!CG$38*'Assumptions MH'!$Q27</f>
        <v>23334.028301605544</v>
      </c>
      <c r="CH64" s="1726">
        <f>'Cash Flow MH'!CH$38*'Assumptions MH'!$Q27</f>
        <v>18261.907846721548</v>
      </c>
      <c r="CI64" s="1726">
        <f>'Cash Flow MH'!CI$38*'Assumptions MH'!$Q27</f>
        <v>15133.980289955731</v>
      </c>
      <c r="CJ64" s="1726">
        <f>'Cash Flow MH'!CJ$38*'Assumptions MH'!$Q27</f>
        <v>13748.799851667498</v>
      </c>
      <c r="CK64" s="1726">
        <f>'Cash Flow MH'!CK$38*'Assumptions MH'!$Q27</f>
        <v>17011.154655880375</v>
      </c>
      <c r="CL64" s="1726">
        <f>'Cash Flow MH'!CL$38*'Assumptions MH'!$Q27</f>
        <v>21422.667446169304</v>
      </c>
      <c r="CM64" s="1726">
        <f>'Cash Flow MH'!CM$38*'Assumptions MH'!$Q27</f>
        <v>21192.112248669357</v>
      </c>
      <c r="CN64" s="1726">
        <f>'Cash Flow MH'!CN$38*'Assumptions MH'!$Q27</f>
        <v>21662.593258518922</v>
      </c>
      <c r="CO64" s="1726">
        <f>'Cash Flow MH'!CO$38*'Assumptions MH'!$Q27</f>
        <v>21929.278206593404</v>
      </c>
      <c r="CP64" s="1726">
        <f>'Cash Flow MH'!CP$38*'Assumptions MH'!$Q27</f>
        <v>19389.073064434127</v>
      </c>
      <c r="CQ64" s="1726">
        <f>'Cash Flow MH'!CQ$38*'Assumptions MH'!$Q27</f>
        <v>19273.705626084495</v>
      </c>
      <c r="CR64" s="1726">
        <f>'Cash Flow MH'!CR$38*'Assumptions MH'!$Q27</f>
        <v>20596.147176966962</v>
      </c>
      <c r="CS64" s="1726">
        <f>'Cash Flow MH'!CS$38*'Assumptions MH'!$Q27</f>
        <v>24034.049150653715</v>
      </c>
      <c r="CT64" s="1726">
        <f>'Cash Flow MH'!CT$38*'Assumptions MH'!$Q27</f>
        <v>18809.765082123198</v>
      </c>
      <c r="CU64" s="1726">
        <f>'Cash Flow MH'!CU$38*'Assumptions MH'!$Q27</f>
        <v>15587.999698654401</v>
      </c>
      <c r="CV64" s="1726">
        <f>'Cash Flow MH'!CV$38*'Assumptions MH'!$Q27</f>
        <v>14161.26384721752</v>
      </c>
      <c r="CW64" s="1726">
        <f>'Cash Flow MH'!CW$38*'Assumptions MH'!$Q27</f>
        <v>16917.300009503098</v>
      </c>
      <c r="CX64" s="1726">
        <f>'Cash Flow MH'!CX$38*'Assumptions MH'!$Q27</f>
        <v>22065.347469554377</v>
      </c>
      <c r="CY64" s="1726">
        <f>'Cash Flow MH'!CY$38*'Assumptions MH'!$Q27</f>
        <v>21827.87561612944</v>
      </c>
      <c r="CZ64" s="1726">
        <f>'Cash Flow MH'!CZ$38*'Assumptions MH'!$Q27</f>
        <v>22312.471056274488</v>
      </c>
      <c r="DA64" s="1726">
        <f>'Cash Flow MH'!DA$38*'Assumptions MH'!$Q27</f>
        <v>22587.15655279121</v>
      </c>
      <c r="DB64" s="1726">
        <f>'Cash Flow MH'!DB$38*'Assumptions MH'!$Q27</f>
        <v>19970.745256367147</v>
      </c>
      <c r="DC64" s="1726">
        <f>'Cash Flow MH'!DC$38*'Assumptions MH'!$Q27</f>
        <v>19851.916794867022</v>
      </c>
      <c r="DD64" s="1726">
        <f>'Cash Flow MH'!DD$38*'Assumptions MH'!$Q27</f>
        <v>21214.031592275966</v>
      </c>
      <c r="DE64" s="1726">
        <f>'Cash Flow MH'!DE$38*'Assumptions MH'!$Q27</f>
        <v>24755.070625173314</v>
      </c>
      <c r="DF64" s="1726">
        <f>'Cash Flow MH'!DF$38*'Assumptions MH'!$Q27</f>
        <v>19374.058034586891</v>
      </c>
      <c r="DG64" s="1726">
        <f>'Cash Flow MH'!DG$38*'Assumptions MH'!$Q27</f>
        <v>16055.63968961403</v>
      </c>
      <c r="DH64" s="1726">
        <f>'Cash Flow MH'!DH$38*'Assumptions MH'!$Q27</f>
        <v>14586.101762634047</v>
      </c>
      <c r="DI64" s="1726">
        <f>'Cash Flow MH'!DI$38*'Assumptions MH'!$Q27</f>
        <v>17424.819009788196</v>
      </c>
      <c r="DJ64" s="1726">
        <f>'Cash Flow MH'!DJ$38*'Assumptions MH'!$Q27</f>
        <v>22727.307893641009</v>
      </c>
      <c r="DK64" s="1726">
        <f>'Cash Flow MH'!DK$38*'Assumptions MH'!$Q27</f>
        <v>22482.711884613327</v>
      </c>
      <c r="DL64" s="1726">
        <f>'Cash Flow MH'!DL$38*'Assumptions MH'!$Q27</f>
        <v>22981.845187962721</v>
      </c>
      <c r="DM64" s="1726">
        <f>'Cash Flow MH'!DM$38*'Assumptions MH'!$Q27</f>
        <v>23264.771249374942</v>
      </c>
      <c r="DN64" s="1726">
        <f>'Cash Flow MH'!DN$38*'Assumptions MH'!$Q27</f>
        <v>20569.867614058163</v>
      </c>
      <c r="DO64" s="1726">
        <f>'Cash Flow MH'!DO$38*'Assumptions MH'!$Q27</f>
        <v>20447.474298713034</v>
      </c>
      <c r="DP64" s="1726">
        <f>'Cash Flow MH'!DP$38*'Assumptions MH'!$Q27</f>
        <v>21850.452540044251</v>
      </c>
      <c r="DQ64" s="1726">
        <f>'Cash Flow MH'!DQ$38*'Assumptions MH'!$Q27</f>
        <v>25497.72274392852</v>
      </c>
      <c r="DR64" s="1726">
        <f>'Cash Flow MH'!DR$38*'Assumptions MH'!$Q27</f>
        <v>19955.279775624498</v>
      </c>
      <c r="DS64" s="1726">
        <f>'Cash Flow MH'!DS$38*'Assumptions MH'!$Q27</f>
        <v>16537.308880302455</v>
      </c>
      <c r="DT64" s="1485" t="s">
        <v>65</v>
      </c>
    </row>
    <row r="65" spans="1:124">
      <c r="B65" s="1727" t="s">
        <v>1130</v>
      </c>
      <c r="C65" s="1742"/>
      <c r="D65" s="1729">
        <f t="shared" ref="D65:AI65" ca="1" si="28">SUM(D52:D64)</f>
        <v>138588.91944902067</v>
      </c>
      <c r="E65" s="1729">
        <f t="shared" ca="1" si="28"/>
        <v>148564.80189753033</v>
      </c>
      <c r="F65" s="1729">
        <f t="shared" ca="1" si="28"/>
        <v>165846.22220804112</v>
      </c>
      <c r="G65" s="1729">
        <f t="shared" ca="1" si="28"/>
        <v>172020.60180747689</v>
      </c>
      <c r="H65" s="1729">
        <f t="shared" ca="1" si="28"/>
        <v>180186.05105913902</v>
      </c>
      <c r="I65" s="1729">
        <f t="shared" ca="1" si="28"/>
        <v>187964.24126519333</v>
      </c>
      <c r="J65" s="1729">
        <f t="shared" ca="1" si="28"/>
        <v>185570.35329527405</v>
      </c>
      <c r="K65" s="1729">
        <f t="shared" ca="1" si="28"/>
        <v>191266.89889407592</v>
      </c>
      <c r="L65" s="1729">
        <f t="shared" ca="1" si="28"/>
        <v>198783.37522963661</v>
      </c>
      <c r="M65" s="1729">
        <f t="shared" ca="1" si="28"/>
        <v>215508.29545414678</v>
      </c>
      <c r="N65" s="1729">
        <f t="shared" ca="1" si="28"/>
        <v>195503.96625244178</v>
      </c>
      <c r="O65" s="1729">
        <f t="shared" ca="1" si="28"/>
        <v>183250.25645712667</v>
      </c>
      <c r="P65" s="1729">
        <f t="shared" ca="1" si="28"/>
        <v>181877.56741896592</v>
      </c>
      <c r="Q65" s="1729">
        <f t="shared" ca="1" si="28"/>
        <v>196222.02594738966</v>
      </c>
      <c r="R65" s="1729">
        <f t="shared" ca="1" si="28"/>
        <v>222542.57090976727</v>
      </c>
      <c r="S65" s="1729">
        <f t="shared" ca="1" si="28"/>
        <v>223769.87834380142</v>
      </c>
      <c r="T65" s="1729">
        <f t="shared" ca="1" si="28"/>
        <v>228537.33951532075</v>
      </c>
      <c r="U65" s="1729">
        <f t="shared" ca="1" si="28"/>
        <v>232342.73740770883</v>
      </c>
      <c r="V65" s="1729">
        <f t="shared" ca="1" si="28"/>
        <v>219046.60106205096</v>
      </c>
      <c r="W65" s="1729">
        <f t="shared" ca="1" si="28"/>
        <v>218442.73597860255</v>
      </c>
      <c r="X65" s="1729">
        <f t="shared" ca="1" si="28"/>
        <v>225364.76084890502</v>
      </c>
      <c r="Y65" s="1729">
        <f t="shared" ca="1" si="28"/>
        <v>243359.69071755695</v>
      </c>
      <c r="Z65" s="1729">
        <f t="shared" ca="1" si="28"/>
        <v>216014.34284357238</v>
      </c>
      <c r="AA65" s="1729">
        <f t="shared" ca="1" si="28"/>
        <v>199150.73167242555</v>
      </c>
      <c r="AB65" s="1729">
        <f t="shared" ca="1" si="28"/>
        <v>195209.56647104258</v>
      </c>
      <c r="AC65" s="1729">
        <f t="shared" ca="1" si="28"/>
        <v>209635.42207582388</v>
      </c>
      <c r="AD65" s="1729">
        <f t="shared" ca="1" si="28"/>
        <v>236581.72645365651</v>
      </c>
      <c r="AE65" s="1729">
        <f t="shared" ca="1" si="28"/>
        <v>235338.73308710108</v>
      </c>
      <c r="AF65" s="1729">
        <f t="shared" ca="1" si="28"/>
        <v>237875.23966198959</v>
      </c>
      <c r="AG65" s="1729">
        <f t="shared" ca="1" si="28"/>
        <v>239313.01952994012</v>
      </c>
      <c r="AH65" s="1729">
        <f t="shared" ca="1" si="28"/>
        <v>225617.99909391243</v>
      </c>
      <c r="AI65" s="1729">
        <f t="shared" ca="1" si="28"/>
        <v>224996.01805796067</v>
      </c>
      <c r="AJ65" s="1729">
        <f t="shared" ref="AJ65:CU65" ca="1" si="29">SUM(AJ52:AJ64)</f>
        <v>232125.70367437211</v>
      </c>
      <c r="AK65" s="1729">
        <f t="shared" ca="1" si="29"/>
        <v>250660.48143908367</v>
      </c>
      <c r="AL65" s="1729">
        <f t="shared" ca="1" si="29"/>
        <v>222494.77312887952</v>
      </c>
      <c r="AM65" s="1729">
        <f t="shared" ca="1" si="29"/>
        <v>205125.25362259828</v>
      </c>
      <c r="AN65" s="1729">
        <f t="shared" ca="1" si="29"/>
        <v>201065.85346517386</v>
      </c>
      <c r="AO65" s="1729">
        <f t="shared" ca="1" si="29"/>
        <v>219181.853397978</v>
      </c>
      <c r="AP65" s="1729">
        <f t="shared" ca="1" si="29"/>
        <v>243679.17824726622</v>
      </c>
      <c r="AQ65" s="1729">
        <f t="shared" ca="1" si="29"/>
        <v>242398.89507971407</v>
      </c>
      <c r="AR65" s="1729">
        <f t="shared" ca="1" si="29"/>
        <v>245011.49685184925</v>
      </c>
      <c r="AS65" s="1729">
        <f t="shared" ca="1" si="29"/>
        <v>246492.41011583834</v>
      </c>
      <c r="AT65" s="1729">
        <f t="shared" ca="1" si="29"/>
        <v>232386.53906672989</v>
      </c>
      <c r="AU65" s="1729">
        <f t="shared" ca="1" si="29"/>
        <v>231745.89859969949</v>
      </c>
      <c r="AV65" s="1729">
        <f t="shared" ca="1" si="29"/>
        <v>239089.47478460326</v>
      </c>
      <c r="AW65" s="1729">
        <f t="shared" ca="1" si="29"/>
        <v>258180.29588225615</v>
      </c>
      <c r="AX65" s="1729">
        <f t="shared" ca="1" si="29"/>
        <v>229169.61632274592</v>
      </c>
      <c r="AY65" s="1729">
        <f t="shared" ca="1" si="29"/>
        <v>211279.01123127626</v>
      </c>
      <c r="AZ65" s="1729">
        <f t="shared" ca="1" si="29"/>
        <v>207097.82906912907</v>
      </c>
      <c r="BA65" s="1729">
        <f t="shared" ca="1" si="29"/>
        <v>222402.21928024158</v>
      </c>
      <c r="BB65" s="1729">
        <f t="shared" ca="1" si="29"/>
        <v>250989.5535946842</v>
      </c>
      <c r="BC65" s="1729">
        <f t="shared" ca="1" si="29"/>
        <v>249670.86193210553</v>
      </c>
      <c r="BD65" s="1729">
        <f t="shared" ca="1" si="29"/>
        <v>252361.84175740473</v>
      </c>
      <c r="BE65" s="1729">
        <f t="shared" ca="1" si="29"/>
        <v>253887.18241931347</v>
      </c>
      <c r="BF65" s="1729">
        <f t="shared" ca="1" si="29"/>
        <v>239358.13523873175</v>
      </c>
      <c r="BG65" s="1729">
        <f t="shared" ca="1" si="29"/>
        <v>238698.27555769045</v>
      </c>
      <c r="BH65" s="1729">
        <f t="shared" ca="1" si="29"/>
        <v>246262.15902814141</v>
      </c>
      <c r="BI65" s="1729">
        <f t="shared" ca="1" si="29"/>
        <v>265925.70475872385</v>
      </c>
      <c r="BJ65" s="1729">
        <f t="shared" ca="1" si="29"/>
        <v>236044.70481242827</v>
      </c>
      <c r="BK65" s="1729">
        <f t="shared" ca="1" si="29"/>
        <v>217617.38156821451</v>
      </c>
      <c r="BL65" s="1729">
        <f t="shared" ca="1" si="29"/>
        <v>213310.76394120289</v>
      </c>
      <c r="BM65" s="1729">
        <f t="shared" ca="1" si="29"/>
        <v>229074.28585864877</v>
      </c>
      <c r="BN65" s="1729">
        <f t="shared" ca="1" si="29"/>
        <v>258519.2402025247</v>
      </c>
      <c r="BO65" s="1729">
        <f t="shared" ca="1" si="29"/>
        <v>257160.98779006867</v>
      </c>
      <c r="BP65" s="1729">
        <f t="shared" ca="1" si="29"/>
        <v>259932.69701012681</v>
      </c>
      <c r="BQ65" s="1729">
        <f t="shared" ca="1" si="29"/>
        <v>261503.79789189281</v>
      </c>
      <c r="BR65" s="1729">
        <f t="shared" ca="1" si="29"/>
        <v>246538.87929589365</v>
      </c>
      <c r="BS65" s="1729">
        <f t="shared" ca="1" si="29"/>
        <v>245859.22382442109</v>
      </c>
      <c r="BT65" s="1729">
        <f t="shared" ca="1" si="29"/>
        <v>253650.02379898558</v>
      </c>
      <c r="BU65" s="1729">
        <f t="shared" ca="1" si="29"/>
        <v>273903.47590148554</v>
      </c>
      <c r="BV65" s="1729">
        <f t="shared" ca="1" si="29"/>
        <v>243126.0459568011</v>
      </c>
      <c r="BW65" s="1729">
        <f t="shared" ca="1" si="29"/>
        <v>224145.90301526093</v>
      </c>
      <c r="BX65" s="1729">
        <f t="shared" ca="1" si="29"/>
        <v>219710.086859439</v>
      </c>
      <c r="BY65" s="1729">
        <f t="shared" ca="1" si="29"/>
        <v>235946.51443440831</v>
      </c>
      <c r="BZ65" s="1729">
        <f t="shared" ca="1" si="29"/>
        <v>266274.81740860047</v>
      </c>
      <c r="CA65" s="1729">
        <f t="shared" ca="1" si="29"/>
        <v>264875.81742377073</v>
      </c>
      <c r="CB65" s="1729">
        <f t="shared" ca="1" si="29"/>
        <v>267730.67792043067</v>
      </c>
      <c r="CC65" s="1729">
        <f t="shared" ca="1" si="29"/>
        <v>269348.91182864958</v>
      </c>
      <c r="CD65" s="1729">
        <f t="shared" ca="1" si="29"/>
        <v>253935.04567477052</v>
      </c>
      <c r="CE65" s="1729">
        <f t="shared" ca="1" si="29"/>
        <v>253235.00053915376</v>
      </c>
      <c r="CF65" s="1729">
        <f t="shared" ca="1" si="29"/>
        <v>261259.52451295522</v>
      </c>
      <c r="CG65" s="1729">
        <f t="shared" ca="1" si="29"/>
        <v>282120.58017853013</v>
      </c>
      <c r="CH65" s="1729">
        <f t="shared" ca="1" si="29"/>
        <v>250419.82733550514</v>
      </c>
      <c r="CI65" s="1729">
        <f t="shared" ca="1" si="29"/>
        <v>230870.28010571882</v>
      </c>
      <c r="CJ65" s="1729">
        <f t="shared" ca="1" si="29"/>
        <v>226301.38946522219</v>
      </c>
      <c r="CK65" s="1729">
        <f t="shared" ca="1" si="29"/>
        <v>246691.10699155272</v>
      </c>
      <c r="CL65" s="1729">
        <f t="shared" ca="1" si="29"/>
        <v>274263.06193085853</v>
      </c>
      <c r="CM65" s="1729">
        <f t="shared" ca="1" si="29"/>
        <v>272822.09194648388</v>
      </c>
      <c r="CN65" s="1729">
        <f t="shared" ca="1" si="29"/>
        <v>275762.59825804364</v>
      </c>
      <c r="CO65" s="1729">
        <f t="shared" ca="1" si="29"/>
        <v>277429.37918350915</v>
      </c>
      <c r="CP65" s="1729">
        <f t="shared" ca="1" si="29"/>
        <v>261553.09704501365</v>
      </c>
      <c r="CQ65" s="1729">
        <f t="shared" ca="1" si="29"/>
        <v>260832.05055532846</v>
      </c>
      <c r="CR65" s="1729">
        <f t="shared" ca="1" si="29"/>
        <v>269097.31024834386</v>
      </c>
      <c r="CS65" s="1729">
        <f t="shared" ca="1" si="29"/>
        <v>290584.1975838861</v>
      </c>
      <c r="CT65" s="1729">
        <f t="shared" ca="1" si="29"/>
        <v>257932.42215557036</v>
      </c>
      <c r="CU65" s="1729">
        <f t="shared" ca="1" si="29"/>
        <v>237796.38850889038</v>
      </c>
      <c r="CV65" s="1729">
        <f t="shared" ref="CV65:DS65" ca="1" si="30">SUM(CV52:CV64)</f>
        <v>233090.43114917882</v>
      </c>
      <c r="CW65" s="1729">
        <f t="shared" ca="1" si="30"/>
        <v>250315.65716346368</v>
      </c>
      <c r="CX65" s="1729">
        <f t="shared" ca="1" si="30"/>
        <v>282490.95378878422</v>
      </c>
      <c r="CY65" s="1729">
        <f t="shared" ca="1" si="30"/>
        <v>281006.75470487832</v>
      </c>
      <c r="CZ65" s="1729">
        <f t="shared" ca="1" si="30"/>
        <v>284035.47620578489</v>
      </c>
      <c r="DA65" s="1729">
        <f t="shared" ca="1" si="30"/>
        <v>285752.26055901434</v>
      </c>
      <c r="DB65" s="1729">
        <f t="shared" ca="1" si="30"/>
        <v>269399.68995636399</v>
      </c>
      <c r="DC65" s="1729">
        <f t="shared" ca="1" si="30"/>
        <v>268657.0120719882</v>
      </c>
      <c r="DD65" s="1729">
        <f t="shared" ca="1" si="30"/>
        <v>277170.2295557941</v>
      </c>
      <c r="DE65" s="1729">
        <f t="shared" ca="1" si="30"/>
        <v>299301.72351140255</v>
      </c>
      <c r="DF65" s="1729">
        <f t="shared" ca="1" si="30"/>
        <v>265670.39482023742</v>
      </c>
      <c r="DG65" s="1729">
        <f t="shared" ca="1" si="30"/>
        <v>244930.28016415701</v>
      </c>
      <c r="DH65" s="1729">
        <f t="shared" ca="1" si="30"/>
        <v>240083.14408365422</v>
      </c>
      <c r="DI65" s="1729">
        <f t="shared" ca="1" si="30"/>
        <v>257825.12687836768</v>
      </c>
      <c r="DJ65" s="1729">
        <f t="shared" ca="1" si="30"/>
        <v>290965.68240244774</v>
      </c>
      <c r="DK65" s="1729">
        <f t="shared" ca="1" si="30"/>
        <v>289436.95734602469</v>
      </c>
      <c r="DL65" s="1729">
        <f t="shared" ca="1" si="30"/>
        <v>292556.54049195838</v>
      </c>
      <c r="DM65" s="1729">
        <f t="shared" ca="1" si="30"/>
        <v>294324.8283757848</v>
      </c>
      <c r="DN65" s="1729">
        <f t="shared" ca="1" si="30"/>
        <v>277481.68065505492</v>
      </c>
      <c r="DO65" s="1729">
        <f t="shared" ca="1" si="30"/>
        <v>276716.7224341479</v>
      </c>
      <c r="DP65" s="1729">
        <f t="shared" ca="1" si="30"/>
        <v>285485.33644246799</v>
      </c>
      <c r="DQ65" s="1729">
        <f t="shared" ca="1" si="30"/>
        <v>308280.77521674475</v>
      </c>
      <c r="DR65" s="1729">
        <f t="shared" ca="1" si="30"/>
        <v>273640.50666484452</v>
      </c>
      <c r="DS65" s="1729">
        <f t="shared" ca="1" si="30"/>
        <v>252278.18856908177</v>
      </c>
      <c r="DT65" s="1485" t="s">
        <v>65</v>
      </c>
    </row>
    <row r="66" spans="1:124">
      <c r="B66" s="1795" t="s">
        <v>1099</v>
      </c>
      <c r="C66" s="1578"/>
      <c r="D66" s="1796">
        <f t="shared" ref="D66:BO66" ca="1" si="31">D65/D38</f>
        <v>0.70841254470721027</v>
      </c>
      <c r="E66" s="1796">
        <f t="shared" ca="1" si="31"/>
        <v>0.53937239740878984</v>
      </c>
      <c r="F66" s="1796">
        <f t="shared" ca="1" si="31"/>
        <v>0.40089348278681541</v>
      </c>
      <c r="G66" s="1796">
        <f t="shared" ca="1" si="31"/>
        <v>0.37146535662330077</v>
      </c>
      <c r="H66" s="1796">
        <f t="shared" ca="1" si="31"/>
        <v>0.34099659332429905</v>
      </c>
      <c r="I66" s="1796">
        <f t="shared" ca="1" si="31"/>
        <v>0.31824060007107047</v>
      </c>
      <c r="J66" s="1796">
        <f t="shared" ca="1" si="31"/>
        <v>0.3247163146917898</v>
      </c>
      <c r="K66" s="1796">
        <f t="shared" ca="1" si="31"/>
        <v>0.30996638693485656</v>
      </c>
      <c r="L66" s="1796">
        <f t="shared" ca="1" si="31"/>
        <v>0.29354206749465928</v>
      </c>
      <c r="M66" s="1796">
        <f t="shared" ca="1" si="31"/>
        <v>0.26573546745206433</v>
      </c>
      <c r="N66" s="1796">
        <f t="shared" ca="1" si="31"/>
        <v>0.30033479131483143</v>
      </c>
      <c r="O66" s="1796">
        <f t="shared" ca="1" si="31"/>
        <v>0.33142047494611682</v>
      </c>
      <c r="P66" s="1796">
        <f t="shared" ca="1" si="31"/>
        <v>0.35346924827694953</v>
      </c>
      <c r="Q66" s="1796">
        <f t="shared" ca="1" si="31"/>
        <v>0.31180722834002828</v>
      </c>
      <c r="R66" s="1796">
        <f t="shared" ca="1" si="31"/>
        <v>0.26497266149397852</v>
      </c>
      <c r="S66" s="1796">
        <f t="shared" ca="1" si="31"/>
        <v>0.26335522630289737</v>
      </c>
      <c r="T66" s="1796">
        <f t="shared" ca="1" si="31"/>
        <v>0.25741170471987679</v>
      </c>
      <c r="U66" s="1796">
        <f t="shared" ca="1" si="31"/>
        <v>0.25302189754708421</v>
      </c>
      <c r="V66" s="1796">
        <f t="shared" ca="1" si="31"/>
        <v>0.26979432815154758</v>
      </c>
      <c r="W66" s="1796">
        <f t="shared" ca="1" si="31"/>
        <v>0.27066102971119954</v>
      </c>
      <c r="X66" s="1796">
        <f t="shared" ca="1" si="31"/>
        <v>0.26130839708630577</v>
      </c>
      <c r="Y66" s="1796">
        <f t="shared" ca="1" si="31"/>
        <v>0.24181043798521346</v>
      </c>
      <c r="Z66" s="1796">
        <f t="shared" ca="1" si="31"/>
        <v>0.27425374110675027</v>
      </c>
      <c r="AA66" s="1796">
        <f t="shared" ca="1" si="31"/>
        <v>0.30510186439048692</v>
      </c>
      <c r="AB66" s="1796">
        <f t="shared" ca="1" si="31"/>
        <v>0.32919439064752354</v>
      </c>
      <c r="AC66" s="1796">
        <f t="shared" ca="1" si="31"/>
        <v>0.29592861393112579</v>
      </c>
      <c r="AD66" s="1796">
        <f t="shared" ca="1" si="31"/>
        <v>0.25604940432373735</v>
      </c>
      <c r="AE66" s="1796">
        <f t="shared" ca="1" si="31"/>
        <v>0.25747512918502419</v>
      </c>
      <c r="AF66" s="1796">
        <f t="shared" ca="1" si="31"/>
        <v>0.25459795599457935</v>
      </c>
      <c r="AG66" s="1796">
        <f t="shared" ca="1" si="31"/>
        <v>0.25302189754708415</v>
      </c>
      <c r="AH66" s="1796">
        <f t="shared" ca="1" si="31"/>
        <v>0.26979432815154758</v>
      </c>
      <c r="AI66" s="1796">
        <f t="shared" ca="1" si="31"/>
        <v>0.27066102971119949</v>
      </c>
      <c r="AJ66" s="1796">
        <f t="shared" ca="1" si="31"/>
        <v>0.26130839708630571</v>
      </c>
      <c r="AK66" s="1796">
        <f t="shared" ca="1" si="31"/>
        <v>0.24181043798521346</v>
      </c>
      <c r="AL66" s="1796">
        <f t="shared" ca="1" si="31"/>
        <v>0.27425374110675027</v>
      </c>
      <c r="AM66" s="1796">
        <f t="shared" ca="1" si="31"/>
        <v>0.30510186439048698</v>
      </c>
      <c r="AN66" s="1796">
        <f t="shared" ca="1" si="31"/>
        <v>0.32919439064752359</v>
      </c>
      <c r="AO66" s="1796">
        <f t="shared" ca="1" si="31"/>
        <v>0.29003452379556977</v>
      </c>
      <c r="AP66" s="1796">
        <f t="shared" ca="1" si="31"/>
        <v>0.25604940432373735</v>
      </c>
      <c r="AQ66" s="1796">
        <f t="shared" ca="1" si="31"/>
        <v>0.25747512918502419</v>
      </c>
      <c r="AR66" s="1796">
        <f t="shared" ca="1" si="31"/>
        <v>0.25459795599457941</v>
      </c>
      <c r="AS66" s="1796">
        <f t="shared" ca="1" si="31"/>
        <v>0.25302189754708421</v>
      </c>
      <c r="AT66" s="1796">
        <f t="shared" ca="1" si="31"/>
        <v>0.26979432815154764</v>
      </c>
      <c r="AU66" s="1796">
        <f t="shared" ca="1" si="31"/>
        <v>0.27066102971119954</v>
      </c>
      <c r="AV66" s="1796">
        <f t="shared" ca="1" si="31"/>
        <v>0.26130839708630571</v>
      </c>
      <c r="AW66" s="1796">
        <f t="shared" ca="1" si="31"/>
        <v>0.24181043798521346</v>
      </c>
      <c r="AX66" s="1796">
        <f t="shared" ca="1" si="31"/>
        <v>0.27425374110675033</v>
      </c>
      <c r="AY66" s="1796">
        <f t="shared" ca="1" si="31"/>
        <v>0.30510186439048703</v>
      </c>
      <c r="AZ66" s="1796">
        <f t="shared" ca="1" si="31"/>
        <v>0.32919439064752359</v>
      </c>
      <c r="BA66" s="1796">
        <f t="shared" ca="1" si="31"/>
        <v>0.29592861393112585</v>
      </c>
      <c r="BB66" s="1796">
        <f t="shared" ca="1" si="31"/>
        <v>0.25604940432373735</v>
      </c>
      <c r="BC66" s="1796">
        <f t="shared" ca="1" si="31"/>
        <v>0.25747512918502419</v>
      </c>
      <c r="BD66" s="1796">
        <f t="shared" ca="1" si="31"/>
        <v>0.25459795599457935</v>
      </c>
      <c r="BE66" s="1796">
        <f t="shared" ca="1" si="31"/>
        <v>0.25302189754708421</v>
      </c>
      <c r="BF66" s="1796">
        <f t="shared" ca="1" si="31"/>
        <v>0.26979432815154758</v>
      </c>
      <c r="BG66" s="1796">
        <f t="shared" ca="1" si="31"/>
        <v>0.27066102971119954</v>
      </c>
      <c r="BH66" s="1796">
        <f t="shared" ca="1" si="31"/>
        <v>0.26130839708630577</v>
      </c>
      <c r="BI66" s="1796">
        <f t="shared" ca="1" si="31"/>
        <v>0.24181043798521348</v>
      </c>
      <c r="BJ66" s="1796">
        <f t="shared" ca="1" si="31"/>
        <v>0.27425374110675027</v>
      </c>
      <c r="BK66" s="1796">
        <f t="shared" ca="1" si="31"/>
        <v>0.30510186439048698</v>
      </c>
      <c r="BL66" s="1796">
        <f t="shared" ca="1" si="31"/>
        <v>0.32919439064752348</v>
      </c>
      <c r="BM66" s="1796">
        <f t="shared" ca="1" si="31"/>
        <v>0.29592861393112579</v>
      </c>
      <c r="BN66" s="1796">
        <f t="shared" ca="1" si="31"/>
        <v>0.25604940432373735</v>
      </c>
      <c r="BO66" s="1796">
        <f t="shared" ca="1" si="31"/>
        <v>0.25747512918502419</v>
      </c>
      <c r="BP66" s="1796">
        <f t="shared" ref="BP66:DS66" ca="1" si="32">BP65/BP38</f>
        <v>0.25459795599457935</v>
      </c>
      <c r="BQ66" s="1796">
        <f t="shared" ca="1" si="32"/>
        <v>0.25302189754708415</v>
      </c>
      <c r="BR66" s="1796">
        <f t="shared" ca="1" si="32"/>
        <v>0.26979432815154758</v>
      </c>
      <c r="BS66" s="1796">
        <f t="shared" ca="1" si="32"/>
        <v>0.27066102971119954</v>
      </c>
      <c r="BT66" s="1796">
        <f t="shared" ca="1" si="32"/>
        <v>0.26130839708630571</v>
      </c>
      <c r="BU66" s="1796">
        <f t="shared" ca="1" si="32"/>
        <v>0.24181043798521346</v>
      </c>
      <c r="BV66" s="1796">
        <f t="shared" ca="1" si="32"/>
        <v>0.27425374110675022</v>
      </c>
      <c r="BW66" s="1796">
        <f t="shared" ca="1" si="32"/>
        <v>0.30510186439048698</v>
      </c>
      <c r="BX66" s="1796">
        <f t="shared" ca="1" si="32"/>
        <v>0.32919439064752359</v>
      </c>
      <c r="BY66" s="1796">
        <f t="shared" ca="1" si="32"/>
        <v>0.29592861393112585</v>
      </c>
      <c r="BZ66" s="1796">
        <f t="shared" ca="1" si="32"/>
        <v>0.25604940432373735</v>
      </c>
      <c r="CA66" s="1796">
        <f t="shared" ca="1" si="32"/>
        <v>0.25747512918502419</v>
      </c>
      <c r="CB66" s="1796">
        <f t="shared" ca="1" si="32"/>
        <v>0.25459795599457941</v>
      </c>
      <c r="CC66" s="1796">
        <f t="shared" ca="1" si="32"/>
        <v>0.25302189754708415</v>
      </c>
      <c r="CD66" s="1796">
        <f t="shared" ca="1" si="32"/>
        <v>0.26979432815154758</v>
      </c>
      <c r="CE66" s="1796">
        <f t="shared" ca="1" si="32"/>
        <v>0.27066102971119949</v>
      </c>
      <c r="CF66" s="1796">
        <f t="shared" ca="1" si="32"/>
        <v>0.26130839708630571</v>
      </c>
      <c r="CG66" s="1796">
        <f t="shared" ca="1" si="32"/>
        <v>0.24181043798521343</v>
      </c>
      <c r="CH66" s="1796">
        <f t="shared" ca="1" si="32"/>
        <v>0.27425374110675027</v>
      </c>
      <c r="CI66" s="1796">
        <f t="shared" ca="1" si="32"/>
        <v>0.30510186439048698</v>
      </c>
      <c r="CJ66" s="1796">
        <f t="shared" ca="1" si="32"/>
        <v>0.32919439064752354</v>
      </c>
      <c r="CK66" s="1796">
        <f t="shared" ca="1" si="32"/>
        <v>0.29003452379556982</v>
      </c>
      <c r="CL66" s="1796">
        <f t="shared" ca="1" si="32"/>
        <v>0.25604940432373741</v>
      </c>
      <c r="CM66" s="1796">
        <f t="shared" ca="1" si="32"/>
        <v>0.2574751291850243</v>
      </c>
      <c r="CN66" s="1796">
        <f t="shared" ca="1" si="32"/>
        <v>0.25459795599457941</v>
      </c>
      <c r="CO66" s="1796">
        <f t="shared" ca="1" si="32"/>
        <v>0.25302189754708421</v>
      </c>
      <c r="CP66" s="1796">
        <f t="shared" ca="1" si="32"/>
        <v>0.26979432815154758</v>
      </c>
      <c r="CQ66" s="1796">
        <f t="shared" ca="1" si="32"/>
        <v>0.2706610297111996</v>
      </c>
      <c r="CR66" s="1796">
        <f t="shared" ca="1" si="32"/>
        <v>0.26130839708630571</v>
      </c>
      <c r="CS66" s="1796">
        <f t="shared" ca="1" si="32"/>
        <v>0.24181043798521346</v>
      </c>
      <c r="CT66" s="1796">
        <f t="shared" ca="1" si="32"/>
        <v>0.27425374110675027</v>
      </c>
      <c r="CU66" s="1796">
        <f t="shared" ca="1" si="32"/>
        <v>0.30510186439048703</v>
      </c>
      <c r="CV66" s="1796">
        <f t="shared" ca="1" si="32"/>
        <v>0.32919439064752354</v>
      </c>
      <c r="CW66" s="1796">
        <f t="shared" ca="1" si="32"/>
        <v>0.29592861393112579</v>
      </c>
      <c r="CX66" s="1796">
        <f t="shared" ca="1" si="32"/>
        <v>0.25604940432373741</v>
      </c>
      <c r="CY66" s="1796">
        <f t="shared" ca="1" si="32"/>
        <v>0.25747512918502413</v>
      </c>
      <c r="CZ66" s="1796">
        <f t="shared" ca="1" si="32"/>
        <v>0.25459795599457935</v>
      </c>
      <c r="DA66" s="1796">
        <f t="shared" ca="1" si="32"/>
        <v>0.2530218975470841</v>
      </c>
      <c r="DB66" s="1796">
        <f t="shared" ca="1" si="32"/>
        <v>0.26979432815154758</v>
      </c>
      <c r="DC66" s="1796">
        <f t="shared" ca="1" si="32"/>
        <v>0.27066102971119954</v>
      </c>
      <c r="DD66" s="1796">
        <f t="shared" ca="1" si="32"/>
        <v>0.26130839708630571</v>
      </c>
      <c r="DE66" s="1796">
        <f t="shared" ca="1" si="32"/>
        <v>0.24181043798521346</v>
      </c>
      <c r="DF66" s="1796">
        <f t="shared" ca="1" si="32"/>
        <v>0.27425374110675027</v>
      </c>
      <c r="DG66" s="1796">
        <f t="shared" ca="1" si="32"/>
        <v>0.30510186439048698</v>
      </c>
      <c r="DH66" s="1796">
        <f t="shared" ca="1" si="32"/>
        <v>0.32919439064752354</v>
      </c>
      <c r="DI66" s="1796">
        <f t="shared" ca="1" si="32"/>
        <v>0.29592861393112585</v>
      </c>
      <c r="DJ66" s="1796">
        <f t="shared" ca="1" si="32"/>
        <v>0.25604940432373735</v>
      </c>
      <c r="DK66" s="1796">
        <f t="shared" ca="1" si="32"/>
        <v>0.25747512918502413</v>
      </c>
      <c r="DL66" s="1796">
        <f t="shared" ca="1" si="32"/>
        <v>0.25459795599457935</v>
      </c>
      <c r="DM66" s="1796">
        <f t="shared" ca="1" si="32"/>
        <v>0.25302189754708415</v>
      </c>
      <c r="DN66" s="1796">
        <f t="shared" ca="1" si="32"/>
        <v>0.26979432815154758</v>
      </c>
      <c r="DO66" s="1796">
        <f t="shared" ca="1" si="32"/>
        <v>0.27066102971119954</v>
      </c>
      <c r="DP66" s="1796">
        <f t="shared" ca="1" si="32"/>
        <v>0.26130839708630571</v>
      </c>
      <c r="DQ66" s="1796">
        <f t="shared" ca="1" si="32"/>
        <v>0.24181043798521348</v>
      </c>
      <c r="DR66" s="1796">
        <f t="shared" ca="1" si="32"/>
        <v>0.27425374110675027</v>
      </c>
      <c r="DS66" s="1796">
        <f t="shared" ca="1" si="32"/>
        <v>0.30510186439048698</v>
      </c>
      <c r="DT66" s="1485" t="s">
        <v>65</v>
      </c>
    </row>
    <row r="67" spans="1:124">
      <c r="B67" s="1578"/>
      <c r="DT67" s="1485" t="s">
        <v>65</v>
      </c>
    </row>
    <row r="68" spans="1:124">
      <c r="A68" s="1487" t="s">
        <v>65</v>
      </c>
      <c r="B68" s="1727" t="s">
        <v>1131</v>
      </c>
      <c r="C68" s="1742"/>
      <c r="D68" s="1729">
        <f t="shared" ref="D68:BO68" ca="1" si="33">D48-D65</f>
        <v>4126.5191989892337</v>
      </c>
      <c r="E68" s="1729">
        <f t="shared" ca="1" si="33"/>
        <v>69896.521531986655</v>
      </c>
      <c r="F68" s="1729">
        <f t="shared" ca="1" si="33"/>
        <v>183301.84981579776</v>
      </c>
      <c r="G68" s="1729">
        <f t="shared" ca="1" si="33"/>
        <v>223968.98732375802</v>
      </c>
      <c r="H68" s="1729">
        <f t="shared" ca="1" si="33"/>
        <v>276993.61503169552</v>
      </c>
      <c r="I68" s="1729">
        <f t="shared" ca="1" si="33"/>
        <v>329448.63352809346</v>
      </c>
      <c r="J68" s="1729">
        <f t="shared" ca="1" si="33"/>
        <v>309576.99178470916</v>
      </c>
      <c r="K68" s="1729">
        <f t="shared" ca="1" si="33"/>
        <v>346824.76281736628</v>
      </c>
      <c r="L68" s="1729">
        <f t="shared" ca="1" si="33"/>
        <v>398136.10277676146</v>
      </c>
      <c r="M68" s="1729">
        <f t="shared" ca="1" si="33"/>
        <v>510580.77730069309</v>
      </c>
      <c r="N68" s="1729">
        <f t="shared" ca="1" si="33"/>
        <v>375877.72819905321</v>
      </c>
      <c r="O68" s="1729">
        <f t="shared" ca="1" si="33"/>
        <v>293709.64322287857</v>
      </c>
      <c r="P68" s="1729">
        <f t="shared" ca="1" si="33"/>
        <v>256155.66895828012</v>
      </c>
      <c r="Q68" s="1729">
        <f t="shared" ca="1" si="33"/>
        <v>352040.11159860122</v>
      </c>
      <c r="R68" s="1729">
        <f t="shared" ca="1" si="33"/>
        <v>525461.5177361425</v>
      </c>
      <c r="S68" s="1729">
        <f t="shared" ca="1" si="33"/>
        <v>534325.56625604234</v>
      </c>
      <c r="T68" s="1729">
        <f t="shared" ca="1" si="33"/>
        <v>565072.84514035587</v>
      </c>
      <c r="U68" s="1729">
        <f t="shared" ca="1" si="33"/>
        <v>592636.79682389903</v>
      </c>
      <c r="V68" s="1729">
        <f t="shared" ca="1" si="33"/>
        <v>499704.28707507026</v>
      </c>
      <c r="W68" s="1729">
        <f t="shared" ca="1" si="33"/>
        <v>496231.53463154414</v>
      </c>
      <c r="X68" s="1729">
        <f t="shared" ca="1" si="33"/>
        <v>544392.86664417014</v>
      </c>
      <c r="Y68" s="1729">
        <f t="shared" ca="1" si="33"/>
        <v>665952.36491093575</v>
      </c>
      <c r="Z68" s="1729">
        <f t="shared" ca="1" si="33"/>
        <v>482397.6969390217</v>
      </c>
      <c r="AA68" s="1729">
        <f t="shared" ca="1" si="33"/>
        <v>369802.44035740662</v>
      </c>
      <c r="AB68" s="1729">
        <f t="shared" ca="1" si="33"/>
        <v>314539.91088622349</v>
      </c>
      <c r="AC68" s="1729">
        <f t="shared" ca="1" si="33"/>
        <v>411393.53006402869</v>
      </c>
      <c r="AD68" s="1729">
        <f t="shared" ca="1" si="33"/>
        <v>589151.60167129198</v>
      </c>
      <c r="AE68" s="1729">
        <f t="shared" ca="1" si="33"/>
        <v>582002.31412505195</v>
      </c>
      <c r="AF68" s="1729">
        <f t="shared" ca="1" si="33"/>
        <v>598192.56373953854</v>
      </c>
      <c r="AG68" s="1729">
        <f t="shared" ca="1" si="33"/>
        <v>610415.9007286164</v>
      </c>
      <c r="AH68" s="1729">
        <f t="shared" ca="1" si="33"/>
        <v>514695.41568732215</v>
      </c>
      <c r="AI68" s="1729">
        <f t="shared" ca="1" si="33"/>
        <v>511118.48067049065</v>
      </c>
      <c r="AJ68" s="1729">
        <f t="shared" ca="1" si="33"/>
        <v>560724.65264349524</v>
      </c>
      <c r="AK68" s="1729">
        <f t="shared" ca="1" si="33"/>
        <v>685930.93585826387</v>
      </c>
      <c r="AL68" s="1729">
        <f t="shared" ca="1" si="33"/>
        <v>496869.62784719234</v>
      </c>
      <c r="AM68" s="1729">
        <f t="shared" ca="1" si="33"/>
        <v>380896.51356812858</v>
      </c>
      <c r="AN68" s="1729">
        <f t="shared" ca="1" si="33"/>
        <v>323976.10821281013</v>
      </c>
      <c r="AO68" s="1729">
        <f t="shared" ca="1" si="33"/>
        <v>444851.29460922407</v>
      </c>
      <c r="AP68" s="1729">
        <f t="shared" ca="1" si="33"/>
        <v>606826.14972143061</v>
      </c>
      <c r="AQ68" s="1729">
        <f t="shared" ca="1" si="33"/>
        <v>599462.38354880363</v>
      </c>
      <c r="AR68" s="1729">
        <f t="shared" ca="1" si="33"/>
        <v>616138.3406517246</v>
      </c>
      <c r="AS68" s="1729">
        <f t="shared" ca="1" si="33"/>
        <v>628728.37775047473</v>
      </c>
      <c r="AT68" s="1729">
        <f t="shared" ca="1" si="33"/>
        <v>530136.278157942</v>
      </c>
      <c r="AU68" s="1729">
        <f t="shared" ca="1" si="33"/>
        <v>526452.03509060515</v>
      </c>
      <c r="AV68" s="1729">
        <f t="shared" ca="1" si="33"/>
        <v>577546.39222279994</v>
      </c>
      <c r="AW68" s="1729">
        <f t="shared" ca="1" si="33"/>
        <v>706508.86393401178</v>
      </c>
      <c r="AX68" s="1729">
        <f t="shared" ca="1" si="33"/>
        <v>511775.71668260801</v>
      </c>
      <c r="AY68" s="1729">
        <f t="shared" ca="1" si="33"/>
        <v>392323.40897517238</v>
      </c>
      <c r="AZ68" s="1729">
        <f t="shared" ca="1" si="33"/>
        <v>333695.39145919436</v>
      </c>
      <c r="BA68" s="1729">
        <f t="shared" ca="1" si="33"/>
        <v>436447.39604492806</v>
      </c>
      <c r="BB68" s="1729">
        <f t="shared" ca="1" si="33"/>
        <v>625030.93421307369</v>
      </c>
      <c r="BC68" s="1729">
        <f t="shared" ca="1" si="33"/>
        <v>617446.25505526771</v>
      </c>
      <c r="BD68" s="1729">
        <f t="shared" ca="1" si="33"/>
        <v>634622.49087127647</v>
      </c>
      <c r="BE68" s="1729">
        <f t="shared" ca="1" si="33"/>
        <v>647590.22908298892</v>
      </c>
      <c r="BF68" s="1729">
        <f t="shared" ca="1" si="33"/>
        <v>546040.36650268023</v>
      </c>
      <c r="BG68" s="1729">
        <f t="shared" ca="1" si="33"/>
        <v>542245.59614332335</v>
      </c>
      <c r="BH68" s="1729">
        <f t="shared" ca="1" si="33"/>
        <v>594872.78398948407</v>
      </c>
      <c r="BI68" s="1729">
        <f t="shared" ca="1" si="33"/>
        <v>727704.12985203194</v>
      </c>
      <c r="BJ68" s="1729">
        <f t="shared" ca="1" si="33"/>
        <v>527128.98818308627</v>
      </c>
      <c r="BK68" s="1729">
        <f t="shared" ca="1" si="33"/>
        <v>404093.11124442762</v>
      </c>
      <c r="BL68" s="1729">
        <f t="shared" ca="1" si="33"/>
        <v>343706.25320297037</v>
      </c>
      <c r="BM68" s="1729">
        <f t="shared" ca="1" si="33"/>
        <v>449540.81792627583</v>
      </c>
      <c r="BN68" s="1729">
        <f t="shared" ca="1" si="33"/>
        <v>643781.86223946582</v>
      </c>
      <c r="BO68" s="1729">
        <f t="shared" ca="1" si="33"/>
        <v>635969.64270692575</v>
      </c>
      <c r="BP68" s="1729">
        <f t="shared" ref="BP68:DS68" ca="1" si="34">BP48-BP65</f>
        <v>653661.16559741471</v>
      </c>
      <c r="BQ68" s="1729">
        <f t="shared" ca="1" si="34"/>
        <v>667017.93595547858</v>
      </c>
      <c r="BR68" s="1729">
        <f t="shared" ca="1" si="34"/>
        <v>562421.57749776053</v>
      </c>
      <c r="BS68" s="1729">
        <f t="shared" ca="1" si="34"/>
        <v>558512.96402762295</v>
      </c>
      <c r="BT68" s="1729">
        <f t="shared" ca="1" si="34"/>
        <v>612718.96750916867</v>
      </c>
      <c r="BU68" s="1729">
        <f t="shared" ca="1" si="34"/>
        <v>749535.25374759303</v>
      </c>
      <c r="BV68" s="1729">
        <f t="shared" ca="1" si="34"/>
        <v>542942.85782857891</v>
      </c>
      <c r="BW68" s="1729">
        <f t="shared" ca="1" si="34"/>
        <v>416215.90458176041</v>
      </c>
      <c r="BX68" s="1729">
        <f t="shared" ca="1" si="34"/>
        <v>354017.44079905923</v>
      </c>
      <c r="BY68" s="1729">
        <f t="shared" ca="1" si="34"/>
        <v>463027.0424640642</v>
      </c>
      <c r="BZ68" s="1729">
        <f t="shared" ca="1" si="34"/>
        <v>663095.31810664991</v>
      </c>
      <c r="CA68" s="1729">
        <f t="shared" ca="1" si="34"/>
        <v>655048.7319881334</v>
      </c>
      <c r="CB68" s="1729">
        <f t="shared" ca="1" si="34"/>
        <v>673271.0005653369</v>
      </c>
      <c r="CC68" s="1729">
        <f t="shared" ca="1" si="34"/>
        <v>687028.4740341428</v>
      </c>
      <c r="CD68" s="1729">
        <f t="shared" ca="1" si="34"/>
        <v>579294.2248226935</v>
      </c>
      <c r="CE68" s="1729">
        <f t="shared" ca="1" si="34"/>
        <v>575268.35294845188</v>
      </c>
      <c r="CF68" s="1729">
        <f t="shared" ca="1" si="34"/>
        <v>631100.53653444373</v>
      </c>
      <c r="CG68" s="1729">
        <f t="shared" ca="1" si="34"/>
        <v>772021.31136002089</v>
      </c>
      <c r="CH68" s="1729">
        <f t="shared" ca="1" si="34"/>
        <v>559231.14356343623</v>
      </c>
      <c r="CI68" s="1729">
        <f t="shared" ca="1" si="34"/>
        <v>428702.38171921327</v>
      </c>
      <c r="CJ68" s="1729">
        <f t="shared" ca="1" si="34"/>
        <v>364637.96402303124</v>
      </c>
      <c r="CK68" s="1729">
        <f t="shared" ca="1" si="34"/>
        <v>500684.05122258724</v>
      </c>
      <c r="CL68" s="1729">
        <f t="shared" ca="1" si="34"/>
        <v>682988.17764984933</v>
      </c>
      <c r="CM68" s="1729">
        <f t="shared" ca="1" si="34"/>
        <v>674700.19394777715</v>
      </c>
      <c r="CN68" s="1729">
        <f t="shared" ca="1" si="34"/>
        <v>693469.13058229722</v>
      </c>
      <c r="CO68" s="1729">
        <f t="shared" ca="1" si="34"/>
        <v>707639.32825516711</v>
      </c>
      <c r="CP68" s="1729">
        <f t="shared" ca="1" si="34"/>
        <v>596673.05156737426</v>
      </c>
      <c r="CQ68" s="1729">
        <f t="shared" ca="1" si="34"/>
        <v>592526.40353690519</v>
      </c>
      <c r="CR68" s="1729">
        <f t="shared" ca="1" si="34"/>
        <v>650033.552630477</v>
      </c>
      <c r="CS68" s="1729">
        <f t="shared" ca="1" si="34"/>
        <v>795181.95070082159</v>
      </c>
      <c r="CT68" s="1729">
        <f t="shared" ca="1" si="34"/>
        <v>576008.0778703395</v>
      </c>
      <c r="CU68" s="1729">
        <f t="shared" ca="1" si="34"/>
        <v>441563.45317078964</v>
      </c>
      <c r="CV68" s="1729">
        <f t="shared" ca="1" si="34"/>
        <v>375577.1029437221</v>
      </c>
      <c r="CW68" s="1729">
        <f t="shared" ca="1" si="34"/>
        <v>491225.38935012568</v>
      </c>
      <c r="CX68" s="1729">
        <f t="shared" ca="1" si="34"/>
        <v>703477.82297934452</v>
      </c>
      <c r="CY68" s="1729">
        <f t="shared" ca="1" si="34"/>
        <v>694941.19976621075</v>
      </c>
      <c r="CZ68" s="1729">
        <f t="shared" ca="1" si="34"/>
        <v>714273.20449976623</v>
      </c>
      <c r="DA68" s="1729">
        <f t="shared" ca="1" si="34"/>
        <v>728868.50810282235</v>
      </c>
      <c r="DB68" s="1729">
        <f t="shared" ca="1" si="34"/>
        <v>614573.24311439542</v>
      </c>
      <c r="DC68" s="1729">
        <f t="shared" ca="1" si="34"/>
        <v>610302.1956430123</v>
      </c>
      <c r="DD68" s="1729">
        <f t="shared" ca="1" si="34"/>
        <v>669534.55920939124</v>
      </c>
      <c r="DE68" s="1729">
        <f t="shared" ca="1" si="34"/>
        <v>819037.40922184591</v>
      </c>
      <c r="DF68" s="1729">
        <f t="shared" ca="1" si="34"/>
        <v>593288.32020644948</v>
      </c>
      <c r="DG68" s="1729">
        <f t="shared" ca="1" si="34"/>
        <v>454810.35676591319</v>
      </c>
      <c r="DH68" s="1729">
        <f t="shared" ca="1" si="34"/>
        <v>386844.4160320338</v>
      </c>
      <c r="DI68" s="1729">
        <f t="shared" ca="1" si="34"/>
        <v>505962.15103062947</v>
      </c>
      <c r="DJ68" s="1729">
        <f t="shared" ca="1" si="34"/>
        <v>724582.15766872489</v>
      </c>
      <c r="DK68" s="1729">
        <f t="shared" ca="1" si="34"/>
        <v>715789.43575919711</v>
      </c>
      <c r="DL68" s="1729">
        <f t="shared" ca="1" si="34"/>
        <v>735701.40063475922</v>
      </c>
      <c r="DM68" s="1729">
        <f t="shared" ca="1" si="34"/>
        <v>750734.56334590691</v>
      </c>
      <c r="DN68" s="1729">
        <f t="shared" ca="1" si="34"/>
        <v>633010.44040782726</v>
      </c>
      <c r="DO68" s="1729">
        <f t="shared" ca="1" si="34"/>
        <v>628611.26151230279</v>
      </c>
      <c r="DP68" s="1729">
        <f t="shared" ca="1" si="34"/>
        <v>689620.59598567302</v>
      </c>
      <c r="DQ68" s="1729">
        <f t="shared" ca="1" si="34"/>
        <v>843608.53149850154</v>
      </c>
      <c r="DR68" s="1729">
        <f t="shared" ca="1" si="34"/>
        <v>611086.96981264302</v>
      </c>
      <c r="DS68" s="1729">
        <f t="shared" ca="1" si="34"/>
        <v>468454.66746889072</v>
      </c>
      <c r="DT68" s="1485" t="s">
        <v>65</v>
      </c>
    </row>
    <row r="69" spans="1:124">
      <c r="B69" s="1795" t="s">
        <v>1132</v>
      </c>
      <c r="C69" s="1578"/>
      <c r="D69" s="1796">
        <f t="shared" ref="D69:BO69" ca="1" si="35">D68/D38</f>
        <v>2.1093157939040263E-2</v>
      </c>
      <c r="E69" s="1796">
        <f t="shared" ca="1" si="35"/>
        <v>0.25376303072948436</v>
      </c>
      <c r="F69" s="1796">
        <f t="shared" ca="1" si="35"/>
        <v>0.44308827777662829</v>
      </c>
      <c r="G69" s="1796">
        <f t="shared" ca="1" si="35"/>
        <v>0.48364392912595394</v>
      </c>
      <c r="H69" s="1796">
        <f t="shared" ca="1" si="35"/>
        <v>0.52420194872570758</v>
      </c>
      <c r="I69" s="1796">
        <f t="shared" ca="1" si="35"/>
        <v>0.55778657749403182</v>
      </c>
      <c r="J69" s="1796">
        <f t="shared" ca="1" si="35"/>
        <v>0.54170667943790207</v>
      </c>
      <c r="K69" s="1796">
        <f t="shared" ca="1" si="35"/>
        <v>0.56206285170950365</v>
      </c>
      <c r="L69" s="1796">
        <f t="shared" ca="1" si="35"/>
        <v>0.58792489371079271</v>
      </c>
      <c r="M69" s="1796">
        <f t="shared" ca="1" si="35"/>
        <v>0.62957864912864225</v>
      </c>
      <c r="N69" s="1796">
        <f t="shared" ca="1" si="35"/>
        <v>0.57742643907688818</v>
      </c>
      <c r="O69" s="1796">
        <f t="shared" ca="1" si="35"/>
        <v>0.53119374201779079</v>
      </c>
      <c r="P69" s="1796">
        <f t="shared" ca="1" si="35"/>
        <v>0.49782473470183825</v>
      </c>
      <c r="Q69" s="1796">
        <f t="shared" ca="1" si="35"/>
        <v>0.55941044809875151</v>
      </c>
      <c r="R69" s="1796">
        <f t="shared" ca="1" si="35"/>
        <v>0.62564630352753881</v>
      </c>
      <c r="S69" s="1796">
        <f t="shared" ca="1" si="35"/>
        <v>0.62884884892588033</v>
      </c>
      <c r="T69" s="1796">
        <f t="shared" ca="1" si="35"/>
        <v>0.63646651644309871</v>
      </c>
      <c r="U69" s="1796">
        <f t="shared" ca="1" si="35"/>
        <v>0.64538314630200966</v>
      </c>
      <c r="V69" s="1796">
        <f t="shared" ca="1" si="35"/>
        <v>0.6154735191151216</v>
      </c>
      <c r="W69" s="1796">
        <f t="shared" ca="1" si="35"/>
        <v>0.61485467821506701</v>
      </c>
      <c r="X69" s="1796">
        <f t="shared" ca="1" si="35"/>
        <v>0.6312185935022071</v>
      </c>
      <c r="Y69" s="1796">
        <f t="shared" ca="1" si="35"/>
        <v>0.66171284390436813</v>
      </c>
      <c r="Z69" s="1796">
        <f t="shared" ca="1" si="35"/>
        <v>0.61245642925947819</v>
      </c>
      <c r="AA69" s="1796">
        <f t="shared" ca="1" si="35"/>
        <v>0.56654280434571314</v>
      </c>
      <c r="AB69" s="1796">
        <f t="shared" ca="1" si="35"/>
        <v>0.53042879081377681</v>
      </c>
      <c r="AC69" s="1796">
        <f t="shared" ca="1" si="35"/>
        <v>0.58073733878832356</v>
      </c>
      <c r="AD69" s="1796">
        <f t="shared" ca="1" si="35"/>
        <v>0.63763131212866586</v>
      </c>
      <c r="AE69" s="1796">
        <f t="shared" ca="1" si="35"/>
        <v>0.63674652722749836</v>
      </c>
      <c r="AF69" s="1796">
        <f t="shared" ca="1" si="35"/>
        <v>0.64024571971279298</v>
      </c>
      <c r="AG69" s="1796">
        <f t="shared" ca="1" si="35"/>
        <v>0.64538314630200977</v>
      </c>
      <c r="AH69" s="1796">
        <f t="shared" ca="1" si="35"/>
        <v>0.61547351911512149</v>
      </c>
      <c r="AI69" s="1796">
        <f t="shared" ca="1" si="35"/>
        <v>0.61485467821506701</v>
      </c>
      <c r="AJ69" s="1796">
        <f t="shared" ca="1" si="35"/>
        <v>0.6312185935022071</v>
      </c>
      <c r="AK69" s="1796">
        <f t="shared" ca="1" si="35"/>
        <v>0.66171284390436813</v>
      </c>
      <c r="AL69" s="1796">
        <f t="shared" ca="1" si="35"/>
        <v>0.61245642925947819</v>
      </c>
      <c r="AM69" s="1796">
        <f t="shared" ca="1" si="35"/>
        <v>0.56654280434571302</v>
      </c>
      <c r="AN69" s="1796">
        <f t="shared" ca="1" si="35"/>
        <v>0.5304287908137767</v>
      </c>
      <c r="AO69" s="1796">
        <f t="shared" ca="1" si="35"/>
        <v>0.58865381139723161</v>
      </c>
      <c r="AP69" s="1796">
        <f t="shared" ca="1" si="35"/>
        <v>0.63763131212866575</v>
      </c>
      <c r="AQ69" s="1796">
        <f t="shared" ca="1" si="35"/>
        <v>0.63674652722749858</v>
      </c>
      <c r="AR69" s="1796">
        <f t="shared" ca="1" si="35"/>
        <v>0.64024571971279298</v>
      </c>
      <c r="AS69" s="1796">
        <f t="shared" ca="1" si="35"/>
        <v>0.64538314630200966</v>
      </c>
      <c r="AT69" s="1796">
        <f t="shared" ca="1" si="35"/>
        <v>0.6154735191151216</v>
      </c>
      <c r="AU69" s="1796">
        <f t="shared" ca="1" si="35"/>
        <v>0.6148546782150669</v>
      </c>
      <c r="AV69" s="1796">
        <f t="shared" ca="1" si="35"/>
        <v>0.6312185935022071</v>
      </c>
      <c r="AW69" s="1796">
        <f t="shared" ca="1" si="35"/>
        <v>0.66171284390436824</v>
      </c>
      <c r="AX69" s="1796">
        <f t="shared" ca="1" si="35"/>
        <v>0.61245642925947807</v>
      </c>
      <c r="AY69" s="1796">
        <f t="shared" ca="1" si="35"/>
        <v>0.56654280434571291</v>
      </c>
      <c r="AZ69" s="1796">
        <f t="shared" ca="1" si="35"/>
        <v>0.5304287908137767</v>
      </c>
      <c r="BA69" s="1796">
        <f t="shared" ca="1" si="35"/>
        <v>0.58073733878832368</v>
      </c>
      <c r="BB69" s="1796">
        <f t="shared" ca="1" si="35"/>
        <v>0.63763131212866575</v>
      </c>
      <c r="BC69" s="1796">
        <f t="shared" ca="1" si="35"/>
        <v>0.63674652722749847</v>
      </c>
      <c r="BD69" s="1796">
        <f t="shared" ca="1" si="35"/>
        <v>0.64024571971279309</v>
      </c>
      <c r="BE69" s="1796">
        <f t="shared" ca="1" si="35"/>
        <v>0.64538314630200966</v>
      </c>
      <c r="BF69" s="1796">
        <f t="shared" ca="1" si="35"/>
        <v>0.6154735191151216</v>
      </c>
      <c r="BG69" s="1796">
        <f t="shared" ca="1" si="35"/>
        <v>0.61485467821506701</v>
      </c>
      <c r="BH69" s="1796">
        <f t="shared" ca="1" si="35"/>
        <v>0.6312185935022071</v>
      </c>
      <c r="BI69" s="1796">
        <f t="shared" ca="1" si="35"/>
        <v>0.66171284390436813</v>
      </c>
      <c r="BJ69" s="1796">
        <f t="shared" ca="1" si="35"/>
        <v>0.61245642925947807</v>
      </c>
      <c r="BK69" s="1796">
        <f t="shared" ca="1" si="35"/>
        <v>0.56654280434571302</v>
      </c>
      <c r="BL69" s="1796">
        <f t="shared" ca="1" si="35"/>
        <v>0.53042879081377692</v>
      </c>
      <c r="BM69" s="1796">
        <f t="shared" ca="1" si="35"/>
        <v>0.58073733878832356</v>
      </c>
      <c r="BN69" s="1796">
        <f t="shared" ca="1" si="35"/>
        <v>0.63763131212866586</v>
      </c>
      <c r="BO69" s="1796">
        <f t="shared" ca="1" si="35"/>
        <v>0.63674652722749847</v>
      </c>
      <c r="BP69" s="1796">
        <f t="shared" ref="BP69:DS69" ca="1" si="36">BP68/BP38</f>
        <v>0.64024571971279309</v>
      </c>
      <c r="BQ69" s="1796">
        <f t="shared" ca="1" si="36"/>
        <v>0.64538314630200966</v>
      </c>
      <c r="BR69" s="1796">
        <f t="shared" ca="1" si="36"/>
        <v>0.61547351911512149</v>
      </c>
      <c r="BS69" s="1796">
        <f t="shared" ca="1" si="36"/>
        <v>0.61485467821506701</v>
      </c>
      <c r="BT69" s="1796">
        <f t="shared" ca="1" si="36"/>
        <v>0.63121859350220733</v>
      </c>
      <c r="BU69" s="1796">
        <f t="shared" ca="1" si="36"/>
        <v>0.66171284390436813</v>
      </c>
      <c r="BV69" s="1796">
        <f t="shared" ca="1" si="36"/>
        <v>0.61245642925947819</v>
      </c>
      <c r="BW69" s="1796">
        <f t="shared" ca="1" si="36"/>
        <v>0.56654280434571291</v>
      </c>
      <c r="BX69" s="1796">
        <f t="shared" ca="1" si="36"/>
        <v>0.53042879081377659</v>
      </c>
      <c r="BY69" s="1796">
        <f t="shared" ca="1" si="36"/>
        <v>0.58073733878832368</v>
      </c>
      <c r="BZ69" s="1796">
        <f t="shared" ca="1" si="36"/>
        <v>0.63763131212866586</v>
      </c>
      <c r="CA69" s="1796">
        <f t="shared" ca="1" si="36"/>
        <v>0.63674652722749847</v>
      </c>
      <c r="CB69" s="1796">
        <f t="shared" ca="1" si="36"/>
        <v>0.64024571971279298</v>
      </c>
      <c r="CC69" s="1796">
        <f t="shared" ca="1" si="36"/>
        <v>0.64538314630200966</v>
      </c>
      <c r="CD69" s="1796">
        <f t="shared" ca="1" si="36"/>
        <v>0.6154735191151216</v>
      </c>
      <c r="CE69" s="1796">
        <f t="shared" ca="1" si="36"/>
        <v>0.61485467821506712</v>
      </c>
      <c r="CF69" s="1796">
        <f t="shared" ca="1" si="36"/>
        <v>0.63121859350220721</v>
      </c>
      <c r="CG69" s="1796">
        <f t="shared" ca="1" si="36"/>
        <v>0.66171284390436813</v>
      </c>
      <c r="CH69" s="1796">
        <f t="shared" ca="1" si="36"/>
        <v>0.61245642925947819</v>
      </c>
      <c r="CI69" s="1796">
        <f t="shared" ca="1" si="36"/>
        <v>0.56654280434571291</v>
      </c>
      <c r="CJ69" s="1796">
        <f t="shared" ca="1" si="36"/>
        <v>0.53042879081377681</v>
      </c>
      <c r="CK69" s="1796">
        <f t="shared" ca="1" si="36"/>
        <v>0.58865381139723161</v>
      </c>
      <c r="CL69" s="1796">
        <f t="shared" ca="1" si="36"/>
        <v>0.63763131212866575</v>
      </c>
      <c r="CM69" s="1796">
        <f t="shared" ca="1" si="36"/>
        <v>0.63674652722749836</v>
      </c>
      <c r="CN69" s="1796">
        <f t="shared" ca="1" si="36"/>
        <v>0.64024571971279298</v>
      </c>
      <c r="CO69" s="1796">
        <f t="shared" ca="1" si="36"/>
        <v>0.64538314630200966</v>
      </c>
      <c r="CP69" s="1796">
        <f t="shared" ca="1" si="36"/>
        <v>0.6154735191151216</v>
      </c>
      <c r="CQ69" s="1796">
        <f t="shared" ca="1" si="36"/>
        <v>0.61485467821506679</v>
      </c>
      <c r="CR69" s="1796">
        <f t="shared" ca="1" si="36"/>
        <v>0.63121859350220721</v>
      </c>
      <c r="CS69" s="1796">
        <f t="shared" ca="1" si="36"/>
        <v>0.66171284390436813</v>
      </c>
      <c r="CT69" s="1796">
        <f t="shared" ca="1" si="36"/>
        <v>0.61245642925947819</v>
      </c>
      <c r="CU69" s="1796">
        <f t="shared" ca="1" si="36"/>
        <v>0.56654280434571291</v>
      </c>
      <c r="CV69" s="1796">
        <f t="shared" ca="1" si="36"/>
        <v>0.53042879081377681</v>
      </c>
      <c r="CW69" s="1796">
        <f t="shared" ca="1" si="36"/>
        <v>0.58073733878832379</v>
      </c>
      <c r="CX69" s="1796">
        <f t="shared" ca="1" si="36"/>
        <v>0.63763131212866575</v>
      </c>
      <c r="CY69" s="1796">
        <f t="shared" ca="1" si="36"/>
        <v>0.63674652722749847</v>
      </c>
      <c r="CZ69" s="1796">
        <f t="shared" ca="1" si="36"/>
        <v>0.64024571971279309</v>
      </c>
      <c r="DA69" s="1796">
        <f t="shared" ca="1" si="36"/>
        <v>0.64538314630200977</v>
      </c>
      <c r="DB69" s="1796">
        <f t="shared" ca="1" si="36"/>
        <v>0.6154735191151216</v>
      </c>
      <c r="DC69" s="1796">
        <f t="shared" ca="1" si="36"/>
        <v>0.6148546782150669</v>
      </c>
      <c r="DD69" s="1796">
        <f t="shared" ca="1" si="36"/>
        <v>0.63121859350220721</v>
      </c>
      <c r="DE69" s="1796">
        <f t="shared" ca="1" si="36"/>
        <v>0.66171284390436813</v>
      </c>
      <c r="DF69" s="1796">
        <f t="shared" ca="1" si="36"/>
        <v>0.61245642925947819</v>
      </c>
      <c r="DG69" s="1796">
        <f t="shared" ca="1" si="36"/>
        <v>0.56654280434571291</v>
      </c>
      <c r="DH69" s="1796">
        <f t="shared" ca="1" si="36"/>
        <v>0.53042879081377681</v>
      </c>
      <c r="DI69" s="1796">
        <f t="shared" ca="1" si="36"/>
        <v>0.58073733878832356</v>
      </c>
      <c r="DJ69" s="1796">
        <f t="shared" ca="1" si="36"/>
        <v>0.63763131212866564</v>
      </c>
      <c r="DK69" s="1796">
        <f t="shared" ca="1" si="36"/>
        <v>0.63674652722749847</v>
      </c>
      <c r="DL69" s="1796">
        <f t="shared" ca="1" si="36"/>
        <v>0.6402457197127932</v>
      </c>
      <c r="DM69" s="1796">
        <f t="shared" ca="1" si="36"/>
        <v>0.64538314630200977</v>
      </c>
      <c r="DN69" s="1796">
        <f t="shared" ca="1" si="36"/>
        <v>0.6154735191151216</v>
      </c>
      <c r="DO69" s="1796">
        <f t="shared" ca="1" si="36"/>
        <v>0.61485467821506701</v>
      </c>
      <c r="DP69" s="1796">
        <f t="shared" ca="1" si="36"/>
        <v>0.6312185935022071</v>
      </c>
      <c r="DQ69" s="1796">
        <f t="shared" ca="1" si="36"/>
        <v>0.66171284390436813</v>
      </c>
      <c r="DR69" s="1796">
        <f t="shared" ca="1" si="36"/>
        <v>0.61245642925947819</v>
      </c>
      <c r="DS69" s="1796">
        <f t="shared" ca="1" si="36"/>
        <v>0.56654280434571291</v>
      </c>
      <c r="DT69" s="1485" t="s">
        <v>65</v>
      </c>
    </row>
    <row r="70" spans="1:124">
      <c r="B70" s="1506"/>
      <c r="D70" s="1798"/>
      <c r="E70" s="1798"/>
      <c r="F70" s="1798"/>
      <c r="G70" s="1798"/>
      <c r="H70" s="1798"/>
      <c r="I70" s="1798"/>
      <c r="J70" s="1798"/>
      <c r="K70" s="1798"/>
      <c r="L70" s="1798"/>
      <c r="M70" s="1798"/>
      <c r="N70" s="1798"/>
      <c r="O70" s="1798"/>
      <c r="P70" s="1798"/>
      <c r="Q70" s="1798"/>
      <c r="R70" s="1798"/>
      <c r="S70" s="1798"/>
      <c r="T70" s="1798"/>
      <c r="U70" s="1798"/>
      <c r="V70" s="1798"/>
      <c r="W70" s="1798"/>
      <c r="X70" s="1798"/>
      <c r="Y70" s="1798"/>
      <c r="Z70" s="1798"/>
      <c r="AA70" s="1798"/>
      <c r="AB70" s="1798"/>
      <c r="AC70" s="1798"/>
      <c r="AD70" s="1798"/>
      <c r="AE70" s="1798"/>
      <c r="AF70" s="1798"/>
      <c r="AG70" s="1798"/>
      <c r="AH70" s="1798"/>
      <c r="AI70" s="1798"/>
      <c r="AJ70" s="1798"/>
      <c r="AK70" s="1798"/>
      <c r="AL70" s="1798"/>
      <c r="AM70" s="1798"/>
      <c r="AN70" s="1798"/>
      <c r="AO70" s="1798"/>
      <c r="AP70" s="1798"/>
      <c r="AQ70" s="1798"/>
      <c r="AR70" s="1798"/>
      <c r="AS70" s="1798"/>
      <c r="AT70" s="1798"/>
      <c r="AU70" s="1798"/>
      <c r="AV70" s="1798"/>
      <c r="AW70" s="1798"/>
      <c r="AX70" s="1798"/>
      <c r="AY70" s="1798"/>
      <c r="AZ70" s="1798"/>
      <c r="BA70" s="1798"/>
      <c r="BB70" s="1798"/>
      <c r="BC70" s="1798"/>
      <c r="BD70" s="1798"/>
      <c r="BE70" s="1798"/>
      <c r="BF70" s="1798"/>
      <c r="BG70" s="1798"/>
      <c r="BH70" s="1798"/>
      <c r="BI70" s="1798"/>
      <c r="BJ70" s="1798"/>
      <c r="BK70" s="1798"/>
      <c r="BL70" s="1798"/>
      <c r="BM70" s="1798"/>
      <c r="BN70" s="1798"/>
      <c r="BO70" s="1798"/>
      <c r="BP70" s="1798"/>
      <c r="BQ70" s="1798"/>
      <c r="BR70" s="1798"/>
      <c r="BS70" s="1798"/>
      <c r="BT70" s="1798"/>
      <c r="BU70" s="1798"/>
      <c r="BV70" s="1798"/>
      <c r="BW70" s="1798"/>
      <c r="BX70" s="1798"/>
      <c r="BY70" s="1798"/>
      <c r="BZ70" s="1798"/>
      <c r="CA70" s="1798"/>
      <c r="CB70" s="1798"/>
      <c r="CC70" s="1798"/>
      <c r="CD70" s="1798"/>
      <c r="CE70" s="1798"/>
      <c r="CF70" s="1798"/>
      <c r="CG70" s="1798"/>
      <c r="CH70" s="1798"/>
      <c r="CI70" s="1798"/>
      <c r="CJ70" s="1798"/>
      <c r="CK70" s="1798"/>
      <c r="CL70" s="1798"/>
      <c r="CM70" s="1798"/>
      <c r="CN70" s="1798"/>
      <c r="CO70" s="1798"/>
      <c r="CP70" s="1798"/>
      <c r="CQ70" s="1798"/>
      <c r="CR70" s="1798"/>
      <c r="CS70" s="1798"/>
      <c r="CT70" s="1798"/>
      <c r="CU70" s="1798"/>
      <c r="CV70" s="1798"/>
      <c r="CW70" s="1798"/>
      <c r="CX70" s="1798"/>
      <c r="CY70" s="1798"/>
      <c r="CZ70" s="1798"/>
      <c r="DA70" s="1798"/>
      <c r="DB70" s="1798"/>
      <c r="DC70" s="1798"/>
      <c r="DD70" s="1798"/>
      <c r="DE70" s="1798"/>
      <c r="DF70" s="1798"/>
      <c r="DG70" s="1798"/>
      <c r="DH70" s="1798"/>
      <c r="DI70" s="1798"/>
      <c r="DJ70" s="1798"/>
      <c r="DK70" s="1798"/>
      <c r="DL70" s="1798"/>
      <c r="DM70" s="1798"/>
      <c r="DN70" s="1798"/>
      <c r="DO70" s="1798"/>
      <c r="DP70" s="1798"/>
      <c r="DQ70" s="1798"/>
      <c r="DR70" s="1798"/>
      <c r="DS70" s="1798"/>
      <c r="DT70" s="1485" t="s">
        <v>65</v>
      </c>
    </row>
    <row r="71" spans="1:124">
      <c r="A71" s="1487" t="s">
        <v>65</v>
      </c>
      <c r="B71" s="1749" t="s">
        <v>1098</v>
      </c>
      <c r="D71" s="1664">
        <f>('Cash Flow MH'!D$38*D72)</f>
        <v>9781.6533942309015</v>
      </c>
      <c r="E71" s="1664">
        <f>('Cash Flow MH'!E$38*E72)</f>
        <v>13772.006373634764</v>
      </c>
      <c r="F71" s="1664">
        <f>('Cash Flow MH'!F$38*F72)</f>
        <v>20684.57449783909</v>
      </c>
      <c r="G71" s="1664">
        <f>('Cash Flow MH'!G$38*G72)</f>
        <v>23154.326337613395</v>
      </c>
      <c r="H71" s="1664">
        <f>('Cash Flow MH'!H$38*H72)</f>
        <v>26420.506038278239</v>
      </c>
      <c r="I71" s="1664">
        <f>('Cash Flow MH'!I$38*I72)</f>
        <v>29531.782120699965</v>
      </c>
      <c r="J71" s="1664">
        <f>('Cash Flow MH'!J$38*J72)</f>
        <v>28574.226932732257</v>
      </c>
      <c r="K71" s="1664">
        <f>('Cash Flow MH'!K$38*K72)</f>
        <v>30852.845172253001</v>
      </c>
      <c r="L71" s="1664">
        <f>('Cash Flow MH'!L$38*L72)</f>
        <v>33859.435706477285</v>
      </c>
      <c r="M71" s="1664">
        <f>('Cash Flow MH'!M$38*M72)</f>
        <v>40549.40379628136</v>
      </c>
      <c r="N71" s="1664">
        <f>('Cash Flow MH'!N$38*N72)</f>
        <v>32547.672115599355</v>
      </c>
      <c r="O71" s="1664">
        <f>('Cash Flow MH'!O$38*O72)</f>
        <v>27646.188197473311</v>
      </c>
      <c r="P71" s="1664">
        <f>('Cash Flow MH'!P$38*P72)</f>
        <v>25727.495150647672</v>
      </c>
      <c r="Q71" s="1664">
        <f>('Cash Flow MH'!Q$38*Q72)</f>
        <v>31465.278562017163</v>
      </c>
      <c r="R71" s="1664">
        <f>('Cash Flow MH'!R$38*R72)</f>
        <v>41993.496546968207</v>
      </c>
      <c r="S71" s="1664">
        <f>('Cash Flow MH'!S$38*S72)</f>
        <v>42484.419520581883</v>
      </c>
      <c r="T71" s="1664">
        <f>('Cash Flow MH'!T$38*T72)</f>
        <v>44391.403989189625</v>
      </c>
      <c r="U71" s="1664">
        <f>('Cash Flow MH'!U$38*U72)</f>
        <v>45913.563146144843</v>
      </c>
      <c r="V71" s="1664">
        <f>('Cash Flow MH'!V$38*V72)</f>
        <v>40595.108607881702</v>
      </c>
      <c r="W71" s="1664">
        <f>('Cash Flow MH'!W$38*W72)</f>
        <v>40353.562574502343</v>
      </c>
      <c r="X71" s="1664">
        <f>('Cash Flow MH'!X$38*X72)</f>
        <v>43122.372522623307</v>
      </c>
      <c r="Y71" s="1664">
        <f>('Cash Flow MH'!Y$38*Y72)</f>
        <v>50320.344470084092</v>
      </c>
      <c r="Z71" s="1664">
        <f>('Cash Flow MH'!Z$38*Z72)</f>
        <v>39382.205320490262</v>
      </c>
      <c r="AA71" s="1664">
        <f>('Cash Flow MH'!AA$38*AA72)</f>
        <v>32636.760852031533</v>
      </c>
      <c r="AB71" s="1664">
        <f>('Cash Flow MH'!AB$38*AB72)</f>
        <v>29649.588816970187</v>
      </c>
      <c r="AC71" s="1664">
        <f>('Cash Flow MH'!AC$38*AC72)</f>
        <v>35419.931058882714</v>
      </c>
      <c r="AD71" s="1664">
        <f>('Cash Flow MH'!AD$38*AD72)</f>
        <v>46198.452810015762</v>
      </c>
      <c r="AE71" s="1664">
        <f>('Cash Flow MH'!AE$38*AE72)</f>
        <v>45701.25546339358</v>
      </c>
      <c r="AF71" s="1664">
        <f>('Cash Flow MH'!AF$38*AF72)</f>
        <v>46715.858093348987</v>
      </c>
      <c r="AG71" s="1664">
        <f>('Cash Flow MH'!AG$38*AG72)</f>
        <v>47290.97004052921</v>
      </c>
      <c r="AH71" s="1664">
        <f>('Cash Flow MH'!AH$38*AH72)</f>
        <v>41812.961866118138</v>
      </c>
      <c r="AI71" s="1664">
        <f>('Cash Flow MH'!AI$38*AI72)</f>
        <v>41564.169451737427</v>
      </c>
      <c r="AJ71" s="1664">
        <f>('Cash Flow MH'!AJ$38*AJ72)</f>
        <v>44416.043698302004</v>
      </c>
      <c r="AK71" s="1664">
        <f>('Cash Flow MH'!AK$38*AK72)</f>
        <v>51829.954804186622</v>
      </c>
      <c r="AL71" s="1664">
        <f>('Cash Flow MH'!AL$38*AL72)</f>
        <v>40563.671480104967</v>
      </c>
      <c r="AM71" s="1664">
        <f>('Cash Flow MH'!AM$38*AM72)</f>
        <v>33615.863677592468</v>
      </c>
      <c r="AN71" s="1664">
        <f>('Cash Flow MH'!AN$38*AN72)</f>
        <v>30539.076481479293</v>
      </c>
      <c r="AO71" s="1664">
        <f>('Cash Flow MH'!AO$38*AO72)</f>
        <v>37785.476454600946</v>
      </c>
      <c r="AP71" s="1664">
        <f>('Cash Flow MH'!AP$38*AP72)</f>
        <v>47584.406394316233</v>
      </c>
      <c r="AQ71" s="1664">
        <f>('Cash Flow MH'!AQ$38*AQ72)</f>
        <v>47072.293127295387</v>
      </c>
      <c r="AR71" s="1664">
        <f>('Cash Flow MH'!AR$38*AR72)</f>
        <v>48117.333836149453</v>
      </c>
      <c r="AS71" s="1664">
        <f>('Cash Flow MH'!AS$38*AS72)</f>
        <v>48709.699141745077</v>
      </c>
      <c r="AT71" s="1664">
        <f>('Cash Flow MH'!AT$38*AT72)</f>
        <v>43067.350722101692</v>
      </c>
      <c r="AU71" s="1664">
        <f>('Cash Flow MH'!AU$38*AU72)</f>
        <v>42811.094535289536</v>
      </c>
      <c r="AV71" s="1664">
        <f>('Cash Flow MH'!AV$38*AV72)</f>
        <v>45748.525009251054</v>
      </c>
      <c r="AW71" s="1664">
        <f>('Cash Flow MH'!AW$38*AW72)</f>
        <v>53384.853448312206</v>
      </c>
      <c r="AX71" s="1664">
        <f>('Cash Flow MH'!AX$38*AX72)</f>
        <v>41780.581624508108</v>
      </c>
      <c r="AY71" s="1664">
        <f>('Cash Flow MH'!AY$38*AY72)</f>
        <v>34624.339587920244</v>
      </c>
      <c r="AZ71" s="1664">
        <f>('Cash Flow MH'!AZ$38*AZ72)</f>
        <v>31455.248775923668</v>
      </c>
      <c r="BA71" s="1664">
        <f>('Cash Flow MH'!BA$38*BA72)</f>
        <v>37577.004860368666</v>
      </c>
      <c r="BB71" s="1664">
        <f>('Cash Flow MH'!BB$38*BB72)</f>
        <v>49011.938586145727</v>
      </c>
      <c r="BC71" s="1664">
        <f>('Cash Flow MH'!BC$38*BC72)</f>
        <v>48484.461921114249</v>
      </c>
      <c r="BD71" s="1664">
        <f>('Cash Flow MH'!BD$38*BD72)</f>
        <v>49560.853851233936</v>
      </c>
      <c r="BE71" s="1664">
        <f>('Cash Flow MH'!BE$38*BE72)</f>
        <v>50170.990115997425</v>
      </c>
      <c r="BF71" s="1664">
        <f>('Cash Flow MH'!BF$38*BF72)</f>
        <v>44359.371243764741</v>
      </c>
      <c r="BG71" s="1664">
        <f>('Cash Flow MH'!BG$38*BG72)</f>
        <v>44095.427371348225</v>
      </c>
      <c r="BH71" s="1664">
        <f>('Cash Flow MH'!BH$38*BH72)</f>
        <v>47120.980759528597</v>
      </c>
      <c r="BI71" s="1664">
        <f>('Cash Flow MH'!BI$38*BI72)</f>
        <v>54986.399051761575</v>
      </c>
      <c r="BJ71" s="1664">
        <f>('Cash Flow MH'!BJ$38*BJ72)</f>
        <v>43033.999073243351</v>
      </c>
      <c r="BK71" s="1664">
        <f>('Cash Flow MH'!BK$38*BK72)</f>
        <v>35663.069775557851</v>
      </c>
      <c r="BL71" s="1664">
        <f>('Cash Flow MH'!BL$38*BL72)</f>
        <v>32398.90623920138</v>
      </c>
      <c r="BM71" s="1664">
        <f>('Cash Flow MH'!BM$38*BM72)</f>
        <v>38704.315006179728</v>
      </c>
      <c r="BN71" s="1664">
        <f>('Cash Flow MH'!BN$38*BN72)</f>
        <v>50482.29674373009</v>
      </c>
      <c r="BO71" s="1664">
        <f>('Cash Flow MH'!BO$38*BO72)</f>
        <v>49938.995778747674</v>
      </c>
      <c r="BP71" s="1664">
        <f>('Cash Flow MH'!BP$38*BP72)</f>
        <v>51047.679466770947</v>
      </c>
      <c r="BQ71" s="1664">
        <f>('Cash Flow MH'!BQ$38*BQ72)</f>
        <v>51676.119819477346</v>
      </c>
      <c r="BR71" s="1664">
        <f>('Cash Flow MH'!BR$38*BR72)</f>
        <v>45690.152381077678</v>
      </c>
      <c r="BS71" s="1664">
        <f>('Cash Flow MH'!BS$38*BS72)</f>
        <v>45418.290192488661</v>
      </c>
      <c r="BT71" s="1664">
        <f>('Cash Flow MH'!BT$38*BT72)</f>
        <v>48534.610182314449</v>
      </c>
      <c r="BU71" s="1664">
        <f>('Cash Flow MH'!BU$38*BU72)</f>
        <v>56635.991023314418</v>
      </c>
      <c r="BV71" s="1664">
        <f>('Cash Flow MH'!BV$38*BV72)</f>
        <v>44325.019045440655</v>
      </c>
      <c r="BW71" s="1664">
        <f>('Cash Flow MH'!BW$38*BW72)</f>
        <v>36732.961868824583</v>
      </c>
      <c r="BX71" s="1664">
        <f>('Cash Flow MH'!BX$38*BX72)</f>
        <v>33370.873426377417</v>
      </c>
      <c r="BY71" s="1664">
        <f>('Cash Flow MH'!BY$38*BY72)</f>
        <v>39865.444456365127</v>
      </c>
      <c r="BZ71" s="1664">
        <f>('Cash Flow MH'!BZ$38*BZ72)</f>
        <v>51996.765646042004</v>
      </c>
      <c r="CA71" s="1664">
        <f>('Cash Flow MH'!CA$38*CA72)</f>
        <v>51437.165652110096</v>
      </c>
      <c r="CB71" s="1664">
        <f>('Cash Flow MH'!CB$38*CB72)</f>
        <v>52579.109850774068</v>
      </c>
      <c r="CC71" s="1664">
        <f>('Cash Flow MH'!CC$38*CC72)</f>
        <v>53226.403414061657</v>
      </c>
      <c r="CD71" s="1664">
        <f>('Cash Flow MH'!CD$38*CD72)</f>
        <v>47060.856952510017</v>
      </c>
      <c r="CE71" s="1664">
        <f>('Cash Flow MH'!CE$38*CE72)</f>
        <v>46780.838898263333</v>
      </c>
      <c r="CF71" s="1664">
        <f>('Cash Flow MH'!CF$38*CF72)</f>
        <v>49990.648487783888</v>
      </c>
      <c r="CG71" s="1664">
        <f>('Cash Flow MH'!CG$38*CG72)</f>
        <v>58335.070754013868</v>
      </c>
      <c r="CH71" s="1664">
        <f>('Cash Flow MH'!CH$38*CH72)</f>
        <v>45654.769616803875</v>
      </c>
      <c r="CI71" s="1664">
        <f>('Cash Flow MH'!CI$38*CI72)</f>
        <v>37834.950724889328</v>
      </c>
      <c r="CJ71" s="1664">
        <f>('Cash Flow MH'!CJ$38*CJ72)</f>
        <v>34371.999629168742</v>
      </c>
      <c r="CK71" s="1664">
        <f>('Cash Flow MH'!CK$38*CK72)</f>
        <v>42527.886639700941</v>
      </c>
      <c r="CL71" s="1664">
        <f>('Cash Flow MH'!CL$38*CL72)</f>
        <v>53556.668615423259</v>
      </c>
      <c r="CM71" s="1664">
        <f>('Cash Flow MH'!CM$38*CM72)</f>
        <v>52980.280621673388</v>
      </c>
      <c r="CN71" s="1664">
        <f>('Cash Flow MH'!CN$38*CN72)</f>
        <v>54156.483146297309</v>
      </c>
      <c r="CO71" s="1664">
        <f>('Cash Flow MH'!CO$38*CO72)</f>
        <v>54823.195516483509</v>
      </c>
      <c r="CP71" s="1664">
        <f>('Cash Flow MH'!CP$38*CP72)</f>
        <v>48472.682661085317</v>
      </c>
      <c r="CQ71" s="1664">
        <f>('Cash Flow MH'!CQ$38*CQ72)</f>
        <v>48184.264065211231</v>
      </c>
      <c r="CR71" s="1664">
        <f>('Cash Flow MH'!CR$38*CR72)</f>
        <v>51490.367942417404</v>
      </c>
      <c r="CS71" s="1664">
        <f>('Cash Flow MH'!CS$38*CS72)</f>
        <v>60085.12287663429</v>
      </c>
      <c r="CT71" s="1664">
        <f>('Cash Flow MH'!CT$38*CT72)</f>
        <v>47024.412705308001</v>
      </c>
      <c r="CU71" s="1664">
        <f>('Cash Flow MH'!CU$38*CU72)</f>
        <v>38969.999246636005</v>
      </c>
      <c r="CV71" s="1664">
        <f>('Cash Flow MH'!CV$38*CV72)</f>
        <v>35403.159618043799</v>
      </c>
      <c r="CW71" s="1664">
        <f>('Cash Flow MH'!CW$38*CW72)</f>
        <v>42293.250023757748</v>
      </c>
      <c r="CX71" s="1664">
        <f>('Cash Flow MH'!CX$38*CX72)</f>
        <v>55163.36867388594</v>
      </c>
      <c r="CY71" s="1664">
        <f>('Cash Flow MH'!CY$38*CY72)</f>
        <v>54569.689040323603</v>
      </c>
      <c r="CZ71" s="1664">
        <f>('Cash Flow MH'!CZ$38*CZ72)</f>
        <v>55781.177640686219</v>
      </c>
      <c r="DA71" s="1664">
        <f>('Cash Flow MH'!DA$38*DA72)</f>
        <v>56467.891381978028</v>
      </c>
      <c r="DB71" s="1664">
        <f>('Cash Flow MH'!DB$38*DB72)</f>
        <v>49926.863140917871</v>
      </c>
      <c r="DC71" s="1664">
        <f>('Cash Flow MH'!DC$38*DC72)</f>
        <v>49629.791987167555</v>
      </c>
      <c r="DD71" s="1664">
        <f>('Cash Flow MH'!DD$38*DD72)</f>
        <v>53035.078980689919</v>
      </c>
      <c r="DE71" s="1664">
        <f>('Cash Flow MH'!DE$38*DE72)</f>
        <v>61887.676562933288</v>
      </c>
      <c r="DF71" s="1664">
        <f>('Cash Flow MH'!DF$38*DF72)</f>
        <v>48435.14508646723</v>
      </c>
      <c r="DG71" s="1664">
        <f>('Cash Flow MH'!DG$38*DG72)</f>
        <v>40139.099224035075</v>
      </c>
      <c r="DH71" s="1664">
        <f>('Cash Flow MH'!DH$38*DH72)</f>
        <v>36465.254406585118</v>
      </c>
      <c r="DI71" s="1664">
        <f>('Cash Flow MH'!DI$38*DI72)</f>
        <v>43562.047524470494</v>
      </c>
      <c r="DJ71" s="1664">
        <f>('Cash Flow MH'!DJ$38*DJ72)</f>
        <v>56818.269734102527</v>
      </c>
      <c r="DK71" s="1664">
        <f>('Cash Flow MH'!DK$38*DK72)</f>
        <v>56206.779711533316</v>
      </c>
      <c r="DL71" s="1664">
        <f>('Cash Flow MH'!DL$38*DL72)</f>
        <v>57454.612969906804</v>
      </c>
      <c r="DM71" s="1664">
        <f>('Cash Flow MH'!DM$38*DM72)</f>
        <v>58161.928123437363</v>
      </c>
      <c r="DN71" s="1664">
        <f>('Cash Flow MH'!DN$38*DN72)</f>
        <v>51424.669035145402</v>
      </c>
      <c r="DO71" s="1664">
        <f>('Cash Flow MH'!DO$38*DO72)</f>
        <v>51118.68574678259</v>
      </c>
      <c r="DP71" s="1664">
        <f>('Cash Flow MH'!DP$38*DP72)</f>
        <v>54626.131350110627</v>
      </c>
      <c r="DQ71" s="1664">
        <f>('Cash Flow MH'!DQ$38*DQ72)</f>
        <v>63744.306859821307</v>
      </c>
      <c r="DR71" s="1664">
        <f>('Cash Flow MH'!DR$38*DR72)</f>
        <v>49888.199439061245</v>
      </c>
      <c r="DS71" s="1664">
        <f>('Cash Flow MH'!DS$38*DS72)</f>
        <v>41343.272200756139</v>
      </c>
      <c r="DT71" s="1485" t="s">
        <v>65</v>
      </c>
    </row>
    <row r="72" spans="1:124">
      <c r="B72" s="1741" t="s">
        <v>1099</v>
      </c>
      <c r="D72" s="1799">
        <f>+'Assumptions MH'!$Q28</f>
        <v>0.05</v>
      </c>
      <c r="E72" s="1799">
        <f>+'Assumptions MH'!$Q28</f>
        <v>0.05</v>
      </c>
      <c r="F72" s="1799">
        <f>+'Assumptions MH'!$Q28</f>
        <v>0.05</v>
      </c>
      <c r="G72" s="1799">
        <f>+'Assumptions MH'!$Q28</f>
        <v>0.05</v>
      </c>
      <c r="H72" s="1799">
        <f>+'Assumptions MH'!$Q28</f>
        <v>0.05</v>
      </c>
      <c r="I72" s="1799">
        <f>+'Assumptions MH'!$Q28</f>
        <v>0.05</v>
      </c>
      <c r="J72" s="1799">
        <f>+'Assumptions MH'!$Q28</f>
        <v>0.05</v>
      </c>
      <c r="K72" s="1799">
        <f>+'Assumptions MH'!$Q28</f>
        <v>0.05</v>
      </c>
      <c r="L72" s="1799">
        <f>+'Assumptions MH'!$Q28</f>
        <v>0.05</v>
      </c>
      <c r="M72" s="1799">
        <f>+'Assumptions MH'!$Q28</f>
        <v>0.05</v>
      </c>
      <c r="N72" s="1799">
        <f>+'Assumptions MH'!$Q28</f>
        <v>0.05</v>
      </c>
      <c r="O72" s="1799">
        <f>+'Assumptions MH'!$Q28</f>
        <v>0.05</v>
      </c>
      <c r="P72" s="1799">
        <f>+'Assumptions MH'!$Q28</f>
        <v>0.05</v>
      </c>
      <c r="Q72" s="1799">
        <f>+'Assumptions MH'!$Q28</f>
        <v>0.05</v>
      </c>
      <c r="R72" s="1799">
        <f>+'Assumptions MH'!$Q28</f>
        <v>0.05</v>
      </c>
      <c r="S72" s="1799">
        <f>+'Assumptions MH'!$Q28</f>
        <v>0.05</v>
      </c>
      <c r="T72" s="1799">
        <f>+'Assumptions MH'!$Q28</f>
        <v>0.05</v>
      </c>
      <c r="U72" s="1799">
        <f>+'Assumptions MH'!$Q28</f>
        <v>0.05</v>
      </c>
      <c r="V72" s="1799">
        <f>+'Assumptions MH'!$Q28</f>
        <v>0.05</v>
      </c>
      <c r="W72" s="1799">
        <f>+'Assumptions MH'!$Q28</f>
        <v>0.05</v>
      </c>
      <c r="X72" s="1799">
        <f>+'Assumptions MH'!$Q28</f>
        <v>0.05</v>
      </c>
      <c r="Y72" s="1799">
        <f>+'Assumptions MH'!$Q28</f>
        <v>0.05</v>
      </c>
      <c r="Z72" s="1799">
        <f>+'Assumptions MH'!$Q28</f>
        <v>0.05</v>
      </c>
      <c r="AA72" s="1799">
        <f>+'Assumptions MH'!$Q28</f>
        <v>0.05</v>
      </c>
      <c r="AB72" s="1799">
        <f>+'Assumptions MH'!$Q28</f>
        <v>0.05</v>
      </c>
      <c r="AC72" s="1799">
        <f>+'Assumptions MH'!$Q28</f>
        <v>0.05</v>
      </c>
      <c r="AD72" s="1799">
        <f>+'Assumptions MH'!$Q28</f>
        <v>0.05</v>
      </c>
      <c r="AE72" s="1799">
        <f>+'Assumptions MH'!$Q28</f>
        <v>0.05</v>
      </c>
      <c r="AF72" s="1799">
        <f>+'Assumptions MH'!$Q28</f>
        <v>0.05</v>
      </c>
      <c r="AG72" s="1799">
        <f>+'Assumptions MH'!$Q28</f>
        <v>0.05</v>
      </c>
      <c r="AH72" s="1799">
        <f>+'Assumptions MH'!$Q28</f>
        <v>0.05</v>
      </c>
      <c r="AI72" s="1799">
        <f>+'Assumptions MH'!$Q28</f>
        <v>0.05</v>
      </c>
      <c r="AJ72" s="1799">
        <f>+'Assumptions MH'!$Q28</f>
        <v>0.05</v>
      </c>
      <c r="AK72" s="1799">
        <f>+'Assumptions MH'!$Q28</f>
        <v>0.05</v>
      </c>
      <c r="AL72" s="1799">
        <f>+'Assumptions MH'!$Q28</f>
        <v>0.05</v>
      </c>
      <c r="AM72" s="1799">
        <f>+'Assumptions MH'!$Q28</f>
        <v>0.05</v>
      </c>
      <c r="AN72" s="1799">
        <f>+'Assumptions MH'!$Q28</f>
        <v>0.05</v>
      </c>
      <c r="AO72" s="1799">
        <f>+'Assumptions MH'!$Q28</f>
        <v>0.05</v>
      </c>
      <c r="AP72" s="1799">
        <f>+'Assumptions MH'!$Q28</f>
        <v>0.05</v>
      </c>
      <c r="AQ72" s="1799">
        <f>+'Assumptions MH'!$Q28</f>
        <v>0.05</v>
      </c>
      <c r="AR72" s="1799">
        <f>+'Assumptions MH'!$Q28</f>
        <v>0.05</v>
      </c>
      <c r="AS72" s="1799">
        <f>+'Assumptions MH'!$Q28</f>
        <v>0.05</v>
      </c>
      <c r="AT72" s="1799">
        <f>+'Assumptions MH'!$Q28</f>
        <v>0.05</v>
      </c>
      <c r="AU72" s="1799">
        <f>+'Assumptions MH'!$Q28</f>
        <v>0.05</v>
      </c>
      <c r="AV72" s="1799">
        <f>+'Assumptions MH'!$Q28</f>
        <v>0.05</v>
      </c>
      <c r="AW72" s="1799">
        <f>+'Assumptions MH'!$Q28</f>
        <v>0.05</v>
      </c>
      <c r="AX72" s="1799">
        <f>+'Assumptions MH'!$Q28</f>
        <v>0.05</v>
      </c>
      <c r="AY72" s="1799">
        <f>+'Assumptions MH'!$Q28</f>
        <v>0.05</v>
      </c>
      <c r="AZ72" s="1799">
        <f>+'Assumptions MH'!$Q28</f>
        <v>0.05</v>
      </c>
      <c r="BA72" s="1799">
        <f>+'Assumptions MH'!$Q28</f>
        <v>0.05</v>
      </c>
      <c r="BB72" s="1799">
        <f>+'Assumptions MH'!$Q28</f>
        <v>0.05</v>
      </c>
      <c r="BC72" s="1799">
        <f>+'Assumptions MH'!$Q28</f>
        <v>0.05</v>
      </c>
      <c r="BD72" s="1799">
        <f>+'Assumptions MH'!$Q28</f>
        <v>0.05</v>
      </c>
      <c r="BE72" s="1799">
        <f>+'Assumptions MH'!$Q28</f>
        <v>0.05</v>
      </c>
      <c r="BF72" s="1799">
        <f>+'Assumptions MH'!$Q28</f>
        <v>0.05</v>
      </c>
      <c r="BG72" s="1799">
        <f>+'Assumptions MH'!$Q28</f>
        <v>0.05</v>
      </c>
      <c r="BH72" s="1799">
        <f>+'Assumptions MH'!$Q28</f>
        <v>0.05</v>
      </c>
      <c r="BI72" s="1799">
        <f>+'Assumptions MH'!$Q28</f>
        <v>0.05</v>
      </c>
      <c r="BJ72" s="1799">
        <f>+'Assumptions MH'!$Q28</f>
        <v>0.05</v>
      </c>
      <c r="BK72" s="1799">
        <f>+'Assumptions MH'!$Q28</f>
        <v>0.05</v>
      </c>
      <c r="BL72" s="1799">
        <f>+'Assumptions MH'!$Q28</f>
        <v>0.05</v>
      </c>
      <c r="BM72" s="1799">
        <f>+'Assumptions MH'!$Q28</f>
        <v>0.05</v>
      </c>
      <c r="BN72" s="1799">
        <f>+'Assumptions MH'!$Q28</f>
        <v>0.05</v>
      </c>
      <c r="BO72" s="1799">
        <f>+'Assumptions MH'!$Q28</f>
        <v>0.05</v>
      </c>
      <c r="BP72" s="1799">
        <f>+'Assumptions MH'!$Q28</f>
        <v>0.05</v>
      </c>
      <c r="BQ72" s="1799">
        <f>+'Assumptions MH'!$Q28</f>
        <v>0.05</v>
      </c>
      <c r="BR72" s="1799">
        <f>+'Assumptions MH'!$Q28</f>
        <v>0.05</v>
      </c>
      <c r="BS72" s="1799">
        <f>+'Assumptions MH'!$Q28</f>
        <v>0.05</v>
      </c>
      <c r="BT72" s="1799">
        <f>+'Assumptions MH'!$Q28</f>
        <v>0.05</v>
      </c>
      <c r="BU72" s="1799">
        <f>+'Assumptions MH'!$Q28</f>
        <v>0.05</v>
      </c>
      <c r="BV72" s="1799">
        <f>+'Assumptions MH'!$Q28</f>
        <v>0.05</v>
      </c>
      <c r="BW72" s="1799">
        <f>+'Assumptions MH'!$Q28</f>
        <v>0.05</v>
      </c>
      <c r="BX72" s="1799">
        <f>+'Assumptions MH'!$Q28</f>
        <v>0.05</v>
      </c>
      <c r="BY72" s="1799">
        <f>+'Assumptions MH'!$Q28</f>
        <v>0.05</v>
      </c>
      <c r="BZ72" s="1799">
        <f>+'Assumptions MH'!$Q28</f>
        <v>0.05</v>
      </c>
      <c r="CA72" s="1799">
        <f>+'Assumptions MH'!$Q28</f>
        <v>0.05</v>
      </c>
      <c r="CB72" s="1799">
        <f>+'Assumptions MH'!$Q28</f>
        <v>0.05</v>
      </c>
      <c r="CC72" s="1799">
        <f>+'Assumptions MH'!$Q28</f>
        <v>0.05</v>
      </c>
      <c r="CD72" s="1799">
        <f>+'Assumptions MH'!$Q28</f>
        <v>0.05</v>
      </c>
      <c r="CE72" s="1799">
        <f>+'Assumptions MH'!$Q28</f>
        <v>0.05</v>
      </c>
      <c r="CF72" s="1799">
        <f>+'Assumptions MH'!$Q28</f>
        <v>0.05</v>
      </c>
      <c r="CG72" s="1799">
        <f>+'Assumptions MH'!$Q28</f>
        <v>0.05</v>
      </c>
      <c r="CH72" s="1799">
        <f>+'Assumptions MH'!$Q28</f>
        <v>0.05</v>
      </c>
      <c r="CI72" s="1799">
        <f>+'Assumptions MH'!$Q28</f>
        <v>0.05</v>
      </c>
      <c r="CJ72" s="1799">
        <f>+'Assumptions MH'!$Q28</f>
        <v>0.05</v>
      </c>
      <c r="CK72" s="1799">
        <f>+'Assumptions MH'!$Q28</f>
        <v>0.05</v>
      </c>
      <c r="CL72" s="1799">
        <f>+'Assumptions MH'!$Q28</f>
        <v>0.05</v>
      </c>
      <c r="CM72" s="1799">
        <f>+'Assumptions MH'!$Q28</f>
        <v>0.05</v>
      </c>
      <c r="CN72" s="1799">
        <f>+'Assumptions MH'!$Q28</f>
        <v>0.05</v>
      </c>
      <c r="CO72" s="1799">
        <f>+'Assumptions MH'!$Q28</f>
        <v>0.05</v>
      </c>
      <c r="CP72" s="1799">
        <f>+'Assumptions MH'!$Q28</f>
        <v>0.05</v>
      </c>
      <c r="CQ72" s="1799">
        <f>+'Assumptions MH'!$Q28</f>
        <v>0.05</v>
      </c>
      <c r="CR72" s="1799">
        <f>+'Assumptions MH'!$Q28</f>
        <v>0.05</v>
      </c>
      <c r="CS72" s="1799">
        <f>+'Assumptions MH'!$Q28</f>
        <v>0.05</v>
      </c>
      <c r="CT72" s="1799">
        <f>+'Assumptions MH'!$Q28</f>
        <v>0.05</v>
      </c>
      <c r="CU72" s="1799">
        <f>+'Assumptions MH'!$Q28</f>
        <v>0.05</v>
      </c>
      <c r="CV72" s="1799">
        <f>+'Assumptions MH'!$Q28</f>
        <v>0.05</v>
      </c>
      <c r="CW72" s="1799">
        <f>+'Assumptions MH'!$Q28</f>
        <v>0.05</v>
      </c>
      <c r="CX72" s="1799">
        <f>+'Assumptions MH'!$Q28</f>
        <v>0.05</v>
      </c>
      <c r="CY72" s="1799">
        <f>+'Assumptions MH'!$Q28</f>
        <v>0.05</v>
      </c>
      <c r="CZ72" s="1799">
        <f>+'Assumptions MH'!$Q28</f>
        <v>0.05</v>
      </c>
      <c r="DA72" s="1799">
        <f>+'Assumptions MH'!$Q28</f>
        <v>0.05</v>
      </c>
      <c r="DB72" s="1799">
        <f>+'Assumptions MH'!$Q28</f>
        <v>0.05</v>
      </c>
      <c r="DC72" s="1799">
        <f>+'Assumptions MH'!$Q28</f>
        <v>0.05</v>
      </c>
      <c r="DD72" s="1799">
        <f>+'Assumptions MH'!$Q28</f>
        <v>0.05</v>
      </c>
      <c r="DE72" s="1799">
        <f>+'Assumptions MH'!$Q28</f>
        <v>0.05</v>
      </c>
      <c r="DF72" s="1799">
        <f>+'Assumptions MH'!$Q28</f>
        <v>0.05</v>
      </c>
      <c r="DG72" s="1799">
        <f>+'Assumptions MH'!$Q28</f>
        <v>0.05</v>
      </c>
      <c r="DH72" s="1799">
        <f>+'Assumptions MH'!$Q28</f>
        <v>0.05</v>
      </c>
      <c r="DI72" s="1799">
        <f>+'Assumptions MH'!$Q28</f>
        <v>0.05</v>
      </c>
      <c r="DJ72" s="1799">
        <f>+'Assumptions MH'!$Q28</f>
        <v>0.05</v>
      </c>
      <c r="DK72" s="1799">
        <f>+'Assumptions MH'!$Q28</f>
        <v>0.05</v>
      </c>
      <c r="DL72" s="1799">
        <f>+'Assumptions MH'!$Q28</f>
        <v>0.05</v>
      </c>
      <c r="DM72" s="1799">
        <f>+'Assumptions MH'!$Q28</f>
        <v>0.05</v>
      </c>
      <c r="DN72" s="1799">
        <f>+'Assumptions MH'!$Q28</f>
        <v>0.05</v>
      </c>
      <c r="DO72" s="1799">
        <f>+'Assumptions MH'!$Q28</f>
        <v>0.05</v>
      </c>
      <c r="DP72" s="1799">
        <f>+'Assumptions MH'!$Q28</f>
        <v>0.05</v>
      </c>
      <c r="DQ72" s="1799">
        <f>+'Assumptions MH'!$Q28</f>
        <v>0.05</v>
      </c>
      <c r="DR72" s="1799">
        <f>+'Assumptions MH'!$Q28</f>
        <v>0.05</v>
      </c>
      <c r="DS72" s="1799">
        <f>+'Assumptions MH'!$Q28</f>
        <v>0.05</v>
      </c>
      <c r="DT72" s="1485" t="s">
        <v>65</v>
      </c>
    </row>
    <row r="73" spans="1:124">
      <c r="B73" s="1503"/>
      <c r="D73" s="1800"/>
      <c r="E73" s="1800"/>
      <c r="F73" s="1800"/>
      <c r="G73" s="1800"/>
      <c r="H73" s="1800"/>
      <c r="I73" s="1800"/>
      <c r="J73" s="1800"/>
      <c r="K73" s="1800"/>
      <c r="L73" s="1800"/>
      <c r="M73" s="1800"/>
      <c r="N73" s="1800"/>
      <c r="O73" s="1800"/>
      <c r="P73" s="1800"/>
      <c r="Q73" s="1800"/>
      <c r="R73" s="1800"/>
      <c r="S73" s="1800"/>
      <c r="T73" s="1800"/>
      <c r="U73" s="1800"/>
      <c r="V73" s="1800"/>
      <c r="W73" s="1800"/>
      <c r="X73" s="1800"/>
      <c r="Y73" s="1800"/>
      <c r="Z73" s="1800"/>
      <c r="AA73" s="1800"/>
      <c r="AB73" s="1800"/>
      <c r="AC73" s="1800"/>
      <c r="AD73" s="1800"/>
      <c r="AE73" s="1800"/>
      <c r="AF73" s="1800"/>
      <c r="AG73" s="1800"/>
      <c r="AH73" s="1800"/>
      <c r="AI73" s="1800"/>
      <c r="AJ73" s="1800"/>
      <c r="AK73" s="1800"/>
      <c r="AL73" s="1800"/>
      <c r="AM73" s="1800"/>
      <c r="AN73" s="1800"/>
      <c r="AO73" s="1800"/>
      <c r="AP73" s="1800"/>
      <c r="AQ73" s="1800"/>
      <c r="AR73" s="1800"/>
      <c r="AS73" s="1800"/>
      <c r="AT73" s="1800"/>
      <c r="AU73" s="1800"/>
      <c r="AV73" s="1800"/>
      <c r="AW73" s="1800"/>
      <c r="AX73" s="1800"/>
      <c r="AY73" s="1800"/>
      <c r="AZ73" s="1800"/>
      <c r="BA73" s="1800"/>
      <c r="BB73" s="1800"/>
      <c r="BC73" s="1800"/>
      <c r="BD73" s="1800"/>
      <c r="BE73" s="1800"/>
      <c r="BF73" s="1800"/>
      <c r="BG73" s="1800"/>
      <c r="BH73" s="1800"/>
      <c r="BI73" s="1800"/>
      <c r="BJ73" s="1800"/>
      <c r="BK73" s="1800"/>
      <c r="BL73" s="1800"/>
      <c r="BM73" s="1800"/>
      <c r="BN73" s="1800"/>
      <c r="BO73" s="1800"/>
      <c r="BP73" s="1800"/>
      <c r="BQ73" s="1800"/>
      <c r="BR73" s="1800"/>
      <c r="BS73" s="1800"/>
      <c r="BT73" s="1800"/>
      <c r="BU73" s="1800"/>
      <c r="BV73" s="1800"/>
      <c r="BW73" s="1800"/>
      <c r="BX73" s="1800"/>
      <c r="BY73" s="1800"/>
      <c r="BZ73" s="1800"/>
      <c r="CA73" s="1800"/>
      <c r="CB73" s="1800"/>
      <c r="CC73" s="1800"/>
      <c r="CD73" s="1800"/>
      <c r="CE73" s="1800"/>
      <c r="CF73" s="1800"/>
      <c r="CG73" s="1800"/>
      <c r="CH73" s="1800"/>
      <c r="CI73" s="1800"/>
      <c r="CJ73" s="1800"/>
      <c r="CK73" s="1800"/>
      <c r="CL73" s="1800"/>
      <c r="CM73" s="1800"/>
      <c r="CN73" s="1800"/>
      <c r="CO73" s="1800"/>
      <c r="CP73" s="1800"/>
      <c r="CQ73" s="1800"/>
      <c r="CR73" s="1800"/>
      <c r="CS73" s="1800"/>
      <c r="CT73" s="1800"/>
      <c r="CU73" s="1800"/>
      <c r="CV73" s="1800"/>
      <c r="CW73" s="1800"/>
      <c r="CX73" s="1800"/>
      <c r="CY73" s="1800"/>
      <c r="CZ73" s="1800"/>
      <c r="DA73" s="1800"/>
      <c r="DB73" s="1800"/>
      <c r="DC73" s="1800"/>
      <c r="DD73" s="1800"/>
      <c r="DE73" s="1800"/>
      <c r="DF73" s="1800"/>
      <c r="DG73" s="1800"/>
      <c r="DH73" s="1800"/>
      <c r="DI73" s="1800"/>
      <c r="DJ73" s="1800"/>
      <c r="DK73" s="1800"/>
      <c r="DL73" s="1800"/>
      <c r="DM73" s="1800"/>
      <c r="DN73" s="1800"/>
      <c r="DO73" s="1800"/>
      <c r="DP73" s="1800"/>
      <c r="DQ73" s="1800"/>
      <c r="DR73" s="1800"/>
      <c r="DS73" s="1800"/>
      <c r="DT73" s="1485" t="s">
        <v>65</v>
      </c>
    </row>
    <row r="74" spans="1:124">
      <c r="B74" s="1749" t="s">
        <v>962</v>
      </c>
      <c r="D74" s="1664">
        <f>+'Assumptions MH'!$G$45*D75*(1+'Assumptions MH'!$Z$6)^('Cash Flow MH'!D$5-1)</f>
        <v>188157.54828936674</v>
      </c>
      <c r="E74" s="1664">
        <f>+'Assumptions MH'!$G$45*E75*(1+'Assumptions MH'!$Z$6)^('Cash Flow MH'!E$5-1)</f>
        <v>188157.54828936674</v>
      </c>
      <c r="F74" s="1664">
        <f>+'Assumptions MH'!$G$45*F75*(1+'Assumptions MH'!$Z$6)^('Cash Flow MH'!F$5-1)</f>
        <v>188157.54828936674</v>
      </c>
      <c r="G74" s="1664">
        <f>+'Assumptions MH'!$G$45*G75*(1+'Assumptions MH'!$Z$6)^('Cash Flow MH'!G$5-1)</f>
        <v>188157.54828936674</v>
      </c>
      <c r="H74" s="1664">
        <f>+'Assumptions MH'!$G$45*H75*(1+'Assumptions MH'!$Z$6)^('Cash Flow MH'!H$5-1)</f>
        <v>188157.54828936674</v>
      </c>
      <c r="I74" s="1664">
        <f>+'Assumptions MH'!$G$45*I75*(1+'Assumptions MH'!$Z$6)^('Cash Flow MH'!I$5-1)</f>
        <v>188157.54828936674</v>
      </c>
      <c r="J74" s="1664">
        <f>+'Assumptions MH'!$G$45*J75*(1+'Assumptions MH'!$Z$6)^('Cash Flow MH'!J$5-1)</f>
        <v>188157.54828936674</v>
      </c>
      <c r="K74" s="1664">
        <f>+'Assumptions MH'!$G$45*K75*(1+'Assumptions MH'!$Z$6)^('Cash Flow MH'!K$5-1)</f>
        <v>188157.54828936674</v>
      </c>
      <c r="L74" s="1664">
        <f>+'Assumptions MH'!$G$45*L75*(1+'Assumptions MH'!$Z$6)^('Cash Flow MH'!L$5-1)</f>
        <v>188157.54828936674</v>
      </c>
      <c r="M74" s="1664">
        <f>+'Assumptions MH'!$G$45*M75*(1+'Assumptions MH'!$Z$6)^('Cash Flow MH'!M$5-1)</f>
        <v>188157.54828936674</v>
      </c>
      <c r="N74" s="1664">
        <f>+'Assumptions MH'!$G$45*N75*(1+'Assumptions MH'!$Z$6)^('Cash Flow MH'!N$5-1)</f>
        <v>188157.54828936674</v>
      </c>
      <c r="O74" s="1664">
        <f>+'Assumptions MH'!$G$45*O75*(1+'Assumptions MH'!$Z$6)^('Cash Flow MH'!O$5-1)</f>
        <v>188157.54828936674</v>
      </c>
      <c r="P74" s="1664">
        <f>+'Assumptions MH'!$G$45*P75*(1+'Assumptions MH'!$Z$6)^('Cash Flow MH'!P$5-1)</f>
        <v>161501.89561503977</v>
      </c>
      <c r="Q74" s="1664">
        <f>+'Assumptions MH'!$G$45*Q75*(1+'Assumptions MH'!$Z$6)^('Cash Flow MH'!Q$5-1)</f>
        <v>161501.89561503977</v>
      </c>
      <c r="R74" s="1664">
        <f>+'Assumptions MH'!$G$45*R75*(1+'Assumptions MH'!$Z$6)^('Cash Flow MH'!R$5-1)</f>
        <v>161501.89561503977</v>
      </c>
      <c r="S74" s="1664">
        <f>+'Assumptions MH'!$G$45*S75*(1+'Assumptions MH'!$Z$6)^('Cash Flow MH'!S$5-1)</f>
        <v>161501.89561503977</v>
      </c>
      <c r="T74" s="1664">
        <f>+'Assumptions MH'!$G$45*T75*(1+'Assumptions MH'!$Z$6)^('Cash Flow MH'!T$5-1)</f>
        <v>161501.89561503977</v>
      </c>
      <c r="U74" s="1664">
        <f>+'Assumptions MH'!$G$45*U75*(1+'Assumptions MH'!$Z$6)^('Cash Flow MH'!U$5-1)</f>
        <v>161501.89561503977</v>
      </c>
      <c r="V74" s="1664">
        <f>+'Assumptions MH'!$G$45*V75*(1+'Assumptions MH'!$Z$6)^('Cash Flow MH'!V$5-1)</f>
        <v>161501.89561503977</v>
      </c>
      <c r="W74" s="1664">
        <f>+'Assumptions MH'!$G$45*W75*(1+'Assumptions MH'!$Z$6)^('Cash Flow MH'!W$5-1)</f>
        <v>161501.89561503977</v>
      </c>
      <c r="X74" s="1664">
        <f>+'Assumptions MH'!$G$45*X75*(1+'Assumptions MH'!$Z$6)^('Cash Flow MH'!X$5-1)</f>
        <v>161501.89561503977</v>
      </c>
      <c r="Y74" s="1664">
        <f>+'Assumptions MH'!$G$45*Y75*(1+'Assumptions MH'!$Z$6)^('Cash Flow MH'!Y$5-1)</f>
        <v>161501.89561503977</v>
      </c>
      <c r="Z74" s="1664">
        <f>+'Assumptions MH'!$G$45*Z75*(1+'Assumptions MH'!$Z$6)^('Cash Flow MH'!Z$5-1)</f>
        <v>161501.89561503977</v>
      </c>
      <c r="AA74" s="1664">
        <f>+'Assumptions MH'!$G$45*AA75*(1+'Assumptions MH'!$Z$6)^('Cash Flow MH'!AA$5-1)</f>
        <v>161501.89561503977</v>
      </c>
      <c r="AB74" s="1664">
        <f>+'Assumptions MH'!$G$45*AB75*(1+'Assumptions MH'!$Z$6)^('Cash Flow MH'!AB$5-1)</f>
        <v>133077.56198679277</v>
      </c>
      <c r="AC74" s="1664">
        <f>+'Assumptions MH'!$G$45*AC75*(1+'Assumptions MH'!$Z$6)^('Cash Flow MH'!AC$5-1)</f>
        <v>133077.56198679277</v>
      </c>
      <c r="AD74" s="1664">
        <f>+'Assumptions MH'!$G$45*AD75*(1+'Assumptions MH'!$Z$6)^('Cash Flow MH'!AD$5-1)</f>
        <v>133077.56198679277</v>
      </c>
      <c r="AE74" s="1664">
        <f>+'Assumptions MH'!$G$45*AE75*(1+'Assumptions MH'!$Z$6)^('Cash Flow MH'!AE$5-1)</f>
        <v>133077.56198679277</v>
      </c>
      <c r="AF74" s="1664">
        <f>+'Assumptions MH'!$G$45*AF75*(1+'Assumptions MH'!$Z$6)^('Cash Flow MH'!AF$5-1)</f>
        <v>133077.56198679277</v>
      </c>
      <c r="AG74" s="1664">
        <f>+'Assumptions MH'!$G$45*AG75*(1+'Assumptions MH'!$Z$6)^('Cash Flow MH'!AG$5-1)</f>
        <v>133077.56198679277</v>
      </c>
      <c r="AH74" s="1664">
        <f>+'Assumptions MH'!$G$45*AH75*(1+'Assumptions MH'!$Z$6)^('Cash Flow MH'!AH$5-1)</f>
        <v>133077.56198679277</v>
      </c>
      <c r="AI74" s="1664">
        <f>+'Assumptions MH'!$G$45*AI75*(1+'Assumptions MH'!$Z$6)^('Cash Flow MH'!AI$5-1)</f>
        <v>133077.56198679277</v>
      </c>
      <c r="AJ74" s="1664">
        <f>+'Assumptions MH'!$G$45*AJ75*(1+'Assumptions MH'!$Z$6)^('Cash Flow MH'!AJ$5-1)</f>
        <v>133077.56198679277</v>
      </c>
      <c r="AK74" s="1664">
        <f>+'Assumptions MH'!$G$45*AK75*(1+'Assumptions MH'!$Z$6)^('Cash Flow MH'!AK$5-1)</f>
        <v>133077.56198679277</v>
      </c>
      <c r="AL74" s="1664">
        <f>+'Assumptions MH'!$G$45*AL75*(1+'Assumptions MH'!$Z$6)^('Cash Flow MH'!AL$5-1)</f>
        <v>133077.56198679277</v>
      </c>
      <c r="AM74" s="1664">
        <f>+'Assumptions MH'!$G$45*AM75*(1+'Assumptions MH'!$Z$6)^('Cash Flow MH'!AM$5-1)</f>
        <v>133077.56198679277</v>
      </c>
      <c r="AN74" s="1664">
        <f>+'Assumptions MH'!$G$45*AN75*(1+'Assumptions MH'!$Z$6)^('Cash Flow MH'!AN$5-1)</f>
        <v>137069.88884639656</v>
      </c>
      <c r="AO74" s="1664">
        <f>+'Assumptions MH'!$G$45*AO75*(1+'Assumptions MH'!$Z$6)^('Cash Flow MH'!AO$5-1)</f>
        <v>137069.88884639656</v>
      </c>
      <c r="AP74" s="1664">
        <f>+'Assumptions MH'!$G$45*AP75*(1+'Assumptions MH'!$Z$6)^('Cash Flow MH'!AP$5-1)</f>
        <v>137069.88884639656</v>
      </c>
      <c r="AQ74" s="1664">
        <f>+'Assumptions MH'!$G$45*AQ75*(1+'Assumptions MH'!$Z$6)^('Cash Flow MH'!AQ$5-1)</f>
        <v>137069.88884639656</v>
      </c>
      <c r="AR74" s="1664">
        <f>+'Assumptions MH'!$G$45*AR75*(1+'Assumptions MH'!$Z$6)^('Cash Flow MH'!AR$5-1)</f>
        <v>137069.88884639656</v>
      </c>
      <c r="AS74" s="1664">
        <f>+'Assumptions MH'!$G$45*AS75*(1+'Assumptions MH'!$Z$6)^('Cash Flow MH'!AS$5-1)</f>
        <v>137069.88884639656</v>
      </c>
      <c r="AT74" s="1664">
        <f>+'Assumptions MH'!$G$45*AT75*(1+'Assumptions MH'!$Z$6)^('Cash Flow MH'!AT$5-1)</f>
        <v>137069.88884639656</v>
      </c>
      <c r="AU74" s="1664">
        <f>+'Assumptions MH'!$G$45*AU75*(1+'Assumptions MH'!$Z$6)^('Cash Flow MH'!AU$5-1)</f>
        <v>137069.88884639656</v>
      </c>
      <c r="AV74" s="1664">
        <f>+'Assumptions MH'!$G$45*AV75*(1+'Assumptions MH'!$Z$6)^('Cash Flow MH'!AV$5-1)</f>
        <v>137069.88884639656</v>
      </c>
      <c r="AW74" s="1664">
        <f>+'Assumptions MH'!$G$45*AW75*(1+'Assumptions MH'!$Z$6)^('Cash Flow MH'!AW$5-1)</f>
        <v>137069.88884639656</v>
      </c>
      <c r="AX74" s="1664">
        <f>+'Assumptions MH'!$G$45*AX75*(1+'Assumptions MH'!$Z$6)^('Cash Flow MH'!AX$5-1)</f>
        <v>137069.88884639656</v>
      </c>
      <c r="AY74" s="1664">
        <f>+'Assumptions MH'!$G$45*AY75*(1+'Assumptions MH'!$Z$6)^('Cash Flow MH'!AY$5-1)</f>
        <v>137069.88884639656</v>
      </c>
      <c r="AZ74" s="1664">
        <f>+'Assumptions MH'!$G$45*AZ75*(1+'Assumptions MH'!$Z$6)^('Cash Flow MH'!AZ$5-1)</f>
        <v>141181.98551178846</v>
      </c>
      <c r="BA74" s="1664">
        <f>+'Assumptions MH'!$G$45*BA75*(1+'Assumptions MH'!$Z$6)^('Cash Flow MH'!BA$5-1)</f>
        <v>141181.98551178846</v>
      </c>
      <c r="BB74" s="1664">
        <f>+'Assumptions MH'!$G$45*BB75*(1+'Assumptions MH'!$Z$6)^('Cash Flow MH'!BB$5-1)</f>
        <v>141181.98551178846</v>
      </c>
      <c r="BC74" s="1664">
        <f>+'Assumptions MH'!$G$45*BC75*(1+'Assumptions MH'!$Z$6)^('Cash Flow MH'!BC$5-1)</f>
        <v>141181.98551178846</v>
      </c>
      <c r="BD74" s="1664">
        <f>+'Assumptions MH'!$G$45*BD75*(1+'Assumptions MH'!$Z$6)^('Cash Flow MH'!BD$5-1)</f>
        <v>141181.98551178846</v>
      </c>
      <c r="BE74" s="1664">
        <f>+'Assumptions MH'!$G$45*BE75*(1+'Assumptions MH'!$Z$6)^('Cash Flow MH'!BE$5-1)</f>
        <v>141181.98551178846</v>
      </c>
      <c r="BF74" s="1664">
        <f>+'Assumptions MH'!$G$45*BF75*(1+'Assumptions MH'!$Z$6)^('Cash Flow MH'!BF$5-1)</f>
        <v>141181.98551178846</v>
      </c>
      <c r="BG74" s="1664">
        <f>+'Assumptions MH'!$G$45*BG75*(1+'Assumptions MH'!$Z$6)^('Cash Flow MH'!BG$5-1)</f>
        <v>141181.98551178846</v>
      </c>
      <c r="BH74" s="1664">
        <f>+'Assumptions MH'!$G$45*BH75*(1+'Assumptions MH'!$Z$6)^('Cash Flow MH'!BH$5-1)</f>
        <v>141181.98551178846</v>
      </c>
      <c r="BI74" s="1664">
        <f>+'Assumptions MH'!$G$45*BI75*(1+'Assumptions MH'!$Z$6)^('Cash Flow MH'!BI$5-1)</f>
        <v>141181.98551178846</v>
      </c>
      <c r="BJ74" s="1664">
        <f>+'Assumptions MH'!$G$45*BJ75*(1+'Assumptions MH'!$Z$6)^('Cash Flow MH'!BJ$5-1)</f>
        <v>141181.98551178846</v>
      </c>
      <c r="BK74" s="1664">
        <f>+'Assumptions MH'!$G$45*BK75*(1+'Assumptions MH'!$Z$6)^('Cash Flow MH'!BK$5-1)</f>
        <v>141181.98551178846</v>
      </c>
      <c r="BL74" s="1664">
        <f>+'Assumptions MH'!$G$45*BL75*(1+'Assumptions MH'!$Z$6)^('Cash Flow MH'!BL$5-1)</f>
        <v>145417.4450771421</v>
      </c>
      <c r="BM74" s="1664">
        <f>+'Assumptions MH'!$G$45*BM75*(1+'Assumptions MH'!$Z$6)^('Cash Flow MH'!BM$5-1)</f>
        <v>145417.4450771421</v>
      </c>
      <c r="BN74" s="1664">
        <f>+'Assumptions MH'!$G$45*BN75*(1+'Assumptions MH'!$Z$6)^('Cash Flow MH'!BN$5-1)</f>
        <v>145417.4450771421</v>
      </c>
      <c r="BO74" s="1664">
        <f>+'Assumptions MH'!$G$45*BO75*(1+'Assumptions MH'!$Z$6)^('Cash Flow MH'!BO$5-1)</f>
        <v>145417.4450771421</v>
      </c>
      <c r="BP74" s="1664">
        <f>+'Assumptions MH'!$G$45*BP75*(1+'Assumptions MH'!$Z$6)^('Cash Flow MH'!BP$5-1)</f>
        <v>145417.4450771421</v>
      </c>
      <c r="BQ74" s="1664">
        <f>+'Assumptions MH'!$G$45*BQ75*(1+'Assumptions MH'!$Z$6)^('Cash Flow MH'!BQ$5-1)</f>
        <v>145417.4450771421</v>
      </c>
      <c r="BR74" s="1664">
        <f>+'Assumptions MH'!$G$45*BR75*(1+'Assumptions MH'!$Z$6)^('Cash Flow MH'!BR$5-1)</f>
        <v>145417.4450771421</v>
      </c>
      <c r="BS74" s="1664">
        <f>+'Assumptions MH'!$G$45*BS75*(1+'Assumptions MH'!$Z$6)^('Cash Flow MH'!BS$5-1)</f>
        <v>145417.4450771421</v>
      </c>
      <c r="BT74" s="1664">
        <f>+'Assumptions MH'!$G$45*BT75*(1+'Assumptions MH'!$Z$6)^('Cash Flow MH'!BT$5-1)</f>
        <v>145417.4450771421</v>
      </c>
      <c r="BU74" s="1664">
        <f>+'Assumptions MH'!$G$45*BU75*(1+'Assumptions MH'!$Z$6)^('Cash Flow MH'!BU$5-1)</f>
        <v>145417.4450771421</v>
      </c>
      <c r="BV74" s="1664">
        <f>+'Assumptions MH'!$G$45*BV75*(1+'Assumptions MH'!$Z$6)^('Cash Flow MH'!BV$5-1)</f>
        <v>145417.4450771421</v>
      </c>
      <c r="BW74" s="1664">
        <f>+'Assumptions MH'!$G$45*BW75*(1+'Assumptions MH'!$Z$6)^('Cash Flow MH'!BW$5-1)</f>
        <v>145417.4450771421</v>
      </c>
      <c r="BX74" s="1664">
        <f>+'Assumptions MH'!$G$45*BX75*(1+'Assumptions MH'!$Z$6)^('Cash Flow MH'!BX$5-1)</f>
        <v>149779.96842945638</v>
      </c>
      <c r="BY74" s="1664">
        <f>+'Assumptions MH'!$G$45*BY75*(1+'Assumptions MH'!$Z$6)^('Cash Flow MH'!BY$5-1)</f>
        <v>149779.96842945638</v>
      </c>
      <c r="BZ74" s="1664">
        <f>+'Assumptions MH'!$G$45*BZ75*(1+'Assumptions MH'!$Z$6)^('Cash Flow MH'!BZ$5-1)</f>
        <v>149779.96842945638</v>
      </c>
      <c r="CA74" s="1664">
        <f>+'Assumptions MH'!$G$45*CA75*(1+'Assumptions MH'!$Z$6)^('Cash Flow MH'!CA$5-1)</f>
        <v>149779.96842945638</v>
      </c>
      <c r="CB74" s="1664">
        <f>+'Assumptions MH'!$G$45*CB75*(1+'Assumptions MH'!$Z$6)^('Cash Flow MH'!CB$5-1)</f>
        <v>149779.96842945638</v>
      </c>
      <c r="CC74" s="1664">
        <f>+'Assumptions MH'!$G$45*CC75*(1+'Assumptions MH'!$Z$6)^('Cash Flow MH'!CC$5-1)</f>
        <v>149779.96842945638</v>
      </c>
      <c r="CD74" s="1664">
        <f>+'Assumptions MH'!$G$45*CD75*(1+'Assumptions MH'!$Z$6)^('Cash Flow MH'!CD$5-1)</f>
        <v>149779.96842945638</v>
      </c>
      <c r="CE74" s="1664">
        <f>+'Assumptions MH'!$G$45*CE75*(1+'Assumptions MH'!$Z$6)^('Cash Flow MH'!CE$5-1)</f>
        <v>149779.96842945638</v>
      </c>
      <c r="CF74" s="1664">
        <f>+'Assumptions MH'!$G$45*CF75*(1+'Assumptions MH'!$Z$6)^('Cash Flow MH'!CF$5-1)</f>
        <v>149779.96842945638</v>
      </c>
      <c r="CG74" s="1664">
        <f>+'Assumptions MH'!$G$45*CG75*(1+'Assumptions MH'!$Z$6)^('Cash Flow MH'!CG$5-1)</f>
        <v>149779.96842945638</v>
      </c>
      <c r="CH74" s="1664">
        <f>+'Assumptions MH'!$G$45*CH75*(1+'Assumptions MH'!$Z$6)^('Cash Flow MH'!CH$5-1)</f>
        <v>149779.96842945638</v>
      </c>
      <c r="CI74" s="1664">
        <f>+'Assumptions MH'!$G$45*CI75*(1+'Assumptions MH'!$Z$6)^('Cash Flow MH'!CI$5-1)</f>
        <v>149779.96842945638</v>
      </c>
      <c r="CJ74" s="1664">
        <f>+'Assumptions MH'!$G$45*CJ75*(1+'Assumptions MH'!$Z$6)^('Cash Flow MH'!CJ$5-1)</f>
        <v>154273.36748234008</v>
      </c>
      <c r="CK74" s="1664">
        <f>+'Assumptions MH'!$G$45*CK75*(1+'Assumptions MH'!$Z$6)^('Cash Flow MH'!CK$5-1)</f>
        <v>154273.36748234008</v>
      </c>
      <c r="CL74" s="1664">
        <f>+'Assumptions MH'!$G$45*CL75*(1+'Assumptions MH'!$Z$6)^('Cash Flow MH'!CL$5-1)</f>
        <v>154273.36748234008</v>
      </c>
      <c r="CM74" s="1664">
        <f>+'Assumptions MH'!$G$45*CM75*(1+'Assumptions MH'!$Z$6)^('Cash Flow MH'!CM$5-1)</f>
        <v>154273.36748234008</v>
      </c>
      <c r="CN74" s="1664">
        <f>+'Assumptions MH'!$G$45*CN75*(1+'Assumptions MH'!$Z$6)^('Cash Flow MH'!CN$5-1)</f>
        <v>154273.36748234008</v>
      </c>
      <c r="CO74" s="1664">
        <f>+'Assumptions MH'!$G$45*CO75*(1+'Assumptions MH'!$Z$6)^('Cash Flow MH'!CO$5-1)</f>
        <v>154273.36748234008</v>
      </c>
      <c r="CP74" s="1664">
        <f>+'Assumptions MH'!$G$45*CP75*(1+'Assumptions MH'!$Z$6)^('Cash Flow MH'!CP$5-1)</f>
        <v>154273.36748234008</v>
      </c>
      <c r="CQ74" s="1664">
        <f>+'Assumptions MH'!$G$45*CQ75*(1+'Assumptions MH'!$Z$6)^('Cash Flow MH'!CQ$5-1)</f>
        <v>154273.36748234008</v>
      </c>
      <c r="CR74" s="1664">
        <f>+'Assumptions MH'!$G$45*CR75*(1+'Assumptions MH'!$Z$6)^('Cash Flow MH'!CR$5-1)</f>
        <v>154273.36748234008</v>
      </c>
      <c r="CS74" s="1664">
        <f>+'Assumptions MH'!$G$45*CS75*(1+'Assumptions MH'!$Z$6)^('Cash Flow MH'!CS$5-1)</f>
        <v>154273.36748234008</v>
      </c>
      <c r="CT74" s="1664">
        <f>+'Assumptions MH'!$G$45*CT75*(1+'Assumptions MH'!$Z$6)^('Cash Flow MH'!CT$5-1)</f>
        <v>154273.36748234008</v>
      </c>
      <c r="CU74" s="1664">
        <f>+'Assumptions MH'!$G$45*CU75*(1+'Assumptions MH'!$Z$6)^('Cash Flow MH'!CU$5-1)</f>
        <v>154273.36748234008</v>
      </c>
      <c r="CV74" s="1664">
        <f>+'Assumptions MH'!$G$45*CV75*(1+'Assumptions MH'!$Z$6)^('Cash Flow MH'!CV$5-1)</f>
        <v>158901.56850681026</v>
      </c>
      <c r="CW74" s="1664">
        <f>+'Assumptions MH'!$G$45*CW75*(1+'Assumptions MH'!$Z$6)^('Cash Flow MH'!CW$5-1)</f>
        <v>158901.56850681026</v>
      </c>
      <c r="CX74" s="1664">
        <f>+'Assumptions MH'!$G$45*CX75*(1+'Assumptions MH'!$Z$6)^('Cash Flow MH'!CX$5-1)</f>
        <v>158901.56850681026</v>
      </c>
      <c r="CY74" s="1664">
        <f>+'Assumptions MH'!$G$45*CY75*(1+'Assumptions MH'!$Z$6)^('Cash Flow MH'!CY$5-1)</f>
        <v>158901.56850681026</v>
      </c>
      <c r="CZ74" s="1664">
        <f>+'Assumptions MH'!$G$45*CZ75*(1+'Assumptions MH'!$Z$6)^('Cash Flow MH'!CZ$5-1)</f>
        <v>158901.56850681026</v>
      </c>
      <c r="DA74" s="1664">
        <f>+'Assumptions MH'!$G$45*DA75*(1+'Assumptions MH'!$Z$6)^('Cash Flow MH'!DA$5-1)</f>
        <v>158901.56850681026</v>
      </c>
      <c r="DB74" s="1664">
        <f>+'Assumptions MH'!$G$45*DB75*(1+'Assumptions MH'!$Z$6)^('Cash Flow MH'!DB$5-1)</f>
        <v>158901.56850681026</v>
      </c>
      <c r="DC74" s="1664">
        <f>+'Assumptions MH'!$G$45*DC75*(1+'Assumptions MH'!$Z$6)^('Cash Flow MH'!DC$5-1)</f>
        <v>158901.56850681026</v>
      </c>
      <c r="DD74" s="1664">
        <f>+'Assumptions MH'!$G$45*DD75*(1+'Assumptions MH'!$Z$6)^('Cash Flow MH'!DD$5-1)</f>
        <v>158901.56850681026</v>
      </c>
      <c r="DE74" s="1664">
        <f>+'Assumptions MH'!$G$45*DE75*(1+'Assumptions MH'!$Z$6)^('Cash Flow MH'!DE$5-1)</f>
        <v>158901.56850681026</v>
      </c>
      <c r="DF74" s="1664">
        <f>+'Assumptions MH'!$G$45*DF75*(1+'Assumptions MH'!$Z$6)^('Cash Flow MH'!DF$5-1)</f>
        <v>158901.56850681026</v>
      </c>
      <c r="DG74" s="1664">
        <f>+'Assumptions MH'!$G$45*DG75*(1+'Assumptions MH'!$Z$6)^('Cash Flow MH'!DG$5-1)</f>
        <v>158901.56850681026</v>
      </c>
      <c r="DH74" s="1664">
        <f>+'Assumptions MH'!$G$45*DH75*(1+'Assumptions MH'!$Z$6)^('Cash Flow MH'!DH$5-1)</f>
        <v>163668.61556201457</v>
      </c>
      <c r="DI74" s="1664">
        <f>+'Assumptions MH'!$G$45*DI75*(1+'Assumptions MH'!$Z$6)^('Cash Flow MH'!DI$5-1)</f>
        <v>163668.61556201457</v>
      </c>
      <c r="DJ74" s="1664">
        <f>+'Assumptions MH'!$G$45*DJ75*(1+'Assumptions MH'!$Z$6)^('Cash Flow MH'!DJ$5-1)</f>
        <v>163668.61556201457</v>
      </c>
      <c r="DK74" s="1664">
        <f>+'Assumptions MH'!$G$45*DK75*(1+'Assumptions MH'!$Z$6)^('Cash Flow MH'!DK$5-1)</f>
        <v>163668.61556201457</v>
      </c>
      <c r="DL74" s="1664">
        <f>+'Assumptions MH'!$G$45*DL75*(1+'Assumptions MH'!$Z$6)^('Cash Flow MH'!DL$5-1)</f>
        <v>163668.61556201457</v>
      </c>
      <c r="DM74" s="1664">
        <f>+'Assumptions MH'!$G$45*DM75*(1+'Assumptions MH'!$Z$6)^('Cash Flow MH'!DM$5-1)</f>
        <v>163668.61556201457</v>
      </c>
      <c r="DN74" s="1664">
        <f>+'Assumptions MH'!$G$45*DN75*(1+'Assumptions MH'!$Z$6)^('Cash Flow MH'!DN$5-1)</f>
        <v>163668.61556201457</v>
      </c>
      <c r="DO74" s="1664">
        <f>+'Assumptions MH'!$G$45*DO75*(1+'Assumptions MH'!$Z$6)^('Cash Flow MH'!DO$5-1)</f>
        <v>163668.61556201457</v>
      </c>
      <c r="DP74" s="1664">
        <f>+'Assumptions MH'!$G$45*DP75*(1+'Assumptions MH'!$Z$6)^('Cash Flow MH'!DP$5-1)</f>
        <v>163668.61556201457</v>
      </c>
      <c r="DQ74" s="1664">
        <f>+'Assumptions MH'!$G$45*DQ75*(1+'Assumptions MH'!$Z$6)^('Cash Flow MH'!DQ$5-1)</f>
        <v>163668.61556201457</v>
      </c>
      <c r="DR74" s="1664">
        <f>+'Assumptions MH'!$G$45*DR75*(1+'Assumptions MH'!$Z$6)^('Cash Flow MH'!DR$5-1)</f>
        <v>163668.61556201457</v>
      </c>
      <c r="DS74" s="1664">
        <f>+'Assumptions MH'!$G$45*DS75*(1+'Assumptions MH'!$Z$6)^('Cash Flow MH'!DS$5-1)</f>
        <v>163668.61556201457</v>
      </c>
      <c r="DT74" s="1485" t="s">
        <v>65</v>
      </c>
    </row>
    <row r="75" spans="1:124">
      <c r="B75" s="1741" t="s">
        <v>1133</v>
      </c>
      <c r="D75" s="1799">
        <f>INDEX('Assumptions MH'!$Z$12:$Z$21,MATCH('Cash Flow MH'!D$5,'Assumptions MH'!$Y$12:$Y$21,))</f>
        <v>0.6</v>
      </c>
      <c r="E75" s="1799">
        <f>INDEX('Assumptions MH'!$Z$12:$Z$21,MATCH('Cash Flow MH'!E$5,'Assumptions MH'!$Y$12:$Y$21,))</f>
        <v>0.6</v>
      </c>
      <c r="F75" s="1799">
        <f>INDEX('Assumptions MH'!$Z$12:$Z$21,MATCH('Cash Flow MH'!F$5,'Assumptions MH'!$Y$12:$Y$21,))</f>
        <v>0.6</v>
      </c>
      <c r="G75" s="1799">
        <f>INDEX('Assumptions MH'!$Z$12:$Z$21,MATCH('Cash Flow MH'!G$5,'Assumptions MH'!$Y$12:$Y$21,))</f>
        <v>0.6</v>
      </c>
      <c r="H75" s="1799">
        <f>INDEX('Assumptions MH'!$Z$12:$Z$21,MATCH('Cash Flow MH'!H$5,'Assumptions MH'!$Y$12:$Y$21,))</f>
        <v>0.6</v>
      </c>
      <c r="I75" s="1799">
        <f>INDEX('Assumptions MH'!$Z$12:$Z$21,MATCH('Cash Flow MH'!I$5,'Assumptions MH'!$Y$12:$Y$21,))</f>
        <v>0.6</v>
      </c>
      <c r="J75" s="1799">
        <f>INDEX('Assumptions MH'!$Z$12:$Z$21,MATCH('Cash Flow MH'!J$5,'Assumptions MH'!$Y$12:$Y$21,))</f>
        <v>0.6</v>
      </c>
      <c r="K75" s="1799">
        <f>INDEX('Assumptions MH'!$Z$12:$Z$21,MATCH('Cash Flow MH'!K$5,'Assumptions MH'!$Y$12:$Y$21,))</f>
        <v>0.6</v>
      </c>
      <c r="L75" s="1799">
        <f>INDEX('Assumptions MH'!$Z$12:$Z$21,MATCH('Cash Flow MH'!L$5,'Assumptions MH'!$Y$12:$Y$21,))</f>
        <v>0.6</v>
      </c>
      <c r="M75" s="1799">
        <f>INDEX('Assumptions MH'!$Z$12:$Z$21,MATCH('Cash Flow MH'!M$5,'Assumptions MH'!$Y$12:$Y$21,))</f>
        <v>0.6</v>
      </c>
      <c r="N75" s="1799">
        <f>INDEX('Assumptions MH'!$Z$12:$Z$21,MATCH('Cash Flow MH'!N$5,'Assumptions MH'!$Y$12:$Y$21,))</f>
        <v>0.6</v>
      </c>
      <c r="O75" s="1799">
        <f>INDEX('Assumptions MH'!$Z$12:$Z$21,MATCH('Cash Flow MH'!O$5,'Assumptions MH'!$Y$12:$Y$21,))</f>
        <v>0.6</v>
      </c>
      <c r="P75" s="1799">
        <f>INDEX('Assumptions MH'!$Z$12:$Z$21,MATCH('Cash Flow MH'!P$5,'Assumptions MH'!$Y$12:$Y$21,))</f>
        <v>0.5</v>
      </c>
      <c r="Q75" s="1799">
        <f>INDEX('Assumptions MH'!$Z$12:$Z$21,MATCH('Cash Flow MH'!Q$5,'Assumptions MH'!$Y$12:$Y$21,))</f>
        <v>0.5</v>
      </c>
      <c r="R75" s="1799">
        <f>INDEX('Assumptions MH'!$Z$12:$Z$21,MATCH('Cash Flow MH'!R$5,'Assumptions MH'!$Y$12:$Y$21,))</f>
        <v>0.5</v>
      </c>
      <c r="S75" s="1799">
        <f>INDEX('Assumptions MH'!$Z$12:$Z$21,MATCH('Cash Flow MH'!S$5,'Assumptions MH'!$Y$12:$Y$21,))</f>
        <v>0.5</v>
      </c>
      <c r="T75" s="1799">
        <f>INDEX('Assumptions MH'!$Z$12:$Z$21,MATCH('Cash Flow MH'!T$5,'Assumptions MH'!$Y$12:$Y$21,))</f>
        <v>0.5</v>
      </c>
      <c r="U75" s="1799">
        <f>INDEX('Assumptions MH'!$Z$12:$Z$21,MATCH('Cash Flow MH'!U$5,'Assumptions MH'!$Y$12:$Y$21,))</f>
        <v>0.5</v>
      </c>
      <c r="V75" s="1799">
        <f>INDEX('Assumptions MH'!$Z$12:$Z$21,MATCH('Cash Flow MH'!V$5,'Assumptions MH'!$Y$12:$Y$21,))</f>
        <v>0.5</v>
      </c>
      <c r="W75" s="1799">
        <f>INDEX('Assumptions MH'!$Z$12:$Z$21,MATCH('Cash Flow MH'!W$5,'Assumptions MH'!$Y$12:$Y$21,))</f>
        <v>0.5</v>
      </c>
      <c r="X75" s="1799">
        <f>INDEX('Assumptions MH'!$Z$12:$Z$21,MATCH('Cash Flow MH'!X$5,'Assumptions MH'!$Y$12:$Y$21,))</f>
        <v>0.5</v>
      </c>
      <c r="Y75" s="1799">
        <f>INDEX('Assumptions MH'!$Z$12:$Z$21,MATCH('Cash Flow MH'!Y$5,'Assumptions MH'!$Y$12:$Y$21,))</f>
        <v>0.5</v>
      </c>
      <c r="Z75" s="1799">
        <f>INDEX('Assumptions MH'!$Z$12:$Z$21,MATCH('Cash Flow MH'!Z$5,'Assumptions MH'!$Y$12:$Y$21,))</f>
        <v>0.5</v>
      </c>
      <c r="AA75" s="1799">
        <f>INDEX('Assumptions MH'!$Z$12:$Z$21,MATCH('Cash Flow MH'!AA$5,'Assumptions MH'!$Y$12:$Y$21,))</f>
        <v>0.5</v>
      </c>
      <c r="AB75" s="1799">
        <f>INDEX('Assumptions MH'!$Z$12:$Z$21,MATCH('Cash Flow MH'!AB$5,'Assumptions MH'!$Y$12:$Y$21,))</f>
        <v>0.4</v>
      </c>
      <c r="AC75" s="1799">
        <f>INDEX('Assumptions MH'!$Z$12:$Z$21,MATCH('Cash Flow MH'!AC$5,'Assumptions MH'!$Y$12:$Y$21,))</f>
        <v>0.4</v>
      </c>
      <c r="AD75" s="1799">
        <f>INDEX('Assumptions MH'!$Z$12:$Z$21,MATCH('Cash Flow MH'!AD$5,'Assumptions MH'!$Y$12:$Y$21,))</f>
        <v>0.4</v>
      </c>
      <c r="AE75" s="1799">
        <f>INDEX('Assumptions MH'!$Z$12:$Z$21,MATCH('Cash Flow MH'!AE$5,'Assumptions MH'!$Y$12:$Y$21,))</f>
        <v>0.4</v>
      </c>
      <c r="AF75" s="1799">
        <f>INDEX('Assumptions MH'!$Z$12:$Z$21,MATCH('Cash Flow MH'!AF$5,'Assumptions MH'!$Y$12:$Y$21,))</f>
        <v>0.4</v>
      </c>
      <c r="AG75" s="1799">
        <f>INDEX('Assumptions MH'!$Z$12:$Z$21,MATCH('Cash Flow MH'!AG$5,'Assumptions MH'!$Y$12:$Y$21,))</f>
        <v>0.4</v>
      </c>
      <c r="AH75" s="1799">
        <f>INDEX('Assumptions MH'!$Z$12:$Z$21,MATCH('Cash Flow MH'!AH$5,'Assumptions MH'!$Y$12:$Y$21,))</f>
        <v>0.4</v>
      </c>
      <c r="AI75" s="1799">
        <f>INDEX('Assumptions MH'!$Z$12:$Z$21,MATCH('Cash Flow MH'!AI$5,'Assumptions MH'!$Y$12:$Y$21,))</f>
        <v>0.4</v>
      </c>
      <c r="AJ75" s="1799">
        <f>INDEX('Assumptions MH'!$Z$12:$Z$21,MATCH('Cash Flow MH'!AJ$5,'Assumptions MH'!$Y$12:$Y$21,))</f>
        <v>0.4</v>
      </c>
      <c r="AK75" s="1799">
        <f>INDEX('Assumptions MH'!$Z$12:$Z$21,MATCH('Cash Flow MH'!AK$5,'Assumptions MH'!$Y$12:$Y$21,))</f>
        <v>0.4</v>
      </c>
      <c r="AL75" s="1799">
        <f>INDEX('Assumptions MH'!$Z$12:$Z$21,MATCH('Cash Flow MH'!AL$5,'Assumptions MH'!$Y$12:$Y$21,))</f>
        <v>0.4</v>
      </c>
      <c r="AM75" s="1799">
        <f>INDEX('Assumptions MH'!$Z$12:$Z$21,MATCH('Cash Flow MH'!AM$5,'Assumptions MH'!$Y$12:$Y$21,))</f>
        <v>0.4</v>
      </c>
      <c r="AN75" s="1799">
        <f>INDEX('Assumptions MH'!$Z$12:$Z$21,MATCH('Cash Flow MH'!AN$5,'Assumptions MH'!$Y$12:$Y$21,))</f>
        <v>0.4</v>
      </c>
      <c r="AO75" s="1799">
        <f>INDEX('Assumptions MH'!$Z$12:$Z$21,MATCH('Cash Flow MH'!AO$5,'Assumptions MH'!$Y$12:$Y$21,))</f>
        <v>0.4</v>
      </c>
      <c r="AP75" s="1799">
        <f>INDEX('Assumptions MH'!$Z$12:$Z$21,MATCH('Cash Flow MH'!AP$5,'Assumptions MH'!$Y$12:$Y$21,))</f>
        <v>0.4</v>
      </c>
      <c r="AQ75" s="1799">
        <f>INDEX('Assumptions MH'!$Z$12:$Z$21,MATCH('Cash Flow MH'!AQ$5,'Assumptions MH'!$Y$12:$Y$21,))</f>
        <v>0.4</v>
      </c>
      <c r="AR75" s="1799">
        <f>INDEX('Assumptions MH'!$Z$12:$Z$21,MATCH('Cash Flow MH'!AR$5,'Assumptions MH'!$Y$12:$Y$21,))</f>
        <v>0.4</v>
      </c>
      <c r="AS75" s="1799">
        <f>INDEX('Assumptions MH'!$Z$12:$Z$21,MATCH('Cash Flow MH'!AS$5,'Assumptions MH'!$Y$12:$Y$21,))</f>
        <v>0.4</v>
      </c>
      <c r="AT75" s="1799">
        <f>INDEX('Assumptions MH'!$Z$12:$Z$21,MATCH('Cash Flow MH'!AT$5,'Assumptions MH'!$Y$12:$Y$21,))</f>
        <v>0.4</v>
      </c>
      <c r="AU75" s="1799">
        <f>INDEX('Assumptions MH'!$Z$12:$Z$21,MATCH('Cash Flow MH'!AU$5,'Assumptions MH'!$Y$12:$Y$21,))</f>
        <v>0.4</v>
      </c>
      <c r="AV75" s="1799">
        <f>INDEX('Assumptions MH'!$Z$12:$Z$21,MATCH('Cash Flow MH'!AV$5,'Assumptions MH'!$Y$12:$Y$21,))</f>
        <v>0.4</v>
      </c>
      <c r="AW75" s="1799">
        <f>INDEX('Assumptions MH'!$Z$12:$Z$21,MATCH('Cash Flow MH'!AW$5,'Assumptions MH'!$Y$12:$Y$21,))</f>
        <v>0.4</v>
      </c>
      <c r="AX75" s="1799">
        <f>INDEX('Assumptions MH'!$Z$12:$Z$21,MATCH('Cash Flow MH'!AX$5,'Assumptions MH'!$Y$12:$Y$21,))</f>
        <v>0.4</v>
      </c>
      <c r="AY75" s="1799">
        <f>INDEX('Assumptions MH'!$Z$12:$Z$21,MATCH('Cash Flow MH'!AY$5,'Assumptions MH'!$Y$12:$Y$21,))</f>
        <v>0.4</v>
      </c>
      <c r="AZ75" s="1799">
        <f>INDEX('Assumptions MH'!$Z$12:$Z$21,MATCH('Cash Flow MH'!AZ$5,'Assumptions MH'!$Y$12:$Y$21,))</f>
        <v>0.4</v>
      </c>
      <c r="BA75" s="1799">
        <f>INDEX('Assumptions MH'!$Z$12:$Z$21,MATCH('Cash Flow MH'!BA$5,'Assumptions MH'!$Y$12:$Y$21,))</f>
        <v>0.4</v>
      </c>
      <c r="BB75" s="1799">
        <f>INDEX('Assumptions MH'!$Z$12:$Z$21,MATCH('Cash Flow MH'!BB$5,'Assumptions MH'!$Y$12:$Y$21,))</f>
        <v>0.4</v>
      </c>
      <c r="BC75" s="1799">
        <f>INDEX('Assumptions MH'!$Z$12:$Z$21,MATCH('Cash Flow MH'!BC$5,'Assumptions MH'!$Y$12:$Y$21,))</f>
        <v>0.4</v>
      </c>
      <c r="BD75" s="1799">
        <f>INDEX('Assumptions MH'!$Z$12:$Z$21,MATCH('Cash Flow MH'!BD$5,'Assumptions MH'!$Y$12:$Y$21,))</f>
        <v>0.4</v>
      </c>
      <c r="BE75" s="1799">
        <f>INDEX('Assumptions MH'!$Z$12:$Z$21,MATCH('Cash Flow MH'!BE$5,'Assumptions MH'!$Y$12:$Y$21,))</f>
        <v>0.4</v>
      </c>
      <c r="BF75" s="1799">
        <f>INDEX('Assumptions MH'!$Z$12:$Z$21,MATCH('Cash Flow MH'!BF$5,'Assumptions MH'!$Y$12:$Y$21,))</f>
        <v>0.4</v>
      </c>
      <c r="BG75" s="1799">
        <f>INDEX('Assumptions MH'!$Z$12:$Z$21,MATCH('Cash Flow MH'!BG$5,'Assumptions MH'!$Y$12:$Y$21,))</f>
        <v>0.4</v>
      </c>
      <c r="BH75" s="1799">
        <f>INDEX('Assumptions MH'!$Z$12:$Z$21,MATCH('Cash Flow MH'!BH$5,'Assumptions MH'!$Y$12:$Y$21,))</f>
        <v>0.4</v>
      </c>
      <c r="BI75" s="1799">
        <f>INDEX('Assumptions MH'!$Z$12:$Z$21,MATCH('Cash Flow MH'!BI$5,'Assumptions MH'!$Y$12:$Y$21,))</f>
        <v>0.4</v>
      </c>
      <c r="BJ75" s="1799">
        <f>INDEX('Assumptions MH'!$Z$12:$Z$21,MATCH('Cash Flow MH'!BJ$5,'Assumptions MH'!$Y$12:$Y$21,))</f>
        <v>0.4</v>
      </c>
      <c r="BK75" s="1799">
        <f>INDEX('Assumptions MH'!$Z$12:$Z$21,MATCH('Cash Flow MH'!BK$5,'Assumptions MH'!$Y$12:$Y$21,))</f>
        <v>0.4</v>
      </c>
      <c r="BL75" s="1799">
        <f>INDEX('Assumptions MH'!$Z$12:$Z$21,MATCH('Cash Flow MH'!BL$5,'Assumptions MH'!$Y$12:$Y$21,))</f>
        <v>0.4</v>
      </c>
      <c r="BM75" s="1799">
        <f>INDEX('Assumptions MH'!$Z$12:$Z$21,MATCH('Cash Flow MH'!BM$5,'Assumptions MH'!$Y$12:$Y$21,))</f>
        <v>0.4</v>
      </c>
      <c r="BN75" s="1799">
        <f>INDEX('Assumptions MH'!$Z$12:$Z$21,MATCH('Cash Flow MH'!BN$5,'Assumptions MH'!$Y$12:$Y$21,))</f>
        <v>0.4</v>
      </c>
      <c r="BO75" s="1799">
        <f>INDEX('Assumptions MH'!$Z$12:$Z$21,MATCH('Cash Flow MH'!BO$5,'Assumptions MH'!$Y$12:$Y$21,))</f>
        <v>0.4</v>
      </c>
      <c r="BP75" s="1799">
        <f>INDEX('Assumptions MH'!$Z$12:$Z$21,MATCH('Cash Flow MH'!BP$5,'Assumptions MH'!$Y$12:$Y$21,))</f>
        <v>0.4</v>
      </c>
      <c r="BQ75" s="1799">
        <f>INDEX('Assumptions MH'!$Z$12:$Z$21,MATCH('Cash Flow MH'!BQ$5,'Assumptions MH'!$Y$12:$Y$21,))</f>
        <v>0.4</v>
      </c>
      <c r="BR75" s="1799">
        <f>INDEX('Assumptions MH'!$Z$12:$Z$21,MATCH('Cash Flow MH'!BR$5,'Assumptions MH'!$Y$12:$Y$21,))</f>
        <v>0.4</v>
      </c>
      <c r="BS75" s="1799">
        <f>INDEX('Assumptions MH'!$Z$12:$Z$21,MATCH('Cash Flow MH'!BS$5,'Assumptions MH'!$Y$12:$Y$21,))</f>
        <v>0.4</v>
      </c>
      <c r="BT75" s="1799">
        <f>INDEX('Assumptions MH'!$Z$12:$Z$21,MATCH('Cash Flow MH'!BT$5,'Assumptions MH'!$Y$12:$Y$21,))</f>
        <v>0.4</v>
      </c>
      <c r="BU75" s="1799">
        <f>INDEX('Assumptions MH'!$Z$12:$Z$21,MATCH('Cash Flow MH'!BU$5,'Assumptions MH'!$Y$12:$Y$21,))</f>
        <v>0.4</v>
      </c>
      <c r="BV75" s="1799">
        <f>INDEX('Assumptions MH'!$Z$12:$Z$21,MATCH('Cash Flow MH'!BV$5,'Assumptions MH'!$Y$12:$Y$21,))</f>
        <v>0.4</v>
      </c>
      <c r="BW75" s="1799">
        <f>INDEX('Assumptions MH'!$Z$12:$Z$21,MATCH('Cash Flow MH'!BW$5,'Assumptions MH'!$Y$12:$Y$21,))</f>
        <v>0.4</v>
      </c>
      <c r="BX75" s="1799">
        <f>INDEX('Assumptions MH'!$Z$12:$Z$21,MATCH('Cash Flow MH'!BX$5,'Assumptions MH'!$Y$12:$Y$21,))</f>
        <v>0.4</v>
      </c>
      <c r="BY75" s="1799">
        <f>INDEX('Assumptions MH'!$Z$12:$Z$21,MATCH('Cash Flow MH'!BY$5,'Assumptions MH'!$Y$12:$Y$21,))</f>
        <v>0.4</v>
      </c>
      <c r="BZ75" s="1799">
        <f>INDEX('Assumptions MH'!$Z$12:$Z$21,MATCH('Cash Flow MH'!BZ$5,'Assumptions MH'!$Y$12:$Y$21,))</f>
        <v>0.4</v>
      </c>
      <c r="CA75" s="1799">
        <f>INDEX('Assumptions MH'!$Z$12:$Z$21,MATCH('Cash Flow MH'!CA$5,'Assumptions MH'!$Y$12:$Y$21,))</f>
        <v>0.4</v>
      </c>
      <c r="CB75" s="1799">
        <f>INDEX('Assumptions MH'!$Z$12:$Z$21,MATCH('Cash Flow MH'!CB$5,'Assumptions MH'!$Y$12:$Y$21,))</f>
        <v>0.4</v>
      </c>
      <c r="CC75" s="1799">
        <f>INDEX('Assumptions MH'!$Z$12:$Z$21,MATCH('Cash Flow MH'!CC$5,'Assumptions MH'!$Y$12:$Y$21,))</f>
        <v>0.4</v>
      </c>
      <c r="CD75" s="1799">
        <f>INDEX('Assumptions MH'!$Z$12:$Z$21,MATCH('Cash Flow MH'!CD$5,'Assumptions MH'!$Y$12:$Y$21,))</f>
        <v>0.4</v>
      </c>
      <c r="CE75" s="1799">
        <f>INDEX('Assumptions MH'!$Z$12:$Z$21,MATCH('Cash Flow MH'!CE$5,'Assumptions MH'!$Y$12:$Y$21,))</f>
        <v>0.4</v>
      </c>
      <c r="CF75" s="1799">
        <f>INDEX('Assumptions MH'!$Z$12:$Z$21,MATCH('Cash Flow MH'!CF$5,'Assumptions MH'!$Y$12:$Y$21,))</f>
        <v>0.4</v>
      </c>
      <c r="CG75" s="1799">
        <f>INDEX('Assumptions MH'!$Z$12:$Z$21,MATCH('Cash Flow MH'!CG$5,'Assumptions MH'!$Y$12:$Y$21,))</f>
        <v>0.4</v>
      </c>
      <c r="CH75" s="1799">
        <f>INDEX('Assumptions MH'!$Z$12:$Z$21,MATCH('Cash Flow MH'!CH$5,'Assumptions MH'!$Y$12:$Y$21,))</f>
        <v>0.4</v>
      </c>
      <c r="CI75" s="1799">
        <f>INDEX('Assumptions MH'!$Z$12:$Z$21,MATCH('Cash Flow MH'!CI$5,'Assumptions MH'!$Y$12:$Y$21,))</f>
        <v>0.4</v>
      </c>
      <c r="CJ75" s="1799">
        <f>INDEX('Assumptions MH'!$Z$12:$Z$21,MATCH('Cash Flow MH'!CJ$5,'Assumptions MH'!$Y$12:$Y$21,))</f>
        <v>0.4</v>
      </c>
      <c r="CK75" s="1799">
        <f>INDEX('Assumptions MH'!$Z$12:$Z$21,MATCH('Cash Flow MH'!CK$5,'Assumptions MH'!$Y$12:$Y$21,))</f>
        <v>0.4</v>
      </c>
      <c r="CL75" s="1799">
        <f>INDEX('Assumptions MH'!$Z$12:$Z$21,MATCH('Cash Flow MH'!CL$5,'Assumptions MH'!$Y$12:$Y$21,))</f>
        <v>0.4</v>
      </c>
      <c r="CM75" s="1799">
        <f>INDEX('Assumptions MH'!$Z$12:$Z$21,MATCH('Cash Flow MH'!CM$5,'Assumptions MH'!$Y$12:$Y$21,))</f>
        <v>0.4</v>
      </c>
      <c r="CN75" s="1799">
        <f>INDEX('Assumptions MH'!$Z$12:$Z$21,MATCH('Cash Flow MH'!CN$5,'Assumptions MH'!$Y$12:$Y$21,))</f>
        <v>0.4</v>
      </c>
      <c r="CO75" s="1799">
        <f>INDEX('Assumptions MH'!$Z$12:$Z$21,MATCH('Cash Flow MH'!CO$5,'Assumptions MH'!$Y$12:$Y$21,))</f>
        <v>0.4</v>
      </c>
      <c r="CP75" s="1799">
        <f>INDEX('Assumptions MH'!$Z$12:$Z$21,MATCH('Cash Flow MH'!CP$5,'Assumptions MH'!$Y$12:$Y$21,))</f>
        <v>0.4</v>
      </c>
      <c r="CQ75" s="1799">
        <f>INDEX('Assumptions MH'!$Z$12:$Z$21,MATCH('Cash Flow MH'!CQ$5,'Assumptions MH'!$Y$12:$Y$21,))</f>
        <v>0.4</v>
      </c>
      <c r="CR75" s="1799">
        <f>INDEX('Assumptions MH'!$Z$12:$Z$21,MATCH('Cash Flow MH'!CR$5,'Assumptions MH'!$Y$12:$Y$21,))</f>
        <v>0.4</v>
      </c>
      <c r="CS75" s="1799">
        <f>INDEX('Assumptions MH'!$Z$12:$Z$21,MATCH('Cash Flow MH'!CS$5,'Assumptions MH'!$Y$12:$Y$21,))</f>
        <v>0.4</v>
      </c>
      <c r="CT75" s="1799">
        <f>INDEX('Assumptions MH'!$Z$12:$Z$21,MATCH('Cash Flow MH'!CT$5,'Assumptions MH'!$Y$12:$Y$21,))</f>
        <v>0.4</v>
      </c>
      <c r="CU75" s="1799">
        <f>INDEX('Assumptions MH'!$Z$12:$Z$21,MATCH('Cash Flow MH'!CU$5,'Assumptions MH'!$Y$12:$Y$21,))</f>
        <v>0.4</v>
      </c>
      <c r="CV75" s="1799">
        <f>INDEX('Assumptions MH'!$Z$12:$Z$21,MATCH('Cash Flow MH'!CV$5,'Assumptions MH'!$Y$12:$Y$21,))</f>
        <v>0.4</v>
      </c>
      <c r="CW75" s="1799">
        <f>INDEX('Assumptions MH'!$Z$12:$Z$21,MATCH('Cash Flow MH'!CW$5,'Assumptions MH'!$Y$12:$Y$21,))</f>
        <v>0.4</v>
      </c>
      <c r="CX75" s="1799">
        <f>INDEX('Assumptions MH'!$Z$12:$Z$21,MATCH('Cash Flow MH'!CX$5,'Assumptions MH'!$Y$12:$Y$21,))</f>
        <v>0.4</v>
      </c>
      <c r="CY75" s="1799">
        <f>INDEX('Assumptions MH'!$Z$12:$Z$21,MATCH('Cash Flow MH'!CY$5,'Assumptions MH'!$Y$12:$Y$21,))</f>
        <v>0.4</v>
      </c>
      <c r="CZ75" s="1799">
        <f>INDEX('Assumptions MH'!$Z$12:$Z$21,MATCH('Cash Flow MH'!CZ$5,'Assumptions MH'!$Y$12:$Y$21,))</f>
        <v>0.4</v>
      </c>
      <c r="DA75" s="1799">
        <f>INDEX('Assumptions MH'!$Z$12:$Z$21,MATCH('Cash Flow MH'!DA$5,'Assumptions MH'!$Y$12:$Y$21,))</f>
        <v>0.4</v>
      </c>
      <c r="DB75" s="1799">
        <f>INDEX('Assumptions MH'!$Z$12:$Z$21,MATCH('Cash Flow MH'!DB$5,'Assumptions MH'!$Y$12:$Y$21,))</f>
        <v>0.4</v>
      </c>
      <c r="DC75" s="1799">
        <f>INDEX('Assumptions MH'!$Z$12:$Z$21,MATCH('Cash Flow MH'!DC$5,'Assumptions MH'!$Y$12:$Y$21,))</f>
        <v>0.4</v>
      </c>
      <c r="DD75" s="1799">
        <f>INDEX('Assumptions MH'!$Z$12:$Z$21,MATCH('Cash Flow MH'!DD$5,'Assumptions MH'!$Y$12:$Y$21,))</f>
        <v>0.4</v>
      </c>
      <c r="DE75" s="1799">
        <f>INDEX('Assumptions MH'!$Z$12:$Z$21,MATCH('Cash Flow MH'!DE$5,'Assumptions MH'!$Y$12:$Y$21,))</f>
        <v>0.4</v>
      </c>
      <c r="DF75" s="1799">
        <f>INDEX('Assumptions MH'!$Z$12:$Z$21,MATCH('Cash Flow MH'!DF$5,'Assumptions MH'!$Y$12:$Y$21,))</f>
        <v>0.4</v>
      </c>
      <c r="DG75" s="1799">
        <f>INDEX('Assumptions MH'!$Z$12:$Z$21,MATCH('Cash Flow MH'!DG$5,'Assumptions MH'!$Y$12:$Y$21,))</f>
        <v>0.4</v>
      </c>
      <c r="DH75" s="1799">
        <f>INDEX('Assumptions MH'!$Z$12:$Z$21,MATCH('Cash Flow MH'!DH$5,'Assumptions MH'!$Y$12:$Y$21,))</f>
        <v>0.4</v>
      </c>
      <c r="DI75" s="1799">
        <f>INDEX('Assumptions MH'!$Z$12:$Z$21,MATCH('Cash Flow MH'!DI$5,'Assumptions MH'!$Y$12:$Y$21,))</f>
        <v>0.4</v>
      </c>
      <c r="DJ75" s="1799">
        <f>INDEX('Assumptions MH'!$Z$12:$Z$21,MATCH('Cash Flow MH'!DJ$5,'Assumptions MH'!$Y$12:$Y$21,))</f>
        <v>0.4</v>
      </c>
      <c r="DK75" s="1799">
        <f>INDEX('Assumptions MH'!$Z$12:$Z$21,MATCH('Cash Flow MH'!DK$5,'Assumptions MH'!$Y$12:$Y$21,))</f>
        <v>0.4</v>
      </c>
      <c r="DL75" s="1799">
        <f>INDEX('Assumptions MH'!$Z$12:$Z$21,MATCH('Cash Flow MH'!DL$5,'Assumptions MH'!$Y$12:$Y$21,))</f>
        <v>0.4</v>
      </c>
      <c r="DM75" s="1799">
        <f>INDEX('Assumptions MH'!$Z$12:$Z$21,MATCH('Cash Flow MH'!DM$5,'Assumptions MH'!$Y$12:$Y$21,))</f>
        <v>0.4</v>
      </c>
      <c r="DN75" s="1799">
        <f>INDEX('Assumptions MH'!$Z$12:$Z$21,MATCH('Cash Flow MH'!DN$5,'Assumptions MH'!$Y$12:$Y$21,))</f>
        <v>0.4</v>
      </c>
      <c r="DO75" s="1799">
        <f>INDEX('Assumptions MH'!$Z$12:$Z$21,MATCH('Cash Flow MH'!DO$5,'Assumptions MH'!$Y$12:$Y$21,))</f>
        <v>0.4</v>
      </c>
      <c r="DP75" s="1799">
        <f>INDEX('Assumptions MH'!$Z$12:$Z$21,MATCH('Cash Flow MH'!DP$5,'Assumptions MH'!$Y$12:$Y$21,))</f>
        <v>0.4</v>
      </c>
      <c r="DQ75" s="1799">
        <f>INDEX('Assumptions MH'!$Z$12:$Z$21,MATCH('Cash Flow MH'!DQ$5,'Assumptions MH'!$Y$12:$Y$21,))</f>
        <v>0.4</v>
      </c>
      <c r="DR75" s="1799">
        <f>INDEX('Assumptions MH'!$Z$12:$Z$21,MATCH('Cash Flow MH'!DR$5,'Assumptions MH'!$Y$12:$Y$21,))</f>
        <v>0.4</v>
      </c>
      <c r="DS75" s="1799">
        <f>INDEX('Assumptions MH'!$Z$12:$Z$21,MATCH('Cash Flow MH'!DS$5,'Assumptions MH'!$Y$12:$Y$21,))</f>
        <v>0.4</v>
      </c>
      <c r="DT75" s="1485" t="s">
        <v>65</v>
      </c>
    </row>
    <row r="76" spans="1:124">
      <c r="B76" s="1503"/>
      <c r="D76" s="1800"/>
      <c r="E76" s="1800"/>
      <c r="F76" s="1800"/>
      <c r="G76" s="1800"/>
      <c r="H76" s="1800"/>
      <c r="I76" s="1800"/>
      <c r="J76" s="1800"/>
      <c r="K76" s="1800"/>
      <c r="L76" s="1800"/>
      <c r="M76" s="1800"/>
      <c r="N76" s="1800"/>
      <c r="O76" s="1800"/>
      <c r="P76" s="1800"/>
      <c r="Q76" s="1800"/>
      <c r="R76" s="1800"/>
      <c r="S76" s="1800"/>
      <c r="T76" s="1800"/>
      <c r="U76" s="1800"/>
      <c r="V76" s="1800"/>
      <c r="W76" s="1800"/>
      <c r="X76" s="1800"/>
      <c r="Y76" s="1800"/>
      <c r="Z76" s="1800"/>
      <c r="AA76" s="1800"/>
      <c r="AB76" s="1800"/>
      <c r="AC76" s="1800"/>
      <c r="AD76" s="1800"/>
      <c r="AE76" s="1800"/>
      <c r="AF76" s="1800"/>
      <c r="AG76" s="1800"/>
      <c r="AH76" s="1800"/>
      <c r="AI76" s="1800"/>
      <c r="AJ76" s="1800"/>
      <c r="AK76" s="1800"/>
      <c r="AL76" s="1800"/>
      <c r="AM76" s="1800"/>
      <c r="AN76" s="1800"/>
      <c r="AO76" s="1800"/>
      <c r="AP76" s="1800"/>
      <c r="AQ76" s="1800"/>
      <c r="AR76" s="1800"/>
      <c r="AS76" s="1800"/>
      <c r="AT76" s="1800"/>
      <c r="AU76" s="1800"/>
      <c r="AV76" s="1800"/>
      <c r="AW76" s="1800"/>
      <c r="AX76" s="1800"/>
      <c r="AY76" s="1800"/>
      <c r="AZ76" s="1800"/>
      <c r="BA76" s="1800"/>
      <c r="BB76" s="1800"/>
      <c r="BC76" s="1800"/>
      <c r="BD76" s="1800"/>
      <c r="BE76" s="1800"/>
      <c r="BF76" s="1800"/>
      <c r="BG76" s="1800"/>
      <c r="BH76" s="1800"/>
      <c r="BI76" s="1800"/>
      <c r="BJ76" s="1800"/>
      <c r="BK76" s="1800"/>
      <c r="BL76" s="1800"/>
      <c r="BM76" s="1800"/>
      <c r="BN76" s="1800"/>
      <c r="BO76" s="1800"/>
      <c r="BP76" s="1800"/>
      <c r="BQ76" s="1800"/>
      <c r="BR76" s="1800"/>
      <c r="BS76" s="1800"/>
      <c r="BT76" s="1800"/>
      <c r="BU76" s="1800"/>
      <c r="BV76" s="1800"/>
      <c r="BW76" s="1800"/>
      <c r="BX76" s="1800"/>
      <c r="BY76" s="1800"/>
      <c r="BZ76" s="1800"/>
      <c r="CA76" s="1800"/>
      <c r="CB76" s="1800"/>
      <c r="CC76" s="1800"/>
      <c r="CD76" s="1800"/>
      <c r="CE76" s="1800"/>
      <c r="CF76" s="1800"/>
      <c r="CG76" s="1800"/>
      <c r="CH76" s="1800"/>
      <c r="CI76" s="1800"/>
      <c r="CJ76" s="1800"/>
      <c r="CK76" s="1800"/>
      <c r="CL76" s="1800"/>
      <c r="CM76" s="1800"/>
      <c r="CN76" s="1800"/>
      <c r="CO76" s="1800"/>
      <c r="CP76" s="1800"/>
      <c r="CQ76" s="1800"/>
      <c r="CR76" s="1800"/>
      <c r="CS76" s="1800"/>
      <c r="CT76" s="1800"/>
      <c r="CU76" s="1800"/>
      <c r="CV76" s="1800"/>
      <c r="CW76" s="1800"/>
      <c r="CX76" s="1800"/>
      <c r="CY76" s="1800"/>
      <c r="CZ76" s="1800"/>
      <c r="DA76" s="1800"/>
      <c r="DB76" s="1800"/>
      <c r="DC76" s="1800"/>
      <c r="DD76" s="1800"/>
      <c r="DE76" s="1800"/>
      <c r="DF76" s="1800"/>
      <c r="DG76" s="1800"/>
      <c r="DH76" s="1800"/>
      <c r="DI76" s="1800"/>
      <c r="DJ76" s="1800"/>
      <c r="DK76" s="1800"/>
      <c r="DL76" s="1800"/>
      <c r="DM76" s="1800"/>
      <c r="DN76" s="1800"/>
      <c r="DO76" s="1800"/>
      <c r="DP76" s="1800"/>
      <c r="DQ76" s="1800"/>
      <c r="DR76" s="1800"/>
      <c r="DS76" s="1800"/>
      <c r="DT76" s="1485" t="s">
        <v>65</v>
      </c>
    </row>
    <row r="77" spans="1:124">
      <c r="A77" s="1487" t="s">
        <v>65</v>
      </c>
      <c r="B77" s="1727" t="s">
        <v>1134</v>
      </c>
      <c r="C77" s="1742"/>
      <c r="D77" s="1729">
        <f ca="1">+D68-D71-D74</f>
        <v>-193812.68248460841</v>
      </c>
      <c r="E77" s="1729">
        <f t="shared" ref="E77:BP77" ca="1" si="37">+E68-E71-E74</f>
        <v>-132033.03313101485</v>
      </c>
      <c r="F77" s="1729">
        <f t="shared" ca="1" si="37"/>
        <v>-25540.272971408063</v>
      </c>
      <c r="G77" s="1729">
        <f t="shared" ca="1" si="37"/>
        <v>12657.112696777884</v>
      </c>
      <c r="H77" s="1729">
        <f t="shared" ca="1" si="37"/>
        <v>62415.560704050557</v>
      </c>
      <c r="I77" s="1729">
        <f t="shared" ca="1" si="37"/>
        <v>111759.30311802673</v>
      </c>
      <c r="J77" s="1729">
        <f t="shared" ca="1" si="37"/>
        <v>92845.216562610149</v>
      </c>
      <c r="K77" s="1729">
        <f t="shared" ca="1" si="37"/>
        <v>127814.36935574657</v>
      </c>
      <c r="L77" s="1729">
        <f t="shared" ca="1" si="37"/>
        <v>176119.11878091746</v>
      </c>
      <c r="M77" s="1729">
        <f t="shared" ca="1" si="37"/>
        <v>281873.82521504501</v>
      </c>
      <c r="N77" s="1729">
        <f t="shared" ca="1" si="37"/>
        <v>155172.50779408714</v>
      </c>
      <c r="O77" s="1729">
        <f t="shared" ca="1" si="37"/>
        <v>77905.906736038538</v>
      </c>
      <c r="P77" s="1729">
        <f t="shared" ca="1" si="37"/>
        <v>68926.278192592668</v>
      </c>
      <c r="Q77" s="1729">
        <f t="shared" ca="1" si="37"/>
        <v>159072.93742154431</v>
      </c>
      <c r="R77" s="1729">
        <f t="shared" ca="1" si="37"/>
        <v>321966.12557413452</v>
      </c>
      <c r="S77" s="1729">
        <f t="shared" ca="1" si="37"/>
        <v>330339.25112042064</v>
      </c>
      <c r="T77" s="1729">
        <f t="shared" ca="1" si="37"/>
        <v>359179.54553612648</v>
      </c>
      <c r="U77" s="1729">
        <f t="shared" ca="1" si="37"/>
        <v>385221.33806271444</v>
      </c>
      <c r="V77" s="1729">
        <f t="shared" ca="1" si="37"/>
        <v>297607.28285214875</v>
      </c>
      <c r="W77" s="1729">
        <f t="shared" ca="1" si="37"/>
        <v>294376.07644200209</v>
      </c>
      <c r="X77" s="1729">
        <f t="shared" ca="1" si="37"/>
        <v>339768.59850650711</v>
      </c>
      <c r="Y77" s="1729">
        <f t="shared" ca="1" si="37"/>
        <v>454130.12482581194</v>
      </c>
      <c r="Z77" s="1729">
        <f t="shared" ca="1" si="37"/>
        <v>281513.59600349166</v>
      </c>
      <c r="AA77" s="1729">
        <f t="shared" ca="1" si="37"/>
        <v>175663.78389033533</v>
      </c>
      <c r="AB77" s="1729">
        <f t="shared" ca="1" si="37"/>
        <v>151812.76008246053</v>
      </c>
      <c r="AC77" s="1729">
        <f t="shared" ca="1" si="37"/>
        <v>242896.03701835318</v>
      </c>
      <c r="AD77" s="1729">
        <f t="shared" ca="1" si="37"/>
        <v>409875.58687448344</v>
      </c>
      <c r="AE77" s="1729">
        <f t="shared" ca="1" si="37"/>
        <v>403223.49667486554</v>
      </c>
      <c r="AF77" s="1729">
        <f t="shared" ca="1" si="37"/>
        <v>418399.14365939674</v>
      </c>
      <c r="AG77" s="1729">
        <f t="shared" ca="1" si="37"/>
        <v>430047.36870129436</v>
      </c>
      <c r="AH77" s="1729">
        <f t="shared" ca="1" si="37"/>
        <v>339804.89183441125</v>
      </c>
      <c r="AI77" s="1729">
        <f t="shared" ca="1" si="37"/>
        <v>336476.74923196045</v>
      </c>
      <c r="AJ77" s="1729">
        <f t="shared" ca="1" si="37"/>
        <v>383231.04695840046</v>
      </c>
      <c r="AK77" s="1729">
        <f t="shared" ca="1" si="37"/>
        <v>501023.4190672845</v>
      </c>
      <c r="AL77" s="1729">
        <f t="shared" ca="1" si="37"/>
        <v>323228.3943802946</v>
      </c>
      <c r="AM77" s="1729">
        <f t="shared" ca="1" si="37"/>
        <v>214203.08790374332</v>
      </c>
      <c r="AN77" s="1729">
        <f t="shared" ca="1" si="37"/>
        <v>156367.14288493429</v>
      </c>
      <c r="AO77" s="1729">
        <f t="shared" ca="1" si="37"/>
        <v>269995.92930822656</v>
      </c>
      <c r="AP77" s="1729">
        <f t="shared" ca="1" si="37"/>
        <v>422171.8544807178</v>
      </c>
      <c r="AQ77" s="1729">
        <f t="shared" ca="1" si="37"/>
        <v>415320.20157511171</v>
      </c>
      <c r="AR77" s="1729">
        <f t="shared" ca="1" si="37"/>
        <v>430951.11796917859</v>
      </c>
      <c r="AS77" s="1729">
        <f t="shared" ca="1" si="37"/>
        <v>442948.78976233304</v>
      </c>
      <c r="AT77" s="1729">
        <f t="shared" ca="1" si="37"/>
        <v>349999.03858944378</v>
      </c>
      <c r="AU77" s="1729">
        <f t="shared" ca="1" si="37"/>
        <v>346571.051708919</v>
      </c>
      <c r="AV77" s="1729">
        <f t="shared" ca="1" si="37"/>
        <v>394727.97836715227</v>
      </c>
      <c r="AW77" s="1729">
        <f t="shared" ca="1" si="37"/>
        <v>516054.12163930305</v>
      </c>
      <c r="AX77" s="1729">
        <f t="shared" ca="1" si="37"/>
        <v>332925.24621170328</v>
      </c>
      <c r="AY77" s="1729">
        <f t="shared" ca="1" si="37"/>
        <v>220629.1805408556</v>
      </c>
      <c r="AZ77" s="1729">
        <f t="shared" ca="1" si="37"/>
        <v>161058.15717148222</v>
      </c>
      <c r="BA77" s="1729">
        <f t="shared" ca="1" si="37"/>
        <v>257688.40567277092</v>
      </c>
      <c r="BB77" s="1729">
        <f t="shared" ca="1" si="37"/>
        <v>434837.01011513948</v>
      </c>
      <c r="BC77" s="1729">
        <f t="shared" ca="1" si="37"/>
        <v>427779.80762236501</v>
      </c>
      <c r="BD77" s="1729">
        <f t="shared" ca="1" si="37"/>
        <v>443879.65150825406</v>
      </c>
      <c r="BE77" s="1729">
        <f t="shared" ca="1" si="37"/>
        <v>456237.25345520308</v>
      </c>
      <c r="BF77" s="1729">
        <f t="shared" ca="1" si="37"/>
        <v>360499.00974712701</v>
      </c>
      <c r="BG77" s="1729">
        <f t="shared" ca="1" si="37"/>
        <v>356968.18326018663</v>
      </c>
      <c r="BH77" s="1729">
        <f t="shared" ca="1" si="37"/>
        <v>406569.81771816703</v>
      </c>
      <c r="BI77" s="1729">
        <f t="shared" ca="1" si="37"/>
        <v>531535.74528848194</v>
      </c>
      <c r="BJ77" s="1729">
        <f t="shared" ca="1" si="37"/>
        <v>342913.00359805446</v>
      </c>
      <c r="BK77" s="1729">
        <f t="shared" ca="1" si="37"/>
        <v>227248.05595708132</v>
      </c>
      <c r="BL77" s="1729">
        <f t="shared" ca="1" si="37"/>
        <v>165889.9018866269</v>
      </c>
      <c r="BM77" s="1729">
        <f t="shared" ca="1" si="37"/>
        <v>265419.057842954</v>
      </c>
      <c r="BN77" s="1729">
        <f t="shared" ca="1" si="37"/>
        <v>447882.12041859364</v>
      </c>
      <c r="BO77" s="1729">
        <f t="shared" ca="1" si="37"/>
        <v>440613.20185103593</v>
      </c>
      <c r="BP77" s="1729">
        <f t="shared" ca="1" si="37"/>
        <v>457196.04105350166</v>
      </c>
      <c r="BQ77" s="1729">
        <f t="shared" ref="BQ77:DS77" ca="1" si="38">+BQ68-BQ71-BQ74</f>
        <v>469924.37105885916</v>
      </c>
      <c r="BR77" s="1729">
        <f t="shared" ca="1" si="38"/>
        <v>371313.98003954074</v>
      </c>
      <c r="BS77" s="1729">
        <f t="shared" ca="1" si="38"/>
        <v>367677.22875799221</v>
      </c>
      <c r="BT77" s="1729">
        <f t="shared" ca="1" si="38"/>
        <v>418766.91224971216</v>
      </c>
      <c r="BU77" s="1729">
        <f t="shared" ca="1" si="38"/>
        <v>547481.81764713652</v>
      </c>
      <c r="BV77" s="1729">
        <f t="shared" ca="1" si="38"/>
        <v>353200.39370599616</v>
      </c>
      <c r="BW77" s="1729">
        <f t="shared" ca="1" si="38"/>
        <v>234065.49763579376</v>
      </c>
      <c r="BX77" s="1729">
        <f t="shared" ca="1" si="38"/>
        <v>170866.59894322543</v>
      </c>
      <c r="BY77" s="1729">
        <f t="shared" ca="1" si="38"/>
        <v>273381.62957824266</v>
      </c>
      <c r="BZ77" s="1729">
        <f t="shared" ca="1" si="38"/>
        <v>461318.58403115161</v>
      </c>
      <c r="CA77" s="1729">
        <f t="shared" ca="1" si="38"/>
        <v>453831.59790656692</v>
      </c>
      <c r="CB77" s="1729">
        <f t="shared" ca="1" si="38"/>
        <v>470911.9222851065</v>
      </c>
      <c r="CC77" s="1729">
        <f t="shared" ca="1" si="38"/>
        <v>484022.10219062481</v>
      </c>
      <c r="CD77" s="1729">
        <f t="shared" ca="1" si="38"/>
        <v>382453.39944072708</v>
      </c>
      <c r="CE77" s="1729">
        <f t="shared" ca="1" si="38"/>
        <v>378707.54562073224</v>
      </c>
      <c r="CF77" s="1729">
        <f t="shared" ca="1" si="38"/>
        <v>431329.91961720353</v>
      </c>
      <c r="CG77" s="1729">
        <f t="shared" ca="1" si="38"/>
        <v>563906.2721765507</v>
      </c>
      <c r="CH77" s="1729">
        <f t="shared" ca="1" si="38"/>
        <v>363796.40551717603</v>
      </c>
      <c r="CI77" s="1729">
        <f t="shared" ca="1" si="38"/>
        <v>241087.46256486754</v>
      </c>
      <c r="CJ77" s="1729">
        <f t="shared" ca="1" si="38"/>
        <v>175992.59691152244</v>
      </c>
      <c r="CK77" s="1729">
        <f t="shared" ca="1" si="38"/>
        <v>303882.79710054619</v>
      </c>
      <c r="CL77" s="1729">
        <f t="shared" ca="1" si="38"/>
        <v>475158.14155208599</v>
      </c>
      <c r="CM77" s="1729">
        <f t="shared" ca="1" si="38"/>
        <v>467446.54584376363</v>
      </c>
      <c r="CN77" s="1729">
        <f t="shared" ca="1" si="38"/>
        <v>485039.27995365986</v>
      </c>
      <c r="CO77" s="1729">
        <f t="shared" ca="1" si="38"/>
        <v>498542.76525634353</v>
      </c>
      <c r="CP77" s="1729">
        <f t="shared" ca="1" si="38"/>
        <v>393927.00142394891</v>
      </c>
      <c r="CQ77" s="1729">
        <f t="shared" ca="1" si="38"/>
        <v>390068.77198935382</v>
      </c>
      <c r="CR77" s="1729">
        <f t="shared" ca="1" si="38"/>
        <v>444269.81720571953</v>
      </c>
      <c r="CS77" s="1729">
        <f t="shared" ca="1" si="38"/>
        <v>580823.46034184727</v>
      </c>
      <c r="CT77" s="1729">
        <f t="shared" ca="1" si="38"/>
        <v>374710.29768269148</v>
      </c>
      <c r="CU77" s="1729">
        <f t="shared" ca="1" si="38"/>
        <v>248320.08644181356</v>
      </c>
      <c r="CV77" s="1729">
        <f t="shared" ca="1" si="38"/>
        <v>181272.37481886803</v>
      </c>
      <c r="CW77" s="1729">
        <f t="shared" ca="1" si="38"/>
        <v>290030.57081955764</v>
      </c>
      <c r="CX77" s="1729">
        <f t="shared" ca="1" si="38"/>
        <v>489412.88579864835</v>
      </c>
      <c r="CY77" s="1729">
        <f t="shared" ca="1" si="38"/>
        <v>481469.94221907691</v>
      </c>
      <c r="CZ77" s="1729">
        <f t="shared" ca="1" si="38"/>
        <v>499590.45835226972</v>
      </c>
      <c r="DA77" s="1729">
        <f t="shared" ca="1" si="38"/>
        <v>513499.04821403406</v>
      </c>
      <c r="DB77" s="1729">
        <f t="shared" ca="1" si="38"/>
        <v>405744.81146666734</v>
      </c>
      <c r="DC77" s="1729">
        <f t="shared" ca="1" si="38"/>
        <v>401770.83514903451</v>
      </c>
      <c r="DD77" s="1729">
        <f t="shared" ca="1" si="38"/>
        <v>457597.91172189114</v>
      </c>
      <c r="DE77" s="1729">
        <f t="shared" ca="1" si="38"/>
        <v>598248.16415210243</v>
      </c>
      <c r="DF77" s="1729">
        <f t="shared" ca="1" si="38"/>
        <v>385951.60661317199</v>
      </c>
      <c r="DG77" s="1729">
        <f t="shared" ca="1" si="38"/>
        <v>255769.68903506789</v>
      </c>
      <c r="DH77" s="1729">
        <f t="shared" ca="1" si="38"/>
        <v>186710.5460634341</v>
      </c>
      <c r="DI77" s="1729">
        <f t="shared" ca="1" si="38"/>
        <v>298731.48794414441</v>
      </c>
      <c r="DJ77" s="1729">
        <f t="shared" ca="1" si="38"/>
        <v>504095.27237260778</v>
      </c>
      <c r="DK77" s="1729">
        <f t="shared" ca="1" si="38"/>
        <v>495914.0404856492</v>
      </c>
      <c r="DL77" s="1729">
        <f t="shared" ca="1" si="38"/>
        <v>514578.17210283788</v>
      </c>
      <c r="DM77" s="1729">
        <f t="shared" ca="1" si="38"/>
        <v>528904.01966045494</v>
      </c>
      <c r="DN77" s="1729">
        <f t="shared" ca="1" si="38"/>
        <v>417917.15581066726</v>
      </c>
      <c r="DO77" s="1729">
        <f t="shared" ca="1" si="38"/>
        <v>413823.96020350565</v>
      </c>
      <c r="DP77" s="1729">
        <f t="shared" ca="1" si="38"/>
        <v>471325.84907354781</v>
      </c>
      <c r="DQ77" s="1729">
        <f t="shared" ca="1" si="38"/>
        <v>616195.60907666571</v>
      </c>
      <c r="DR77" s="1729">
        <f t="shared" ca="1" si="38"/>
        <v>397530.15481156722</v>
      </c>
      <c r="DS77" s="1729">
        <f t="shared" ca="1" si="38"/>
        <v>263442.77970612003</v>
      </c>
      <c r="DT77" s="1485" t="s">
        <v>65</v>
      </c>
    </row>
    <row r="78" spans="1:124">
      <c r="B78" s="1795" t="s">
        <v>1099</v>
      </c>
      <c r="C78" s="1578"/>
      <c r="D78" s="1796">
        <f t="shared" ref="D78:BO78" ca="1" si="39">D77/D38</f>
        <v>-0.99069489928418808</v>
      </c>
      <c r="E78" s="1796">
        <f t="shared" ca="1" si="39"/>
        <v>-0.47935293358482584</v>
      </c>
      <c r="F78" s="1796">
        <f t="shared" ca="1" si="39"/>
        <v>-6.1737486971453648E-2</v>
      </c>
      <c r="G78" s="1796">
        <f t="shared" ca="1" si="39"/>
        <v>2.7332068556485806E-2</v>
      </c>
      <c r="H78" s="1796">
        <f t="shared" ca="1" si="39"/>
        <v>0.11811954058264895</v>
      </c>
      <c r="I78" s="1796">
        <f t="shared" ca="1" si="39"/>
        <v>0.18921869100424238</v>
      </c>
      <c r="J78" s="1796">
        <f t="shared" ca="1" si="39"/>
        <v>0.16246321690728649</v>
      </c>
      <c r="K78" s="1796">
        <f t="shared" ca="1" si="39"/>
        <v>0.20713546618172887</v>
      </c>
      <c r="L78" s="1796">
        <f t="shared" ca="1" si="39"/>
        <v>0.26007391308536487</v>
      </c>
      <c r="M78" s="1796">
        <f t="shared" ca="1" si="39"/>
        <v>0.34756839660475436</v>
      </c>
      <c r="N78" s="1796">
        <f t="shared" ca="1" si="39"/>
        <v>0.23837727509814216</v>
      </c>
      <c r="O78" s="1796">
        <f t="shared" ca="1" si="39"/>
        <v>0.14089809810228857</v>
      </c>
      <c r="P78" s="1796">
        <f t="shared" ca="1" si="39"/>
        <v>0.13395450623738142</v>
      </c>
      <c r="Q78" s="1796">
        <f t="shared" ca="1" si="39"/>
        <v>0.25277535221564318</v>
      </c>
      <c r="R78" s="1796">
        <f t="shared" ca="1" si="39"/>
        <v>0.38335236649563947</v>
      </c>
      <c r="S78" s="1796">
        <f t="shared" ca="1" si="39"/>
        <v>0.3887769385202326</v>
      </c>
      <c r="T78" s="1796">
        <f t="shared" ca="1" si="39"/>
        <v>0.40455979453093599</v>
      </c>
      <c r="U78" s="1796">
        <f t="shared" ca="1" si="39"/>
        <v>0.41950712563577175</v>
      </c>
      <c r="V78" s="1796">
        <f t="shared" ca="1" si="39"/>
        <v>0.36655559383620806</v>
      </c>
      <c r="W78" s="1796">
        <f t="shared" ca="1" si="39"/>
        <v>0.36474608146246484</v>
      </c>
      <c r="X78" s="1796">
        <f t="shared" ca="1" si="39"/>
        <v>0.39395860968486157</v>
      </c>
      <c r="Y78" s="1796">
        <f t="shared" ca="1" si="39"/>
        <v>0.45123908590867901</v>
      </c>
      <c r="Z78" s="1796">
        <f t="shared" ca="1" si="39"/>
        <v>0.3574121785620552</v>
      </c>
      <c r="AA78" s="1796">
        <f t="shared" ca="1" si="39"/>
        <v>0.26911951324881683</v>
      </c>
      <c r="AB78" s="1796">
        <f t="shared" ca="1" si="39"/>
        <v>0.25601157746169023</v>
      </c>
      <c r="AC78" s="1796">
        <f t="shared" ca="1" si="39"/>
        <v>0.34288044860188827</v>
      </c>
      <c r="AD78" s="1796">
        <f t="shared" ca="1" si="39"/>
        <v>0.44360315329177319</v>
      </c>
      <c r="AE78" s="1796">
        <f t="shared" ca="1" si="39"/>
        <v>0.44115144385677219</v>
      </c>
      <c r="AF78" s="1796">
        <f t="shared" ca="1" si="39"/>
        <v>0.44781275645556956</v>
      </c>
      <c r="AG78" s="1796">
        <f t="shared" ca="1" si="39"/>
        <v>0.45468232976901946</v>
      </c>
      <c r="AH78" s="1796">
        <f t="shared" ca="1" si="39"/>
        <v>0.40633917889199067</v>
      </c>
      <c r="AI78" s="1796">
        <f t="shared" ca="1" si="39"/>
        <v>0.40476780081298536</v>
      </c>
      <c r="AJ78" s="1796">
        <f t="shared" ca="1" si="39"/>
        <v>0.43141060644833068</v>
      </c>
      <c r="AK78" s="1796">
        <f t="shared" ca="1" si="39"/>
        <v>0.48333383750781683</v>
      </c>
      <c r="AL78" s="1796">
        <f t="shared" ca="1" si="39"/>
        <v>0.39842102870153978</v>
      </c>
      <c r="AM78" s="1796">
        <f t="shared" ca="1" si="39"/>
        <v>0.31860417146819586</v>
      </c>
      <c r="AN78" s="1796">
        <f t="shared" ca="1" si="39"/>
        <v>0.25601157746169012</v>
      </c>
      <c r="AO78" s="1796">
        <f t="shared" ca="1" si="39"/>
        <v>0.35727474501032858</v>
      </c>
      <c r="AP78" s="1796">
        <f t="shared" ca="1" si="39"/>
        <v>0.44360315329177308</v>
      </c>
      <c r="AQ78" s="1796">
        <f t="shared" ca="1" si="39"/>
        <v>0.44115144385677252</v>
      </c>
      <c r="AR78" s="1796">
        <f t="shared" ca="1" si="39"/>
        <v>0.44781275645556956</v>
      </c>
      <c r="AS78" s="1796">
        <f t="shared" ca="1" si="39"/>
        <v>0.45468232976901934</v>
      </c>
      <c r="AT78" s="1796">
        <f t="shared" ca="1" si="39"/>
        <v>0.40633917889199084</v>
      </c>
      <c r="AU78" s="1796">
        <f t="shared" ca="1" si="39"/>
        <v>0.40476780081298508</v>
      </c>
      <c r="AV78" s="1796">
        <f t="shared" ca="1" si="39"/>
        <v>0.43141060644833051</v>
      </c>
      <c r="AW78" s="1796">
        <f t="shared" ca="1" si="39"/>
        <v>0.48333383750781694</v>
      </c>
      <c r="AX78" s="1796">
        <f t="shared" ca="1" si="39"/>
        <v>0.39842102870153961</v>
      </c>
      <c r="AY78" s="1796">
        <f t="shared" ca="1" si="39"/>
        <v>0.31860417146819581</v>
      </c>
      <c r="AZ78" s="1796">
        <f t="shared" ca="1" si="39"/>
        <v>0.25601157746169001</v>
      </c>
      <c r="BA78" s="1796">
        <f t="shared" ca="1" si="39"/>
        <v>0.34288044860188832</v>
      </c>
      <c r="BB78" s="1796">
        <f t="shared" ca="1" si="39"/>
        <v>0.44360315329177313</v>
      </c>
      <c r="BC78" s="1796">
        <f t="shared" ca="1" si="39"/>
        <v>0.44115144385677241</v>
      </c>
      <c r="BD78" s="1796">
        <f t="shared" ca="1" si="39"/>
        <v>0.44781275645556962</v>
      </c>
      <c r="BE78" s="1796">
        <f t="shared" ca="1" si="39"/>
        <v>0.45468232976901946</v>
      </c>
      <c r="BF78" s="1796">
        <f t="shared" ca="1" si="39"/>
        <v>0.40633917889199073</v>
      </c>
      <c r="BG78" s="1796">
        <f t="shared" ca="1" si="39"/>
        <v>0.40476780081298519</v>
      </c>
      <c r="BH78" s="1796">
        <f t="shared" ca="1" si="39"/>
        <v>0.43141060644833068</v>
      </c>
      <c r="BI78" s="1796">
        <f t="shared" ca="1" si="39"/>
        <v>0.48333383750781678</v>
      </c>
      <c r="BJ78" s="1796">
        <f t="shared" ca="1" si="39"/>
        <v>0.39842102870153973</v>
      </c>
      <c r="BK78" s="1796">
        <f t="shared" ca="1" si="39"/>
        <v>0.31860417146819586</v>
      </c>
      <c r="BL78" s="1796">
        <f t="shared" ca="1" si="39"/>
        <v>0.25601157746169029</v>
      </c>
      <c r="BM78" s="1796">
        <f t="shared" ca="1" si="39"/>
        <v>0.34288044860188827</v>
      </c>
      <c r="BN78" s="1796">
        <f t="shared" ca="1" si="39"/>
        <v>0.44360315329177319</v>
      </c>
      <c r="BO78" s="1796">
        <f t="shared" ca="1" si="39"/>
        <v>0.44115144385677241</v>
      </c>
      <c r="BP78" s="1796">
        <f t="shared" ref="BP78:DS78" ca="1" si="40">BP77/BP38</f>
        <v>0.44781275645556967</v>
      </c>
      <c r="BQ78" s="1796">
        <f t="shared" ca="1" si="40"/>
        <v>0.4546823297690194</v>
      </c>
      <c r="BR78" s="1796">
        <f t="shared" ca="1" si="40"/>
        <v>0.40633917889199073</v>
      </c>
      <c r="BS78" s="1796">
        <f t="shared" ca="1" si="40"/>
        <v>0.40476780081298525</v>
      </c>
      <c r="BT78" s="1796">
        <f t="shared" ca="1" si="40"/>
        <v>0.43141060644833085</v>
      </c>
      <c r="BU78" s="1796">
        <f t="shared" ca="1" si="40"/>
        <v>0.48333383750781689</v>
      </c>
      <c r="BV78" s="1796">
        <f t="shared" ca="1" si="40"/>
        <v>0.39842102870153978</v>
      </c>
      <c r="BW78" s="1796">
        <f t="shared" ca="1" si="40"/>
        <v>0.31860417146819586</v>
      </c>
      <c r="BX78" s="1796">
        <f t="shared" ca="1" si="40"/>
        <v>0.25601157746168995</v>
      </c>
      <c r="BY78" s="1796">
        <f t="shared" ca="1" si="40"/>
        <v>0.34288044860188827</v>
      </c>
      <c r="BZ78" s="1796">
        <f t="shared" ca="1" si="40"/>
        <v>0.4436031532917733</v>
      </c>
      <c r="CA78" s="1796">
        <f t="shared" ca="1" si="40"/>
        <v>0.44115144385677235</v>
      </c>
      <c r="CB78" s="1796">
        <f t="shared" ca="1" si="40"/>
        <v>0.44781275645556956</v>
      </c>
      <c r="CC78" s="1796">
        <f t="shared" ca="1" si="40"/>
        <v>0.4546823297690194</v>
      </c>
      <c r="CD78" s="1796">
        <f t="shared" ca="1" si="40"/>
        <v>0.40633917889199078</v>
      </c>
      <c r="CE78" s="1796">
        <f t="shared" ca="1" si="40"/>
        <v>0.40476780081298541</v>
      </c>
      <c r="CF78" s="1796">
        <f t="shared" ca="1" si="40"/>
        <v>0.43141060644833079</v>
      </c>
      <c r="CG78" s="1796">
        <f t="shared" ca="1" si="40"/>
        <v>0.48333383750781683</v>
      </c>
      <c r="CH78" s="1796">
        <f t="shared" ca="1" si="40"/>
        <v>0.39842102870153978</v>
      </c>
      <c r="CI78" s="1796">
        <f t="shared" ca="1" si="40"/>
        <v>0.31860417146819581</v>
      </c>
      <c r="CJ78" s="1796">
        <f t="shared" ca="1" si="40"/>
        <v>0.25601157746169023</v>
      </c>
      <c r="CK78" s="1796">
        <f t="shared" ca="1" si="40"/>
        <v>0.35727474501032852</v>
      </c>
      <c r="CL78" s="1796">
        <f t="shared" ca="1" si="40"/>
        <v>0.44360315329177313</v>
      </c>
      <c r="CM78" s="1796">
        <f t="shared" ca="1" si="40"/>
        <v>0.44115144385677213</v>
      </c>
      <c r="CN78" s="1796">
        <f t="shared" ca="1" si="40"/>
        <v>0.44781275645556956</v>
      </c>
      <c r="CO78" s="1796">
        <f t="shared" ca="1" si="40"/>
        <v>0.45468232976901934</v>
      </c>
      <c r="CP78" s="1796">
        <f t="shared" ca="1" si="40"/>
        <v>0.40633917889199078</v>
      </c>
      <c r="CQ78" s="1796">
        <f t="shared" ca="1" si="40"/>
        <v>0.40476780081298502</v>
      </c>
      <c r="CR78" s="1796">
        <f t="shared" ca="1" si="40"/>
        <v>0.43141060644833068</v>
      </c>
      <c r="CS78" s="1796">
        <f t="shared" ca="1" si="40"/>
        <v>0.48333383750781683</v>
      </c>
      <c r="CT78" s="1796">
        <f t="shared" ca="1" si="40"/>
        <v>0.39842102870153989</v>
      </c>
      <c r="CU78" s="1796">
        <f t="shared" ca="1" si="40"/>
        <v>0.31860417146819581</v>
      </c>
      <c r="CV78" s="1796">
        <f t="shared" ca="1" si="40"/>
        <v>0.25601157746169018</v>
      </c>
      <c r="CW78" s="1796">
        <f t="shared" ca="1" si="40"/>
        <v>0.34288044860188838</v>
      </c>
      <c r="CX78" s="1796">
        <f t="shared" ca="1" si="40"/>
        <v>0.44360315329177308</v>
      </c>
      <c r="CY78" s="1796">
        <f t="shared" ca="1" si="40"/>
        <v>0.44115144385677241</v>
      </c>
      <c r="CZ78" s="1796">
        <f t="shared" ca="1" si="40"/>
        <v>0.44781275645556967</v>
      </c>
      <c r="DA78" s="1796">
        <f t="shared" ca="1" si="40"/>
        <v>0.45468232976901946</v>
      </c>
      <c r="DB78" s="1796">
        <f t="shared" ca="1" si="40"/>
        <v>0.40633917889199078</v>
      </c>
      <c r="DC78" s="1796">
        <f t="shared" ca="1" si="40"/>
        <v>0.40476780081298519</v>
      </c>
      <c r="DD78" s="1796">
        <f t="shared" ca="1" si="40"/>
        <v>0.43141060644833079</v>
      </c>
      <c r="DE78" s="1796">
        <f t="shared" ca="1" si="40"/>
        <v>0.48333383750781683</v>
      </c>
      <c r="DF78" s="1796">
        <f t="shared" ca="1" si="40"/>
        <v>0.39842102870153973</v>
      </c>
      <c r="DG78" s="1796">
        <f t="shared" ca="1" si="40"/>
        <v>0.31860417146819575</v>
      </c>
      <c r="DH78" s="1796">
        <f t="shared" ca="1" si="40"/>
        <v>0.25601157746169018</v>
      </c>
      <c r="DI78" s="1796">
        <f t="shared" ca="1" si="40"/>
        <v>0.34288044860188832</v>
      </c>
      <c r="DJ78" s="1796">
        <f t="shared" ca="1" si="40"/>
        <v>0.44360315329177302</v>
      </c>
      <c r="DK78" s="1796">
        <f t="shared" ca="1" si="40"/>
        <v>0.44115144385677235</v>
      </c>
      <c r="DL78" s="1796">
        <f t="shared" ca="1" si="40"/>
        <v>0.44781275645556973</v>
      </c>
      <c r="DM78" s="1796">
        <f t="shared" ca="1" si="40"/>
        <v>0.4546823297690194</v>
      </c>
      <c r="DN78" s="1796">
        <f t="shared" ca="1" si="40"/>
        <v>0.40633917889199073</v>
      </c>
      <c r="DO78" s="1796">
        <f t="shared" ca="1" si="40"/>
        <v>0.40476780081298525</v>
      </c>
      <c r="DP78" s="1796">
        <f t="shared" ca="1" si="40"/>
        <v>0.43141060644833062</v>
      </c>
      <c r="DQ78" s="1796">
        <f t="shared" ca="1" si="40"/>
        <v>0.48333383750781689</v>
      </c>
      <c r="DR78" s="1796">
        <f t="shared" ca="1" si="40"/>
        <v>0.39842102870153984</v>
      </c>
      <c r="DS78" s="1796">
        <f t="shared" ca="1" si="40"/>
        <v>0.31860417146819581</v>
      </c>
      <c r="DT78" s="1485" t="s">
        <v>65</v>
      </c>
    </row>
    <row r="79" spans="1:124">
      <c r="B79" s="1724"/>
      <c r="D79" s="1801"/>
      <c r="E79" s="1801"/>
      <c r="F79" s="1801"/>
      <c r="G79" s="1801"/>
      <c r="H79" s="1801"/>
      <c r="I79" s="1801"/>
      <c r="J79" s="1801"/>
      <c r="K79" s="1801"/>
      <c r="L79" s="1801"/>
      <c r="M79" s="1801"/>
      <c r="N79" s="1801"/>
      <c r="O79" s="1801"/>
      <c r="P79" s="1801"/>
      <c r="Q79" s="1801"/>
      <c r="R79" s="1801"/>
      <c r="S79" s="1801"/>
      <c r="T79" s="1801"/>
      <c r="U79" s="1801"/>
      <c r="V79" s="1801"/>
      <c r="W79" s="1801"/>
      <c r="X79" s="1801"/>
      <c r="Y79" s="1801"/>
      <c r="Z79" s="1801"/>
      <c r="AA79" s="1801"/>
      <c r="AB79" s="1801"/>
      <c r="AC79" s="1801"/>
      <c r="AD79" s="1801"/>
      <c r="AE79" s="1801"/>
      <c r="AF79" s="1801"/>
      <c r="AG79" s="1801"/>
      <c r="AH79" s="1801"/>
      <c r="AI79" s="1801"/>
      <c r="AJ79" s="1801"/>
      <c r="AK79" s="1801"/>
      <c r="AL79" s="1801"/>
      <c r="AM79" s="1801"/>
      <c r="AN79" s="1801"/>
      <c r="AO79" s="1801"/>
      <c r="AP79" s="1801"/>
      <c r="AQ79" s="1801"/>
      <c r="AR79" s="1801"/>
      <c r="AS79" s="1801"/>
      <c r="AT79" s="1801"/>
      <c r="AU79" s="1801"/>
      <c r="AV79" s="1801"/>
      <c r="AW79" s="1801"/>
      <c r="AX79" s="1801"/>
      <c r="AY79" s="1801"/>
      <c r="AZ79" s="1801"/>
      <c r="BA79" s="1801"/>
      <c r="BB79" s="1801"/>
      <c r="BC79" s="1801"/>
      <c r="BD79" s="1801"/>
      <c r="BE79" s="1801"/>
      <c r="BF79" s="1801"/>
      <c r="BG79" s="1801"/>
      <c r="BH79" s="1801"/>
      <c r="BI79" s="1801"/>
      <c r="BJ79" s="1801"/>
      <c r="BK79" s="1801"/>
      <c r="BL79" s="1801"/>
      <c r="BM79" s="1801"/>
      <c r="BN79" s="1801"/>
      <c r="BO79" s="1801"/>
      <c r="BP79" s="1801"/>
      <c r="BQ79" s="1801"/>
      <c r="BR79" s="1801"/>
      <c r="BS79" s="1801"/>
      <c r="BT79" s="1801"/>
      <c r="BU79" s="1801"/>
      <c r="BV79" s="1801"/>
      <c r="BW79" s="1801"/>
      <c r="BX79" s="1801"/>
      <c r="BY79" s="1801"/>
      <c r="BZ79" s="1801"/>
      <c r="CA79" s="1801"/>
      <c r="CB79" s="1801"/>
      <c r="CC79" s="1801"/>
      <c r="CD79" s="1801"/>
      <c r="CE79" s="1801"/>
      <c r="CF79" s="1801"/>
      <c r="CG79" s="1801"/>
      <c r="CH79" s="1801"/>
      <c r="CI79" s="1801"/>
      <c r="CJ79" s="1801"/>
      <c r="CK79" s="1801"/>
      <c r="CL79" s="1801"/>
      <c r="CM79" s="1801"/>
      <c r="CN79" s="1801"/>
      <c r="CO79" s="1801"/>
      <c r="CP79" s="1801"/>
      <c r="CQ79" s="1801"/>
      <c r="CR79" s="1801"/>
      <c r="CS79" s="1801"/>
      <c r="CT79" s="1801"/>
      <c r="CU79" s="1801"/>
      <c r="CV79" s="1801"/>
      <c r="CW79" s="1801"/>
      <c r="CX79" s="1801"/>
      <c r="CY79" s="1801"/>
      <c r="CZ79" s="1801"/>
      <c r="DA79" s="1801"/>
      <c r="DB79" s="1801"/>
      <c r="DC79" s="1801"/>
      <c r="DD79" s="1801"/>
      <c r="DE79" s="1801"/>
      <c r="DF79" s="1801"/>
      <c r="DG79" s="1801"/>
      <c r="DH79" s="1801"/>
      <c r="DI79" s="1801"/>
      <c r="DJ79" s="1801"/>
      <c r="DK79" s="1801"/>
      <c r="DL79" s="1801"/>
      <c r="DM79" s="1801"/>
      <c r="DN79" s="1801"/>
      <c r="DO79" s="1801"/>
      <c r="DP79" s="1801"/>
      <c r="DQ79" s="1801"/>
      <c r="DR79" s="1801"/>
      <c r="DS79" s="1801"/>
      <c r="DT79" s="1485" t="s">
        <v>65</v>
      </c>
    </row>
    <row r="80" spans="1:124">
      <c r="B80" s="1749" t="s">
        <v>1103</v>
      </c>
      <c r="D80" s="1852">
        <f ca="1">+MAX(0,D77)*D81</f>
        <v>0</v>
      </c>
      <c r="E80" s="1852">
        <f t="shared" ref="E80:BP80" ca="1" si="41">+MAX(0,E77)*E81</f>
        <v>0</v>
      </c>
      <c r="F80" s="1852">
        <f t="shared" ca="1" si="41"/>
        <v>0</v>
      </c>
      <c r="G80" s="1745">
        <f t="shared" ca="1" si="41"/>
        <v>11391.401427100096</v>
      </c>
      <c r="H80" s="1745">
        <f t="shared" ca="1" si="41"/>
        <v>56174.004633645505</v>
      </c>
      <c r="I80" s="1745">
        <f t="shared" ca="1" si="41"/>
        <v>100583.37280622406</v>
      </c>
      <c r="J80" s="1745">
        <f t="shared" ca="1" si="41"/>
        <v>83560.694906349134</v>
      </c>
      <c r="K80" s="1745">
        <f t="shared" ca="1" si="41"/>
        <v>115032.93242017191</v>
      </c>
      <c r="L80" s="1745">
        <f t="shared" ca="1" si="41"/>
        <v>158507.20690282571</v>
      </c>
      <c r="M80" s="1745">
        <f t="shared" ca="1" si="41"/>
        <v>253686.44269354051</v>
      </c>
      <c r="N80" s="1745">
        <f t="shared" ca="1" si="41"/>
        <v>139655.25701467844</v>
      </c>
      <c r="O80" s="1745">
        <f t="shared" ca="1" si="41"/>
        <v>70115.316062434693</v>
      </c>
      <c r="P80" s="1745">
        <f t="shared" ca="1" si="41"/>
        <v>62033.650373333403</v>
      </c>
      <c r="Q80" s="1745">
        <f t="shared" ca="1" si="41"/>
        <v>143165.64367938988</v>
      </c>
      <c r="R80" s="1745">
        <f t="shared" ca="1" si="41"/>
        <v>289769.51301672106</v>
      </c>
      <c r="S80" s="1745">
        <f t="shared" ca="1" si="41"/>
        <v>297305.32600837859</v>
      </c>
      <c r="T80" s="1745">
        <f t="shared" ca="1" si="41"/>
        <v>323261.59098251385</v>
      </c>
      <c r="U80" s="1745">
        <f t="shared" ca="1" si="41"/>
        <v>346699.20425644302</v>
      </c>
      <c r="V80" s="1745">
        <f t="shared" ca="1" si="41"/>
        <v>267846.55456693389</v>
      </c>
      <c r="W80" s="1745">
        <f t="shared" ca="1" si="41"/>
        <v>264938.46879780188</v>
      </c>
      <c r="X80" s="1745">
        <f t="shared" ca="1" si="41"/>
        <v>305791.7386558564</v>
      </c>
      <c r="Y80" s="1745">
        <f t="shared" ca="1" si="41"/>
        <v>408717.11234323075</v>
      </c>
      <c r="Z80" s="1745">
        <f t="shared" ca="1" si="41"/>
        <v>253362.23640314251</v>
      </c>
      <c r="AA80" s="1745">
        <f t="shared" ca="1" si="41"/>
        <v>158097.40550130181</v>
      </c>
      <c r="AB80" s="1745">
        <f t="shared" ca="1" si="41"/>
        <v>136631.48407421447</v>
      </c>
      <c r="AC80" s="1745">
        <f t="shared" ca="1" si="41"/>
        <v>218606.43331651785</v>
      </c>
      <c r="AD80" s="1745">
        <f t="shared" ca="1" si="41"/>
        <v>368888.02818703512</v>
      </c>
      <c r="AE80" s="1745">
        <f t="shared" ca="1" si="41"/>
        <v>362901.14700737898</v>
      </c>
      <c r="AF80" s="1745">
        <f t="shared" ca="1" si="41"/>
        <v>376559.22929345706</v>
      </c>
      <c r="AG80" s="1745">
        <f t="shared" ca="1" si="41"/>
        <v>387042.63183116494</v>
      </c>
      <c r="AH80" s="1745">
        <f t="shared" ca="1" si="41"/>
        <v>305824.40265097015</v>
      </c>
      <c r="AI80" s="1745">
        <f t="shared" ca="1" si="41"/>
        <v>302829.07430876442</v>
      </c>
      <c r="AJ80" s="1745">
        <f t="shared" ca="1" si="41"/>
        <v>344907.94226256042</v>
      </c>
      <c r="AK80" s="1745">
        <f t="shared" ca="1" si="41"/>
        <v>450921.07716055604</v>
      </c>
      <c r="AL80" s="1745">
        <f t="shared" ca="1" si="41"/>
        <v>290905.55494226515</v>
      </c>
      <c r="AM80" s="1745">
        <f t="shared" ca="1" si="41"/>
        <v>192782.779113369</v>
      </c>
      <c r="AN80" s="1745">
        <f t="shared" ca="1" si="41"/>
        <v>140730.42859644088</v>
      </c>
      <c r="AO80" s="1745">
        <f t="shared" ca="1" si="41"/>
        <v>242996.3363774039</v>
      </c>
      <c r="AP80" s="1745">
        <f t="shared" ca="1" si="41"/>
        <v>379954.66903264605</v>
      </c>
      <c r="AQ80" s="1745">
        <f t="shared" ca="1" si="41"/>
        <v>373788.18141760054</v>
      </c>
      <c r="AR80" s="1745">
        <f t="shared" ca="1" si="41"/>
        <v>387856.00617226074</v>
      </c>
      <c r="AS80" s="1745">
        <f t="shared" ca="1" si="41"/>
        <v>398653.91078609973</v>
      </c>
      <c r="AT80" s="1745">
        <f t="shared" ca="1" si="41"/>
        <v>314999.13473049941</v>
      </c>
      <c r="AU80" s="1745">
        <f t="shared" ca="1" si="41"/>
        <v>311913.94653802708</v>
      </c>
      <c r="AV80" s="1745">
        <f t="shared" ca="1" si="41"/>
        <v>355255.18053043704</v>
      </c>
      <c r="AW80" s="1745">
        <f t="shared" ca="1" si="41"/>
        <v>464448.70947537274</v>
      </c>
      <c r="AX80" s="1745">
        <f t="shared" ca="1" si="41"/>
        <v>299632.72159053298</v>
      </c>
      <c r="AY80" s="1745">
        <f t="shared" ca="1" si="41"/>
        <v>198566.26248677005</v>
      </c>
      <c r="AZ80" s="1745">
        <f t="shared" ca="1" si="41"/>
        <v>144952.341454334</v>
      </c>
      <c r="BA80" s="1745">
        <f t="shared" ca="1" si="41"/>
        <v>231919.56510549385</v>
      </c>
      <c r="BB80" s="1745">
        <f t="shared" ca="1" si="41"/>
        <v>391353.30910362554</v>
      </c>
      <c r="BC80" s="1745">
        <f t="shared" ca="1" si="41"/>
        <v>385001.82686012849</v>
      </c>
      <c r="BD80" s="1745">
        <f t="shared" ca="1" si="41"/>
        <v>399491.68635742867</v>
      </c>
      <c r="BE80" s="1745">
        <f t="shared" ca="1" si="41"/>
        <v>410613.52810968278</v>
      </c>
      <c r="BF80" s="1745">
        <f t="shared" ca="1" si="41"/>
        <v>324449.10877241433</v>
      </c>
      <c r="BG80" s="1745">
        <f t="shared" ca="1" si="41"/>
        <v>321271.364934168</v>
      </c>
      <c r="BH80" s="1745">
        <f t="shared" ca="1" si="41"/>
        <v>365912.83594635036</v>
      </c>
      <c r="BI80" s="1745">
        <f t="shared" ca="1" si="41"/>
        <v>478382.17075963377</v>
      </c>
      <c r="BJ80" s="1745">
        <f t="shared" ca="1" si="41"/>
        <v>308621.703238249</v>
      </c>
      <c r="BK80" s="1745">
        <f t="shared" ca="1" si="41"/>
        <v>204523.25036137318</v>
      </c>
      <c r="BL80" s="1745">
        <f t="shared" ca="1" si="41"/>
        <v>149300.91169796421</v>
      </c>
      <c r="BM80" s="1745">
        <f t="shared" ca="1" si="41"/>
        <v>238877.1520586586</v>
      </c>
      <c r="BN80" s="1745">
        <f t="shared" ca="1" si="41"/>
        <v>403093.9083767343</v>
      </c>
      <c r="BO80" s="1745">
        <f t="shared" ca="1" si="41"/>
        <v>396551.88166593236</v>
      </c>
      <c r="BP80" s="1745">
        <f t="shared" ca="1" si="41"/>
        <v>411476.4369481515</v>
      </c>
      <c r="BQ80" s="1745">
        <f t="shared" ref="BQ80:DS80" ca="1" si="42">+MAX(0,BQ77)*BQ81</f>
        <v>422931.93395297328</v>
      </c>
      <c r="BR80" s="1745">
        <f t="shared" ca="1" si="42"/>
        <v>334182.58203558665</v>
      </c>
      <c r="BS80" s="1745">
        <f t="shared" ca="1" si="42"/>
        <v>330909.50588219299</v>
      </c>
      <c r="BT80" s="1745">
        <f t="shared" ca="1" si="42"/>
        <v>376890.22102474095</v>
      </c>
      <c r="BU80" s="1745">
        <f t="shared" ca="1" si="42"/>
        <v>492733.63588242285</v>
      </c>
      <c r="BV80" s="1745">
        <f t="shared" ca="1" si="42"/>
        <v>317880.35433539655</v>
      </c>
      <c r="BW80" s="1745">
        <f t="shared" ca="1" si="42"/>
        <v>210658.9478722144</v>
      </c>
      <c r="BX80" s="1745">
        <f t="shared" ca="1" si="42"/>
        <v>153779.93904890289</v>
      </c>
      <c r="BY80" s="1745">
        <f t="shared" ca="1" si="42"/>
        <v>246043.46662041839</v>
      </c>
      <c r="BZ80" s="1745">
        <f t="shared" ca="1" si="42"/>
        <v>415186.72562803648</v>
      </c>
      <c r="CA80" s="1745">
        <f t="shared" ca="1" si="42"/>
        <v>408448.43811591022</v>
      </c>
      <c r="CB80" s="1745">
        <f t="shared" ca="1" si="42"/>
        <v>423820.73005659587</v>
      </c>
      <c r="CC80" s="1745">
        <f t="shared" ca="1" si="42"/>
        <v>435619.89197156235</v>
      </c>
      <c r="CD80" s="1745">
        <f t="shared" ca="1" si="42"/>
        <v>344208.05949665437</v>
      </c>
      <c r="CE80" s="1745">
        <f t="shared" ca="1" si="42"/>
        <v>340836.79105865903</v>
      </c>
      <c r="CF80" s="1745">
        <f t="shared" ca="1" si="42"/>
        <v>388196.92765548319</v>
      </c>
      <c r="CG80" s="1745">
        <f t="shared" ca="1" si="42"/>
        <v>507515.64495889563</v>
      </c>
      <c r="CH80" s="1745">
        <f t="shared" ca="1" si="42"/>
        <v>327416.76496545842</v>
      </c>
      <c r="CI80" s="1745">
        <f t="shared" ca="1" si="42"/>
        <v>216978.7163083808</v>
      </c>
      <c r="CJ80" s="1745">
        <f t="shared" ca="1" si="42"/>
        <v>158393.33722037022</v>
      </c>
      <c r="CK80" s="1745">
        <f t="shared" ca="1" si="42"/>
        <v>273494.51739049156</v>
      </c>
      <c r="CL80" s="1745">
        <f t="shared" ca="1" si="42"/>
        <v>427642.3273968774</v>
      </c>
      <c r="CM80" s="1745">
        <f t="shared" ca="1" si="42"/>
        <v>420701.89125938725</v>
      </c>
      <c r="CN80" s="1745">
        <f t="shared" ca="1" si="42"/>
        <v>436535.35195829388</v>
      </c>
      <c r="CO80" s="1745">
        <f t="shared" ca="1" si="42"/>
        <v>448688.48873070918</v>
      </c>
      <c r="CP80" s="1745">
        <f t="shared" ca="1" si="42"/>
        <v>354534.30128155404</v>
      </c>
      <c r="CQ80" s="1745">
        <f t="shared" ca="1" si="42"/>
        <v>351061.89479041845</v>
      </c>
      <c r="CR80" s="1745">
        <f t="shared" ca="1" si="42"/>
        <v>399842.8354851476</v>
      </c>
      <c r="CS80" s="1745">
        <f t="shared" ca="1" si="42"/>
        <v>522741.11430766253</v>
      </c>
      <c r="CT80" s="1745">
        <f t="shared" ca="1" si="42"/>
        <v>337239.26791442232</v>
      </c>
      <c r="CU80" s="1745">
        <f t="shared" ca="1" si="42"/>
        <v>223488.0777976322</v>
      </c>
      <c r="CV80" s="1745">
        <f t="shared" ca="1" si="42"/>
        <v>163145.13733698122</v>
      </c>
      <c r="CW80" s="1745">
        <f t="shared" ca="1" si="42"/>
        <v>261027.5137376019</v>
      </c>
      <c r="CX80" s="1745">
        <f t="shared" ca="1" si="42"/>
        <v>440471.59721878351</v>
      </c>
      <c r="CY80" s="1745">
        <f t="shared" ca="1" si="42"/>
        <v>433322.94799716922</v>
      </c>
      <c r="CZ80" s="1745">
        <f t="shared" ca="1" si="42"/>
        <v>449631.41251704277</v>
      </c>
      <c r="DA80" s="1745">
        <f t="shared" ca="1" si="42"/>
        <v>462149.14339263068</v>
      </c>
      <c r="DB80" s="1745">
        <f t="shared" ca="1" si="42"/>
        <v>365170.33032000059</v>
      </c>
      <c r="DC80" s="1745">
        <f t="shared" ca="1" si="42"/>
        <v>361593.75163413107</v>
      </c>
      <c r="DD80" s="1745">
        <f t="shared" ca="1" si="42"/>
        <v>411838.12054970203</v>
      </c>
      <c r="DE80" s="1745">
        <f t="shared" ca="1" si="42"/>
        <v>538423.34773689217</v>
      </c>
      <c r="DF80" s="1745">
        <f t="shared" ca="1" si="42"/>
        <v>347356.44595185481</v>
      </c>
      <c r="DG80" s="1745">
        <f t="shared" ca="1" si="42"/>
        <v>230192.7201315611</v>
      </c>
      <c r="DH80" s="1745">
        <f t="shared" ca="1" si="42"/>
        <v>168039.49145709068</v>
      </c>
      <c r="DI80" s="1745">
        <f t="shared" ca="1" si="42"/>
        <v>268858.33914972999</v>
      </c>
      <c r="DJ80" s="1745">
        <f t="shared" ca="1" si="42"/>
        <v>453685.74513534701</v>
      </c>
      <c r="DK80" s="1745">
        <f t="shared" ca="1" si="42"/>
        <v>446322.63643708429</v>
      </c>
      <c r="DL80" s="1745">
        <f t="shared" ca="1" si="42"/>
        <v>463120.35489255411</v>
      </c>
      <c r="DM80" s="1745">
        <f t="shared" ca="1" si="42"/>
        <v>476013.61769440945</v>
      </c>
      <c r="DN80" s="1745">
        <f t="shared" ca="1" si="42"/>
        <v>376125.44022960053</v>
      </c>
      <c r="DO80" s="1745">
        <f t="shared" ca="1" si="42"/>
        <v>372441.56418315507</v>
      </c>
      <c r="DP80" s="1745">
        <f t="shared" ca="1" si="42"/>
        <v>424193.26416619302</v>
      </c>
      <c r="DQ80" s="1745">
        <f t="shared" ca="1" si="42"/>
        <v>554576.04816899914</v>
      </c>
      <c r="DR80" s="1745">
        <f t="shared" ca="1" si="42"/>
        <v>357777.13933041051</v>
      </c>
      <c r="DS80" s="1745">
        <f t="shared" ca="1" si="42"/>
        <v>237098.50173550803</v>
      </c>
      <c r="DT80" s="1485" t="s">
        <v>65</v>
      </c>
    </row>
    <row r="81" spans="1:124">
      <c r="B81" s="1753" t="s">
        <v>1104</v>
      </c>
      <c r="D81" s="1801">
        <f>INDEX('Assumptions MH'!$Z$25:$Z$34,MATCH(D5,'Assumptions MH'!$Y$25:$Y$34,))</f>
        <v>0.9</v>
      </c>
      <c r="E81" s="1801">
        <f>INDEX('Assumptions MH'!$Z$25:$Z$34,MATCH(E5,'Assumptions MH'!$Y$25:$Y$34,))</f>
        <v>0.9</v>
      </c>
      <c r="F81" s="1801">
        <f>INDEX('Assumptions MH'!$Z$25:$Z$34,MATCH(F5,'Assumptions MH'!$Y$25:$Y$34,))</f>
        <v>0.9</v>
      </c>
      <c r="G81" s="1801">
        <f>INDEX('Assumptions MH'!$Z$25:$Z$34,MATCH(G5,'Assumptions MH'!$Y$25:$Y$34,))</f>
        <v>0.9</v>
      </c>
      <c r="H81" s="1801">
        <f>INDEX('Assumptions MH'!$Z$25:$Z$34,MATCH(H5,'Assumptions MH'!$Y$25:$Y$34,))</f>
        <v>0.9</v>
      </c>
      <c r="I81" s="1801">
        <f>INDEX('Assumptions MH'!$Z$25:$Z$34,MATCH(I5,'Assumptions MH'!$Y$25:$Y$34,))</f>
        <v>0.9</v>
      </c>
      <c r="J81" s="1801">
        <f>INDEX('Assumptions MH'!$Z$25:$Z$34,MATCH(J5,'Assumptions MH'!$Y$25:$Y$34,))</f>
        <v>0.9</v>
      </c>
      <c r="K81" s="1801">
        <f>INDEX('Assumptions MH'!$Z$25:$Z$34,MATCH(K5,'Assumptions MH'!$Y$25:$Y$34,))</f>
        <v>0.9</v>
      </c>
      <c r="L81" s="1801">
        <f>INDEX('Assumptions MH'!$Z$25:$Z$34,MATCH(L5,'Assumptions MH'!$Y$25:$Y$34,))</f>
        <v>0.9</v>
      </c>
      <c r="M81" s="1801">
        <f>INDEX('Assumptions MH'!$Z$25:$Z$34,MATCH(M5,'Assumptions MH'!$Y$25:$Y$34,))</f>
        <v>0.9</v>
      </c>
      <c r="N81" s="1801">
        <f>INDEX('Assumptions MH'!$Z$25:$Z$34,MATCH(N5,'Assumptions MH'!$Y$25:$Y$34,))</f>
        <v>0.9</v>
      </c>
      <c r="O81" s="1801">
        <f>INDEX('Assumptions MH'!$Z$25:$Z$34,MATCH(O5,'Assumptions MH'!$Y$25:$Y$34,))</f>
        <v>0.9</v>
      </c>
      <c r="P81" s="1801">
        <f>INDEX('Assumptions MH'!$Z$25:$Z$34,MATCH(P5,'Assumptions MH'!$Y$25:$Y$34,))</f>
        <v>0.9</v>
      </c>
      <c r="Q81" s="1801">
        <f>INDEX('Assumptions MH'!$Z$25:$Z$34,MATCH(Q5,'Assumptions MH'!$Y$25:$Y$34,))</f>
        <v>0.9</v>
      </c>
      <c r="R81" s="1801">
        <f>INDEX('Assumptions MH'!$Z$25:$Z$34,MATCH(R5,'Assumptions MH'!$Y$25:$Y$34,))</f>
        <v>0.9</v>
      </c>
      <c r="S81" s="1801">
        <f>INDEX('Assumptions MH'!$Z$25:$Z$34,MATCH(S5,'Assumptions MH'!$Y$25:$Y$34,))</f>
        <v>0.9</v>
      </c>
      <c r="T81" s="1801">
        <f>INDEX('Assumptions MH'!$Z$25:$Z$34,MATCH(T5,'Assumptions MH'!$Y$25:$Y$34,))</f>
        <v>0.9</v>
      </c>
      <c r="U81" s="1801">
        <f>INDEX('Assumptions MH'!$Z$25:$Z$34,MATCH(U5,'Assumptions MH'!$Y$25:$Y$34,))</f>
        <v>0.9</v>
      </c>
      <c r="V81" s="1801">
        <f>INDEX('Assumptions MH'!$Z$25:$Z$34,MATCH(V5,'Assumptions MH'!$Y$25:$Y$34,))</f>
        <v>0.9</v>
      </c>
      <c r="W81" s="1801">
        <f>INDEX('Assumptions MH'!$Z$25:$Z$34,MATCH(W5,'Assumptions MH'!$Y$25:$Y$34,))</f>
        <v>0.9</v>
      </c>
      <c r="X81" s="1801">
        <f>INDEX('Assumptions MH'!$Z$25:$Z$34,MATCH(X5,'Assumptions MH'!$Y$25:$Y$34,))</f>
        <v>0.9</v>
      </c>
      <c r="Y81" s="1801">
        <f>INDEX('Assumptions MH'!$Z$25:$Z$34,MATCH(Y5,'Assumptions MH'!$Y$25:$Y$34,))</f>
        <v>0.9</v>
      </c>
      <c r="Z81" s="1801">
        <f>INDEX('Assumptions MH'!$Z$25:$Z$34,MATCH(Z5,'Assumptions MH'!$Y$25:$Y$34,))</f>
        <v>0.9</v>
      </c>
      <c r="AA81" s="1801">
        <f>INDEX('Assumptions MH'!$Z$25:$Z$34,MATCH(AA5,'Assumptions MH'!$Y$25:$Y$34,))</f>
        <v>0.9</v>
      </c>
      <c r="AB81" s="1801">
        <f>INDEX('Assumptions MH'!$Z$25:$Z$34,MATCH(AB5,'Assumptions MH'!$Y$25:$Y$34,))</f>
        <v>0.9</v>
      </c>
      <c r="AC81" s="1801">
        <f>INDEX('Assumptions MH'!$Z$25:$Z$34,MATCH(AC5,'Assumptions MH'!$Y$25:$Y$34,))</f>
        <v>0.9</v>
      </c>
      <c r="AD81" s="1801">
        <f>INDEX('Assumptions MH'!$Z$25:$Z$34,MATCH(AD5,'Assumptions MH'!$Y$25:$Y$34,))</f>
        <v>0.9</v>
      </c>
      <c r="AE81" s="1801">
        <f>INDEX('Assumptions MH'!$Z$25:$Z$34,MATCH(AE5,'Assumptions MH'!$Y$25:$Y$34,))</f>
        <v>0.9</v>
      </c>
      <c r="AF81" s="1801">
        <f>INDEX('Assumptions MH'!$Z$25:$Z$34,MATCH(AF5,'Assumptions MH'!$Y$25:$Y$34,))</f>
        <v>0.9</v>
      </c>
      <c r="AG81" s="1801">
        <f>INDEX('Assumptions MH'!$Z$25:$Z$34,MATCH(AG5,'Assumptions MH'!$Y$25:$Y$34,))</f>
        <v>0.9</v>
      </c>
      <c r="AH81" s="1801">
        <f>INDEX('Assumptions MH'!$Z$25:$Z$34,MATCH(AH5,'Assumptions MH'!$Y$25:$Y$34,))</f>
        <v>0.9</v>
      </c>
      <c r="AI81" s="1801">
        <f>INDEX('Assumptions MH'!$Z$25:$Z$34,MATCH(AI5,'Assumptions MH'!$Y$25:$Y$34,))</f>
        <v>0.9</v>
      </c>
      <c r="AJ81" s="1801">
        <f>INDEX('Assumptions MH'!$Z$25:$Z$34,MATCH(AJ5,'Assumptions MH'!$Y$25:$Y$34,))</f>
        <v>0.9</v>
      </c>
      <c r="AK81" s="1801">
        <f>INDEX('Assumptions MH'!$Z$25:$Z$34,MATCH(AK5,'Assumptions MH'!$Y$25:$Y$34,))</f>
        <v>0.9</v>
      </c>
      <c r="AL81" s="1801">
        <f>INDEX('Assumptions MH'!$Z$25:$Z$34,MATCH(AL5,'Assumptions MH'!$Y$25:$Y$34,))</f>
        <v>0.9</v>
      </c>
      <c r="AM81" s="1801">
        <f>INDEX('Assumptions MH'!$Z$25:$Z$34,MATCH(AM5,'Assumptions MH'!$Y$25:$Y$34,))</f>
        <v>0.9</v>
      </c>
      <c r="AN81" s="1801">
        <f>INDEX('Assumptions MH'!$Z$25:$Z$34,MATCH(AN5,'Assumptions MH'!$Y$25:$Y$34,))</f>
        <v>0.9</v>
      </c>
      <c r="AO81" s="1801">
        <f>INDEX('Assumptions MH'!$Z$25:$Z$34,MATCH(AO5,'Assumptions MH'!$Y$25:$Y$34,))</f>
        <v>0.9</v>
      </c>
      <c r="AP81" s="1801">
        <f>INDEX('Assumptions MH'!$Z$25:$Z$34,MATCH(AP5,'Assumptions MH'!$Y$25:$Y$34,))</f>
        <v>0.9</v>
      </c>
      <c r="AQ81" s="1801">
        <f>INDEX('Assumptions MH'!$Z$25:$Z$34,MATCH(AQ5,'Assumptions MH'!$Y$25:$Y$34,))</f>
        <v>0.9</v>
      </c>
      <c r="AR81" s="1801">
        <f>INDEX('Assumptions MH'!$Z$25:$Z$34,MATCH(AR5,'Assumptions MH'!$Y$25:$Y$34,))</f>
        <v>0.9</v>
      </c>
      <c r="AS81" s="1801">
        <f>INDEX('Assumptions MH'!$Z$25:$Z$34,MATCH(AS5,'Assumptions MH'!$Y$25:$Y$34,))</f>
        <v>0.9</v>
      </c>
      <c r="AT81" s="1801">
        <f>INDEX('Assumptions MH'!$Z$25:$Z$34,MATCH(AT5,'Assumptions MH'!$Y$25:$Y$34,))</f>
        <v>0.9</v>
      </c>
      <c r="AU81" s="1801">
        <f>INDEX('Assumptions MH'!$Z$25:$Z$34,MATCH(AU5,'Assumptions MH'!$Y$25:$Y$34,))</f>
        <v>0.9</v>
      </c>
      <c r="AV81" s="1801">
        <f>INDEX('Assumptions MH'!$Z$25:$Z$34,MATCH(AV5,'Assumptions MH'!$Y$25:$Y$34,))</f>
        <v>0.9</v>
      </c>
      <c r="AW81" s="1801">
        <f>INDEX('Assumptions MH'!$Z$25:$Z$34,MATCH(AW5,'Assumptions MH'!$Y$25:$Y$34,))</f>
        <v>0.9</v>
      </c>
      <c r="AX81" s="1801">
        <f>INDEX('Assumptions MH'!$Z$25:$Z$34,MATCH(AX5,'Assumptions MH'!$Y$25:$Y$34,))</f>
        <v>0.9</v>
      </c>
      <c r="AY81" s="1801">
        <f>INDEX('Assumptions MH'!$Z$25:$Z$34,MATCH(AY5,'Assumptions MH'!$Y$25:$Y$34,))</f>
        <v>0.9</v>
      </c>
      <c r="AZ81" s="1801">
        <f>INDEX('Assumptions MH'!$Z$25:$Z$34,MATCH(AZ5,'Assumptions MH'!$Y$25:$Y$34,))</f>
        <v>0.9</v>
      </c>
      <c r="BA81" s="1801">
        <f>INDEX('Assumptions MH'!$Z$25:$Z$34,MATCH(BA5,'Assumptions MH'!$Y$25:$Y$34,))</f>
        <v>0.9</v>
      </c>
      <c r="BB81" s="1801">
        <f>INDEX('Assumptions MH'!$Z$25:$Z$34,MATCH(BB5,'Assumptions MH'!$Y$25:$Y$34,))</f>
        <v>0.9</v>
      </c>
      <c r="BC81" s="1801">
        <f>INDEX('Assumptions MH'!$Z$25:$Z$34,MATCH(BC5,'Assumptions MH'!$Y$25:$Y$34,))</f>
        <v>0.9</v>
      </c>
      <c r="BD81" s="1801">
        <f>INDEX('Assumptions MH'!$Z$25:$Z$34,MATCH(BD5,'Assumptions MH'!$Y$25:$Y$34,))</f>
        <v>0.9</v>
      </c>
      <c r="BE81" s="1801">
        <f>INDEX('Assumptions MH'!$Z$25:$Z$34,MATCH(BE5,'Assumptions MH'!$Y$25:$Y$34,))</f>
        <v>0.9</v>
      </c>
      <c r="BF81" s="1801">
        <f>INDEX('Assumptions MH'!$Z$25:$Z$34,MATCH(BF5,'Assumptions MH'!$Y$25:$Y$34,))</f>
        <v>0.9</v>
      </c>
      <c r="BG81" s="1801">
        <f>INDEX('Assumptions MH'!$Z$25:$Z$34,MATCH(BG5,'Assumptions MH'!$Y$25:$Y$34,))</f>
        <v>0.9</v>
      </c>
      <c r="BH81" s="1801">
        <f>INDEX('Assumptions MH'!$Z$25:$Z$34,MATCH(BH5,'Assumptions MH'!$Y$25:$Y$34,))</f>
        <v>0.9</v>
      </c>
      <c r="BI81" s="1801">
        <f>INDEX('Assumptions MH'!$Z$25:$Z$34,MATCH(BI5,'Assumptions MH'!$Y$25:$Y$34,))</f>
        <v>0.9</v>
      </c>
      <c r="BJ81" s="1801">
        <f>INDEX('Assumptions MH'!$Z$25:$Z$34,MATCH(BJ5,'Assumptions MH'!$Y$25:$Y$34,))</f>
        <v>0.9</v>
      </c>
      <c r="BK81" s="1801">
        <f>INDEX('Assumptions MH'!$Z$25:$Z$34,MATCH(BK5,'Assumptions MH'!$Y$25:$Y$34,))</f>
        <v>0.9</v>
      </c>
      <c r="BL81" s="1801">
        <f>INDEX('Assumptions MH'!$Z$25:$Z$34,MATCH(BL5,'Assumptions MH'!$Y$25:$Y$34,))</f>
        <v>0.9</v>
      </c>
      <c r="BM81" s="1801">
        <f>INDEX('Assumptions MH'!$Z$25:$Z$34,MATCH(BM5,'Assumptions MH'!$Y$25:$Y$34,))</f>
        <v>0.9</v>
      </c>
      <c r="BN81" s="1801">
        <f>INDEX('Assumptions MH'!$Z$25:$Z$34,MATCH(BN5,'Assumptions MH'!$Y$25:$Y$34,))</f>
        <v>0.9</v>
      </c>
      <c r="BO81" s="1801">
        <f>INDEX('Assumptions MH'!$Z$25:$Z$34,MATCH(BO5,'Assumptions MH'!$Y$25:$Y$34,))</f>
        <v>0.9</v>
      </c>
      <c r="BP81" s="1801">
        <f>INDEX('Assumptions MH'!$Z$25:$Z$34,MATCH(BP5,'Assumptions MH'!$Y$25:$Y$34,))</f>
        <v>0.9</v>
      </c>
      <c r="BQ81" s="1801">
        <f>INDEX('Assumptions MH'!$Z$25:$Z$34,MATCH(BQ5,'Assumptions MH'!$Y$25:$Y$34,))</f>
        <v>0.9</v>
      </c>
      <c r="BR81" s="1801">
        <f>INDEX('Assumptions MH'!$Z$25:$Z$34,MATCH(BR5,'Assumptions MH'!$Y$25:$Y$34,))</f>
        <v>0.9</v>
      </c>
      <c r="BS81" s="1801">
        <f>INDEX('Assumptions MH'!$Z$25:$Z$34,MATCH(BS5,'Assumptions MH'!$Y$25:$Y$34,))</f>
        <v>0.9</v>
      </c>
      <c r="BT81" s="1801">
        <f>INDEX('Assumptions MH'!$Z$25:$Z$34,MATCH(BT5,'Assumptions MH'!$Y$25:$Y$34,))</f>
        <v>0.9</v>
      </c>
      <c r="BU81" s="1801">
        <f>INDEX('Assumptions MH'!$Z$25:$Z$34,MATCH(BU5,'Assumptions MH'!$Y$25:$Y$34,))</f>
        <v>0.9</v>
      </c>
      <c r="BV81" s="1801">
        <f>INDEX('Assumptions MH'!$Z$25:$Z$34,MATCH(BV5,'Assumptions MH'!$Y$25:$Y$34,))</f>
        <v>0.9</v>
      </c>
      <c r="BW81" s="1801">
        <f>INDEX('Assumptions MH'!$Z$25:$Z$34,MATCH(BW5,'Assumptions MH'!$Y$25:$Y$34,))</f>
        <v>0.9</v>
      </c>
      <c r="BX81" s="1801">
        <f>INDEX('Assumptions MH'!$Z$25:$Z$34,MATCH(BX5,'Assumptions MH'!$Y$25:$Y$34,))</f>
        <v>0.9</v>
      </c>
      <c r="BY81" s="1801">
        <f>INDEX('Assumptions MH'!$Z$25:$Z$34,MATCH(BY5,'Assumptions MH'!$Y$25:$Y$34,))</f>
        <v>0.9</v>
      </c>
      <c r="BZ81" s="1801">
        <f>INDEX('Assumptions MH'!$Z$25:$Z$34,MATCH(BZ5,'Assumptions MH'!$Y$25:$Y$34,))</f>
        <v>0.9</v>
      </c>
      <c r="CA81" s="1801">
        <f>INDEX('Assumptions MH'!$Z$25:$Z$34,MATCH(CA5,'Assumptions MH'!$Y$25:$Y$34,))</f>
        <v>0.9</v>
      </c>
      <c r="CB81" s="1801">
        <f>INDEX('Assumptions MH'!$Z$25:$Z$34,MATCH(CB5,'Assumptions MH'!$Y$25:$Y$34,))</f>
        <v>0.9</v>
      </c>
      <c r="CC81" s="1801">
        <f>INDEX('Assumptions MH'!$Z$25:$Z$34,MATCH(CC5,'Assumptions MH'!$Y$25:$Y$34,))</f>
        <v>0.9</v>
      </c>
      <c r="CD81" s="1801">
        <f>INDEX('Assumptions MH'!$Z$25:$Z$34,MATCH(CD5,'Assumptions MH'!$Y$25:$Y$34,))</f>
        <v>0.9</v>
      </c>
      <c r="CE81" s="1801">
        <f>INDEX('Assumptions MH'!$Z$25:$Z$34,MATCH(CE5,'Assumptions MH'!$Y$25:$Y$34,))</f>
        <v>0.9</v>
      </c>
      <c r="CF81" s="1801">
        <f>INDEX('Assumptions MH'!$Z$25:$Z$34,MATCH(CF5,'Assumptions MH'!$Y$25:$Y$34,))</f>
        <v>0.9</v>
      </c>
      <c r="CG81" s="1801">
        <f>INDEX('Assumptions MH'!$Z$25:$Z$34,MATCH(CG5,'Assumptions MH'!$Y$25:$Y$34,))</f>
        <v>0.9</v>
      </c>
      <c r="CH81" s="1801">
        <f>INDEX('Assumptions MH'!$Z$25:$Z$34,MATCH(CH5,'Assumptions MH'!$Y$25:$Y$34,))</f>
        <v>0.9</v>
      </c>
      <c r="CI81" s="1801">
        <f>INDEX('Assumptions MH'!$Z$25:$Z$34,MATCH(CI5,'Assumptions MH'!$Y$25:$Y$34,))</f>
        <v>0.9</v>
      </c>
      <c r="CJ81" s="1801">
        <f>INDEX('Assumptions MH'!$Z$25:$Z$34,MATCH(CJ5,'Assumptions MH'!$Y$25:$Y$34,))</f>
        <v>0.9</v>
      </c>
      <c r="CK81" s="1801">
        <f>INDEX('Assumptions MH'!$Z$25:$Z$34,MATCH(CK5,'Assumptions MH'!$Y$25:$Y$34,))</f>
        <v>0.9</v>
      </c>
      <c r="CL81" s="1801">
        <f>INDEX('Assumptions MH'!$Z$25:$Z$34,MATCH(CL5,'Assumptions MH'!$Y$25:$Y$34,))</f>
        <v>0.9</v>
      </c>
      <c r="CM81" s="1801">
        <f>INDEX('Assumptions MH'!$Z$25:$Z$34,MATCH(CM5,'Assumptions MH'!$Y$25:$Y$34,))</f>
        <v>0.9</v>
      </c>
      <c r="CN81" s="1801">
        <f>INDEX('Assumptions MH'!$Z$25:$Z$34,MATCH(CN5,'Assumptions MH'!$Y$25:$Y$34,))</f>
        <v>0.9</v>
      </c>
      <c r="CO81" s="1801">
        <f>INDEX('Assumptions MH'!$Z$25:$Z$34,MATCH(CO5,'Assumptions MH'!$Y$25:$Y$34,))</f>
        <v>0.9</v>
      </c>
      <c r="CP81" s="1801">
        <f>INDEX('Assumptions MH'!$Z$25:$Z$34,MATCH(CP5,'Assumptions MH'!$Y$25:$Y$34,))</f>
        <v>0.9</v>
      </c>
      <c r="CQ81" s="1801">
        <f>INDEX('Assumptions MH'!$Z$25:$Z$34,MATCH(CQ5,'Assumptions MH'!$Y$25:$Y$34,))</f>
        <v>0.9</v>
      </c>
      <c r="CR81" s="1801">
        <f>INDEX('Assumptions MH'!$Z$25:$Z$34,MATCH(CR5,'Assumptions MH'!$Y$25:$Y$34,))</f>
        <v>0.9</v>
      </c>
      <c r="CS81" s="1801">
        <f>INDEX('Assumptions MH'!$Z$25:$Z$34,MATCH(CS5,'Assumptions MH'!$Y$25:$Y$34,))</f>
        <v>0.9</v>
      </c>
      <c r="CT81" s="1801">
        <f>INDEX('Assumptions MH'!$Z$25:$Z$34,MATCH(CT5,'Assumptions MH'!$Y$25:$Y$34,))</f>
        <v>0.9</v>
      </c>
      <c r="CU81" s="1801">
        <f>INDEX('Assumptions MH'!$Z$25:$Z$34,MATCH(CU5,'Assumptions MH'!$Y$25:$Y$34,))</f>
        <v>0.9</v>
      </c>
      <c r="CV81" s="1801">
        <f>INDEX('Assumptions MH'!$Z$25:$Z$34,MATCH(CV5,'Assumptions MH'!$Y$25:$Y$34,))</f>
        <v>0.9</v>
      </c>
      <c r="CW81" s="1801">
        <f>INDEX('Assumptions MH'!$Z$25:$Z$34,MATCH(CW5,'Assumptions MH'!$Y$25:$Y$34,))</f>
        <v>0.9</v>
      </c>
      <c r="CX81" s="1801">
        <f>INDEX('Assumptions MH'!$Z$25:$Z$34,MATCH(CX5,'Assumptions MH'!$Y$25:$Y$34,))</f>
        <v>0.9</v>
      </c>
      <c r="CY81" s="1801">
        <f>INDEX('Assumptions MH'!$Z$25:$Z$34,MATCH(CY5,'Assumptions MH'!$Y$25:$Y$34,))</f>
        <v>0.9</v>
      </c>
      <c r="CZ81" s="1801">
        <f>INDEX('Assumptions MH'!$Z$25:$Z$34,MATCH(CZ5,'Assumptions MH'!$Y$25:$Y$34,))</f>
        <v>0.9</v>
      </c>
      <c r="DA81" s="1801">
        <f>INDEX('Assumptions MH'!$Z$25:$Z$34,MATCH(DA5,'Assumptions MH'!$Y$25:$Y$34,))</f>
        <v>0.9</v>
      </c>
      <c r="DB81" s="1801">
        <f>INDEX('Assumptions MH'!$Z$25:$Z$34,MATCH(DB5,'Assumptions MH'!$Y$25:$Y$34,))</f>
        <v>0.9</v>
      </c>
      <c r="DC81" s="1801">
        <f>INDEX('Assumptions MH'!$Z$25:$Z$34,MATCH(DC5,'Assumptions MH'!$Y$25:$Y$34,))</f>
        <v>0.9</v>
      </c>
      <c r="DD81" s="1801">
        <f>INDEX('Assumptions MH'!$Z$25:$Z$34,MATCH(DD5,'Assumptions MH'!$Y$25:$Y$34,))</f>
        <v>0.9</v>
      </c>
      <c r="DE81" s="1801">
        <f>INDEX('Assumptions MH'!$Z$25:$Z$34,MATCH(DE5,'Assumptions MH'!$Y$25:$Y$34,))</f>
        <v>0.9</v>
      </c>
      <c r="DF81" s="1801">
        <f>INDEX('Assumptions MH'!$Z$25:$Z$34,MATCH(DF5,'Assumptions MH'!$Y$25:$Y$34,))</f>
        <v>0.9</v>
      </c>
      <c r="DG81" s="1801">
        <f>INDEX('Assumptions MH'!$Z$25:$Z$34,MATCH(DG5,'Assumptions MH'!$Y$25:$Y$34,))</f>
        <v>0.9</v>
      </c>
      <c r="DH81" s="1801">
        <f>INDEX('Assumptions MH'!$Z$25:$Z$34,MATCH(DH5,'Assumptions MH'!$Y$25:$Y$34,))</f>
        <v>0.9</v>
      </c>
      <c r="DI81" s="1801">
        <f>INDEX('Assumptions MH'!$Z$25:$Z$34,MATCH(DI5,'Assumptions MH'!$Y$25:$Y$34,))</f>
        <v>0.9</v>
      </c>
      <c r="DJ81" s="1801">
        <f>INDEX('Assumptions MH'!$Z$25:$Z$34,MATCH(DJ5,'Assumptions MH'!$Y$25:$Y$34,))</f>
        <v>0.9</v>
      </c>
      <c r="DK81" s="1801">
        <f>INDEX('Assumptions MH'!$Z$25:$Z$34,MATCH(DK5,'Assumptions MH'!$Y$25:$Y$34,))</f>
        <v>0.9</v>
      </c>
      <c r="DL81" s="1801">
        <f>INDEX('Assumptions MH'!$Z$25:$Z$34,MATCH(DL5,'Assumptions MH'!$Y$25:$Y$34,))</f>
        <v>0.9</v>
      </c>
      <c r="DM81" s="1801">
        <f>INDEX('Assumptions MH'!$Z$25:$Z$34,MATCH(DM5,'Assumptions MH'!$Y$25:$Y$34,))</f>
        <v>0.9</v>
      </c>
      <c r="DN81" s="1801">
        <f>INDEX('Assumptions MH'!$Z$25:$Z$34,MATCH(DN5,'Assumptions MH'!$Y$25:$Y$34,))</f>
        <v>0.9</v>
      </c>
      <c r="DO81" s="1801">
        <f>INDEX('Assumptions MH'!$Z$25:$Z$34,MATCH(DO5,'Assumptions MH'!$Y$25:$Y$34,))</f>
        <v>0.9</v>
      </c>
      <c r="DP81" s="1801">
        <f>INDEX('Assumptions MH'!$Z$25:$Z$34,MATCH(DP5,'Assumptions MH'!$Y$25:$Y$34,))</f>
        <v>0.9</v>
      </c>
      <c r="DQ81" s="1801">
        <f>INDEX('Assumptions MH'!$Z$25:$Z$34,MATCH(DQ5,'Assumptions MH'!$Y$25:$Y$34,))</f>
        <v>0.9</v>
      </c>
      <c r="DR81" s="1801">
        <f>INDEX('Assumptions MH'!$Z$25:$Z$34,MATCH(DR5,'Assumptions MH'!$Y$25:$Y$34,))</f>
        <v>0.9</v>
      </c>
      <c r="DS81" s="1801">
        <f>INDEX('Assumptions MH'!$Z$25:$Z$34,MATCH(DS5,'Assumptions MH'!$Y$25:$Y$34,))</f>
        <v>0.9</v>
      </c>
      <c r="DT81" s="1485" t="s">
        <v>65</v>
      </c>
    </row>
    <row r="82" spans="1:124">
      <c r="B82" s="1749" t="s">
        <v>1105</v>
      </c>
      <c r="D82" s="1852">
        <f ca="1">+MAX(0,D77)*D83</f>
        <v>0</v>
      </c>
      <c r="E82" s="1852">
        <f t="shared" ref="E82:BP82" ca="1" si="43">+MAX(0,E77)*E83</f>
        <v>0</v>
      </c>
      <c r="F82" s="1852">
        <f t="shared" ca="1" si="43"/>
        <v>0</v>
      </c>
      <c r="G82" s="1745">
        <f t="shared" ca="1" si="43"/>
        <v>1265.7112696777881</v>
      </c>
      <c r="H82" s="1745">
        <f t="shared" ca="1" si="43"/>
        <v>6241.556070405054</v>
      </c>
      <c r="I82" s="1745">
        <f t="shared" ca="1" si="43"/>
        <v>11175.930311802671</v>
      </c>
      <c r="J82" s="1745">
        <f t="shared" ca="1" si="43"/>
        <v>9284.521656261013</v>
      </c>
      <c r="K82" s="1745">
        <f t="shared" ca="1" si="43"/>
        <v>12781.436935574655</v>
      </c>
      <c r="L82" s="1745">
        <f t="shared" ca="1" si="43"/>
        <v>17611.911878091742</v>
      </c>
      <c r="M82" s="1745">
        <f t="shared" ca="1" si="43"/>
        <v>28187.382521504496</v>
      </c>
      <c r="N82" s="1745">
        <f t="shared" ca="1" si="43"/>
        <v>15517.250779408711</v>
      </c>
      <c r="O82" s="1745">
        <f t="shared" ca="1" si="43"/>
        <v>7790.5906736038523</v>
      </c>
      <c r="P82" s="1745">
        <f t="shared" ca="1" si="43"/>
        <v>6892.6278192592654</v>
      </c>
      <c r="Q82" s="1745">
        <f t="shared" ca="1" si="43"/>
        <v>15907.293742154427</v>
      </c>
      <c r="R82" s="1745">
        <f t="shared" ca="1" si="43"/>
        <v>32196.612557413446</v>
      </c>
      <c r="S82" s="1745">
        <f t="shared" ca="1" si="43"/>
        <v>33033.925112042059</v>
      </c>
      <c r="T82" s="1745">
        <f t="shared" ca="1" si="43"/>
        <v>35917.954553612639</v>
      </c>
      <c r="U82" s="1745">
        <f t="shared" ca="1" si="43"/>
        <v>38522.133806271435</v>
      </c>
      <c r="V82" s="1745">
        <f t="shared" ca="1" si="43"/>
        <v>29760.728285214867</v>
      </c>
      <c r="W82" s="1745">
        <f t="shared" ca="1" si="43"/>
        <v>29437.607644200201</v>
      </c>
      <c r="X82" s="1745">
        <f t="shared" ca="1" si="43"/>
        <v>33976.859850650704</v>
      </c>
      <c r="Y82" s="1745">
        <f t="shared" ca="1" si="43"/>
        <v>45413.012482581187</v>
      </c>
      <c r="Z82" s="1745">
        <f t="shared" ca="1" si="43"/>
        <v>28151.359600349158</v>
      </c>
      <c r="AA82" s="1745">
        <f t="shared" ca="1" si="43"/>
        <v>17566.378389033529</v>
      </c>
      <c r="AB82" s="1745">
        <f t="shared" ca="1" si="43"/>
        <v>15181.27600824605</v>
      </c>
      <c r="AC82" s="1745">
        <f t="shared" ca="1" si="43"/>
        <v>24289.603701835313</v>
      </c>
      <c r="AD82" s="1745">
        <f t="shared" ca="1" si="43"/>
        <v>40987.558687448334</v>
      </c>
      <c r="AE82" s="1745">
        <f t="shared" ca="1" si="43"/>
        <v>40322.349667486546</v>
      </c>
      <c r="AF82" s="1745">
        <f t="shared" ca="1" si="43"/>
        <v>41839.914365939665</v>
      </c>
      <c r="AG82" s="1745">
        <f t="shared" ca="1" si="43"/>
        <v>43004.736870129425</v>
      </c>
      <c r="AH82" s="1745">
        <f t="shared" ca="1" si="43"/>
        <v>33980.489183441117</v>
      </c>
      <c r="AI82" s="1745">
        <f t="shared" ca="1" si="43"/>
        <v>33647.674923196035</v>
      </c>
      <c r="AJ82" s="1745">
        <f t="shared" ca="1" si="43"/>
        <v>38323.10469584004</v>
      </c>
      <c r="AK82" s="1745">
        <f t="shared" ca="1" si="43"/>
        <v>50102.341906728441</v>
      </c>
      <c r="AL82" s="1745">
        <f t="shared" ca="1" si="43"/>
        <v>32322.839438029452</v>
      </c>
      <c r="AM82" s="1745">
        <f t="shared" ca="1" si="43"/>
        <v>21420.308790374325</v>
      </c>
      <c r="AN82" s="1745">
        <f t="shared" ca="1" si="43"/>
        <v>15636.714288493426</v>
      </c>
      <c r="AO82" s="1745">
        <f t="shared" ca="1" si="43"/>
        <v>26999.592930822651</v>
      </c>
      <c r="AP82" s="1745">
        <f t="shared" ca="1" si="43"/>
        <v>42217.185448071774</v>
      </c>
      <c r="AQ82" s="1745">
        <f t="shared" ca="1" si="43"/>
        <v>41532.020157511164</v>
      </c>
      <c r="AR82" s="1745">
        <f t="shared" ca="1" si="43"/>
        <v>43095.111796917852</v>
      </c>
      <c r="AS82" s="1745">
        <f t="shared" ca="1" si="43"/>
        <v>44294.878976233296</v>
      </c>
      <c r="AT82" s="1745">
        <f t="shared" ca="1" si="43"/>
        <v>34999.903858944373</v>
      </c>
      <c r="AU82" s="1745">
        <f t="shared" ca="1" si="43"/>
        <v>34657.105170891889</v>
      </c>
      <c r="AV82" s="1745">
        <f t="shared" ca="1" si="43"/>
        <v>39472.797836715217</v>
      </c>
      <c r="AW82" s="1745">
        <f t="shared" ca="1" si="43"/>
        <v>51605.41216393029</v>
      </c>
      <c r="AX82" s="1745">
        <f t="shared" ca="1" si="43"/>
        <v>33292.52462117032</v>
      </c>
      <c r="AY82" s="1745">
        <f t="shared" ca="1" si="43"/>
        <v>22062.918054085556</v>
      </c>
      <c r="AZ82" s="1745">
        <f t="shared" ca="1" si="43"/>
        <v>16105.815717148218</v>
      </c>
      <c r="BA82" s="1745">
        <f t="shared" ca="1" si="43"/>
        <v>25768.840567277086</v>
      </c>
      <c r="BB82" s="1745">
        <f t="shared" ca="1" si="43"/>
        <v>43483.701011513935</v>
      </c>
      <c r="BC82" s="1745">
        <f t="shared" ca="1" si="43"/>
        <v>42777.98076223649</v>
      </c>
      <c r="BD82" s="1745">
        <f t="shared" ca="1" si="43"/>
        <v>44387.965150825396</v>
      </c>
      <c r="BE82" s="1745">
        <f t="shared" ca="1" si="43"/>
        <v>45623.725345520295</v>
      </c>
      <c r="BF82" s="1745">
        <f t="shared" ca="1" si="43"/>
        <v>36049.900974712691</v>
      </c>
      <c r="BG82" s="1745">
        <f t="shared" ca="1" si="43"/>
        <v>35696.818326018656</v>
      </c>
      <c r="BH82" s="1745">
        <f t="shared" ca="1" si="43"/>
        <v>40656.981771816696</v>
      </c>
      <c r="BI82" s="1745">
        <f t="shared" ca="1" si="43"/>
        <v>53153.574528848185</v>
      </c>
      <c r="BJ82" s="1745">
        <f t="shared" ca="1" si="43"/>
        <v>34291.300359805442</v>
      </c>
      <c r="BK82" s="1745">
        <f t="shared" ca="1" si="43"/>
        <v>22724.805595708127</v>
      </c>
      <c r="BL82" s="1745">
        <f t="shared" ca="1" si="43"/>
        <v>16588.990188662687</v>
      </c>
      <c r="BM82" s="1745">
        <f t="shared" ca="1" si="43"/>
        <v>26541.905784295395</v>
      </c>
      <c r="BN82" s="1745">
        <f t="shared" ca="1" si="43"/>
        <v>44788.212041859355</v>
      </c>
      <c r="BO82" s="1745">
        <f t="shared" ca="1" si="43"/>
        <v>44061.320185103585</v>
      </c>
      <c r="BP82" s="1745">
        <f t="shared" ca="1" si="43"/>
        <v>45719.604105350154</v>
      </c>
      <c r="BQ82" s="1745">
        <f t="shared" ref="BQ82:DS82" ca="1" si="44">+MAX(0,BQ77)*BQ83</f>
        <v>46992.437105885903</v>
      </c>
      <c r="BR82" s="1745">
        <f t="shared" ca="1" si="44"/>
        <v>37131.398003954062</v>
      </c>
      <c r="BS82" s="1745">
        <f t="shared" ca="1" si="44"/>
        <v>36767.722875799212</v>
      </c>
      <c r="BT82" s="1745">
        <f t="shared" ca="1" si="44"/>
        <v>41876.691224971204</v>
      </c>
      <c r="BU82" s="1745">
        <f t="shared" ca="1" si="44"/>
        <v>54748.181764713641</v>
      </c>
      <c r="BV82" s="1745">
        <f t="shared" ca="1" si="44"/>
        <v>35320.03937059961</v>
      </c>
      <c r="BW82" s="1745">
        <f t="shared" ca="1" si="44"/>
        <v>23406.549763579369</v>
      </c>
      <c r="BX82" s="1745">
        <f t="shared" ca="1" si="44"/>
        <v>17086.65989432254</v>
      </c>
      <c r="BY82" s="1745">
        <f t="shared" ca="1" si="44"/>
        <v>27338.162957824261</v>
      </c>
      <c r="BZ82" s="1745">
        <f t="shared" ca="1" si="44"/>
        <v>46131.858403115148</v>
      </c>
      <c r="CA82" s="1745">
        <f t="shared" ca="1" si="44"/>
        <v>45383.159790656682</v>
      </c>
      <c r="CB82" s="1745">
        <f t="shared" ca="1" si="44"/>
        <v>47091.192228510641</v>
      </c>
      <c r="CC82" s="1745">
        <f t="shared" ca="1" si="44"/>
        <v>48402.210219062472</v>
      </c>
      <c r="CD82" s="1745">
        <f t="shared" ca="1" si="44"/>
        <v>38245.339944072701</v>
      </c>
      <c r="CE82" s="1745">
        <f t="shared" ca="1" si="44"/>
        <v>37870.754562073213</v>
      </c>
      <c r="CF82" s="1745">
        <f t="shared" ca="1" si="44"/>
        <v>43132.991961720341</v>
      </c>
      <c r="CG82" s="1745">
        <f t="shared" ca="1" si="44"/>
        <v>56390.627217655056</v>
      </c>
      <c r="CH82" s="1745">
        <f t="shared" ca="1" si="44"/>
        <v>36379.640551717595</v>
      </c>
      <c r="CI82" s="1745">
        <f t="shared" ca="1" si="44"/>
        <v>24108.746256486749</v>
      </c>
      <c r="CJ82" s="1745">
        <f t="shared" ca="1" si="44"/>
        <v>17599.259691152241</v>
      </c>
      <c r="CK82" s="1745">
        <f t="shared" ca="1" si="44"/>
        <v>30388.279710054612</v>
      </c>
      <c r="CL82" s="1745">
        <f t="shared" ca="1" si="44"/>
        <v>47515.814155208587</v>
      </c>
      <c r="CM82" s="1745">
        <f t="shared" ca="1" si="44"/>
        <v>46744.654584376352</v>
      </c>
      <c r="CN82" s="1745">
        <f t="shared" ca="1" si="44"/>
        <v>48503.927995365979</v>
      </c>
      <c r="CO82" s="1745">
        <f t="shared" ca="1" si="44"/>
        <v>49854.276525634341</v>
      </c>
      <c r="CP82" s="1745">
        <f t="shared" ca="1" si="44"/>
        <v>39392.700142394882</v>
      </c>
      <c r="CQ82" s="1745">
        <f t="shared" ca="1" si="44"/>
        <v>39006.87719893537</v>
      </c>
      <c r="CR82" s="1745">
        <f t="shared" ca="1" si="44"/>
        <v>44426.981720571945</v>
      </c>
      <c r="CS82" s="1745">
        <f t="shared" ca="1" si="44"/>
        <v>58082.346034184717</v>
      </c>
      <c r="CT82" s="1745">
        <f t="shared" ca="1" si="44"/>
        <v>37471.029768269138</v>
      </c>
      <c r="CU82" s="1745">
        <f t="shared" ca="1" si="44"/>
        <v>24832.008644181351</v>
      </c>
      <c r="CV82" s="1745">
        <f t="shared" ca="1" si="44"/>
        <v>18127.237481886797</v>
      </c>
      <c r="CW82" s="1745">
        <f t="shared" ca="1" si="44"/>
        <v>29003.057081955758</v>
      </c>
      <c r="CX82" s="1745">
        <f t="shared" ca="1" si="44"/>
        <v>48941.288579864828</v>
      </c>
      <c r="CY82" s="1745">
        <f t="shared" ca="1" si="44"/>
        <v>48146.994221907684</v>
      </c>
      <c r="CZ82" s="1745">
        <f t="shared" ca="1" si="44"/>
        <v>49959.045835226963</v>
      </c>
      <c r="DA82" s="1745">
        <f t="shared" ca="1" si="44"/>
        <v>51349.904821403397</v>
      </c>
      <c r="DB82" s="1745">
        <f t="shared" ca="1" si="44"/>
        <v>40574.481146666723</v>
      </c>
      <c r="DC82" s="1745">
        <f t="shared" ca="1" si="44"/>
        <v>40177.083514903439</v>
      </c>
      <c r="DD82" s="1745">
        <f t="shared" ca="1" si="44"/>
        <v>45759.791172189107</v>
      </c>
      <c r="DE82" s="1745">
        <f t="shared" ca="1" si="44"/>
        <v>59824.816415210233</v>
      </c>
      <c r="DF82" s="1745">
        <f t="shared" ca="1" si="44"/>
        <v>38595.16066131719</v>
      </c>
      <c r="DG82" s="1745">
        <f t="shared" ca="1" si="44"/>
        <v>25576.968903506782</v>
      </c>
      <c r="DH82" s="1745">
        <f t="shared" ca="1" si="44"/>
        <v>18671.054606343405</v>
      </c>
      <c r="DI82" s="1745">
        <f t="shared" ca="1" si="44"/>
        <v>29873.148794414436</v>
      </c>
      <c r="DJ82" s="1745">
        <f t="shared" ca="1" si="44"/>
        <v>50409.527237260765</v>
      </c>
      <c r="DK82" s="1745">
        <f t="shared" ca="1" si="44"/>
        <v>49591.404048564909</v>
      </c>
      <c r="DL82" s="1745">
        <f t="shared" ca="1" si="44"/>
        <v>51457.817210283778</v>
      </c>
      <c r="DM82" s="1745">
        <f t="shared" ca="1" si="44"/>
        <v>52890.40196604548</v>
      </c>
      <c r="DN82" s="1745">
        <f t="shared" ca="1" si="44"/>
        <v>41791.715581066717</v>
      </c>
      <c r="DO82" s="1745">
        <f t="shared" ca="1" si="44"/>
        <v>41382.396020350556</v>
      </c>
      <c r="DP82" s="1745">
        <f t="shared" ca="1" si="44"/>
        <v>47132.584907354772</v>
      </c>
      <c r="DQ82" s="1745">
        <f t="shared" ca="1" si="44"/>
        <v>61619.560907666557</v>
      </c>
      <c r="DR82" s="1745">
        <f t="shared" ca="1" si="44"/>
        <v>39753.015481156712</v>
      </c>
      <c r="DS82" s="1745">
        <f t="shared" ca="1" si="44"/>
        <v>26344.277970611998</v>
      </c>
      <c r="DT82" s="1485" t="s">
        <v>65</v>
      </c>
    </row>
    <row r="83" spans="1:124">
      <c r="B83" s="1746" t="s">
        <v>1104</v>
      </c>
      <c r="D83" s="1801">
        <f>1-D81</f>
        <v>9.9999999999999978E-2</v>
      </c>
      <c r="E83" s="1801">
        <f t="shared" ref="E83:BP83" si="45">1-E81</f>
        <v>9.9999999999999978E-2</v>
      </c>
      <c r="F83" s="1801">
        <f t="shared" si="45"/>
        <v>9.9999999999999978E-2</v>
      </c>
      <c r="G83" s="1801">
        <f t="shared" si="45"/>
        <v>9.9999999999999978E-2</v>
      </c>
      <c r="H83" s="1801">
        <f t="shared" si="45"/>
        <v>9.9999999999999978E-2</v>
      </c>
      <c r="I83" s="1801">
        <f t="shared" si="45"/>
        <v>9.9999999999999978E-2</v>
      </c>
      <c r="J83" s="1801">
        <f t="shared" si="45"/>
        <v>9.9999999999999978E-2</v>
      </c>
      <c r="K83" s="1801">
        <f t="shared" si="45"/>
        <v>9.9999999999999978E-2</v>
      </c>
      <c r="L83" s="1801">
        <f t="shared" si="45"/>
        <v>9.9999999999999978E-2</v>
      </c>
      <c r="M83" s="1801">
        <f t="shared" si="45"/>
        <v>9.9999999999999978E-2</v>
      </c>
      <c r="N83" s="1801">
        <f t="shared" si="45"/>
        <v>9.9999999999999978E-2</v>
      </c>
      <c r="O83" s="1801">
        <f t="shared" si="45"/>
        <v>9.9999999999999978E-2</v>
      </c>
      <c r="P83" s="1801">
        <f t="shared" si="45"/>
        <v>9.9999999999999978E-2</v>
      </c>
      <c r="Q83" s="1801">
        <f t="shared" si="45"/>
        <v>9.9999999999999978E-2</v>
      </c>
      <c r="R83" s="1801">
        <f t="shared" si="45"/>
        <v>9.9999999999999978E-2</v>
      </c>
      <c r="S83" s="1801">
        <f t="shared" si="45"/>
        <v>9.9999999999999978E-2</v>
      </c>
      <c r="T83" s="1801">
        <f t="shared" si="45"/>
        <v>9.9999999999999978E-2</v>
      </c>
      <c r="U83" s="1801">
        <f t="shared" si="45"/>
        <v>9.9999999999999978E-2</v>
      </c>
      <c r="V83" s="1801">
        <f t="shared" si="45"/>
        <v>9.9999999999999978E-2</v>
      </c>
      <c r="W83" s="1801">
        <f t="shared" si="45"/>
        <v>9.9999999999999978E-2</v>
      </c>
      <c r="X83" s="1801">
        <f t="shared" si="45"/>
        <v>9.9999999999999978E-2</v>
      </c>
      <c r="Y83" s="1801">
        <f t="shared" si="45"/>
        <v>9.9999999999999978E-2</v>
      </c>
      <c r="Z83" s="1801">
        <f t="shared" si="45"/>
        <v>9.9999999999999978E-2</v>
      </c>
      <c r="AA83" s="1801">
        <f t="shared" si="45"/>
        <v>9.9999999999999978E-2</v>
      </c>
      <c r="AB83" s="1801">
        <f t="shared" si="45"/>
        <v>9.9999999999999978E-2</v>
      </c>
      <c r="AC83" s="1801">
        <f t="shared" si="45"/>
        <v>9.9999999999999978E-2</v>
      </c>
      <c r="AD83" s="1801">
        <f t="shared" si="45"/>
        <v>9.9999999999999978E-2</v>
      </c>
      <c r="AE83" s="1801">
        <f t="shared" si="45"/>
        <v>9.9999999999999978E-2</v>
      </c>
      <c r="AF83" s="1801">
        <f t="shared" si="45"/>
        <v>9.9999999999999978E-2</v>
      </c>
      <c r="AG83" s="1801">
        <f t="shared" si="45"/>
        <v>9.9999999999999978E-2</v>
      </c>
      <c r="AH83" s="1801">
        <f t="shared" si="45"/>
        <v>9.9999999999999978E-2</v>
      </c>
      <c r="AI83" s="1801">
        <f t="shared" si="45"/>
        <v>9.9999999999999978E-2</v>
      </c>
      <c r="AJ83" s="1801">
        <f t="shared" si="45"/>
        <v>9.9999999999999978E-2</v>
      </c>
      <c r="AK83" s="1801">
        <f t="shared" si="45"/>
        <v>9.9999999999999978E-2</v>
      </c>
      <c r="AL83" s="1801">
        <f t="shared" si="45"/>
        <v>9.9999999999999978E-2</v>
      </c>
      <c r="AM83" s="1801">
        <f t="shared" si="45"/>
        <v>9.9999999999999978E-2</v>
      </c>
      <c r="AN83" s="1801">
        <f t="shared" si="45"/>
        <v>9.9999999999999978E-2</v>
      </c>
      <c r="AO83" s="1801">
        <f t="shared" si="45"/>
        <v>9.9999999999999978E-2</v>
      </c>
      <c r="AP83" s="1801">
        <f t="shared" si="45"/>
        <v>9.9999999999999978E-2</v>
      </c>
      <c r="AQ83" s="1801">
        <f t="shared" si="45"/>
        <v>9.9999999999999978E-2</v>
      </c>
      <c r="AR83" s="1801">
        <f t="shared" si="45"/>
        <v>9.9999999999999978E-2</v>
      </c>
      <c r="AS83" s="1801">
        <f t="shared" si="45"/>
        <v>9.9999999999999978E-2</v>
      </c>
      <c r="AT83" s="1801">
        <f t="shared" si="45"/>
        <v>9.9999999999999978E-2</v>
      </c>
      <c r="AU83" s="1801">
        <f t="shared" si="45"/>
        <v>9.9999999999999978E-2</v>
      </c>
      <c r="AV83" s="1801">
        <f t="shared" si="45"/>
        <v>9.9999999999999978E-2</v>
      </c>
      <c r="AW83" s="1801">
        <f t="shared" si="45"/>
        <v>9.9999999999999978E-2</v>
      </c>
      <c r="AX83" s="1801">
        <f t="shared" si="45"/>
        <v>9.9999999999999978E-2</v>
      </c>
      <c r="AY83" s="1801">
        <f t="shared" si="45"/>
        <v>9.9999999999999978E-2</v>
      </c>
      <c r="AZ83" s="1801">
        <f t="shared" si="45"/>
        <v>9.9999999999999978E-2</v>
      </c>
      <c r="BA83" s="1801">
        <f t="shared" si="45"/>
        <v>9.9999999999999978E-2</v>
      </c>
      <c r="BB83" s="1801">
        <f t="shared" si="45"/>
        <v>9.9999999999999978E-2</v>
      </c>
      <c r="BC83" s="1801">
        <f t="shared" si="45"/>
        <v>9.9999999999999978E-2</v>
      </c>
      <c r="BD83" s="1801">
        <f t="shared" si="45"/>
        <v>9.9999999999999978E-2</v>
      </c>
      <c r="BE83" s="1801">
        <f t="shared" si="45"/>
        <v>9.9999999999999978E-2</v>
      </c>
      <c r="BF83" s="1801">
        <f t="shared" si="45"/>
        <v>9.9999999999999978E-2</v>
      </c>
      <c r="BG83" s="1801">
        <f t="shared" si="45"/>
        <v>9.9999999999999978E-2</v>
      </c>
      <c r="BH83" s="1801">
        <f t="shared" si="45"/>
        <v>9.9999999999999978E-2</v>
      </c>
      <c r="BI83" s="1801">
        <f t="shared" si="45"/>
        <v>9.9999999999999978E-2</v>
      </c>
      <c r="BJ83" s="1801">
        <f t="shared" si="45"/>
        <v>9.9999999999999978E-2</v>
      </c>
      <c r="BK83" s="1801">
        <f t="shared" si="45"/>
        <v>9.9999999999999978E-2</v>
      </c>
      <c r="BL83" s="1801">
        <f t="shared" si="45"/>
        <v>9.9999999999999978E-2</v>
      </c>
      <c r="BM83" s="1801">
        <f t="shared" si="45"/>
        <v>9.9999999999999978E-2</v>
      </c>
      <c r="BN83" s="1801">
        <f t="shared" si="45"/>
        <v>9.9999999999999978E-2</v>
      </c>
      <c r="BO83" s="1801">
        <f t="shared" si="45"/>
        <v>9.9999999999999978E-2</v>
      </c>
      <c r="BP83" s="1801">
        <f t="shared" si="45"/>
        <v>9.9999999999999978E-2</v>
      </c>
      <c r="BQ83" s="1801">
        <f t="shared" ref="BQ83:DS83" si="46">1-BQ81</f>
        <v>9.9999999999999978E-2</v>
      </c>
      <c r="BR83" s="1801">
        <f t="shared" si="46"/>
        <v>9.9999999999999978E-2</v>
      </c>
      <c r="BS83" s="1801">
        <f t="shared" si="46"/>
        <v>9.9999999999999978E-2</v>
      </c>
      <c r="BT83" s="1801">
        <f t="shared" si="46"/>
        <v>9.9999999999999978E-2</v>
      </c>
      <c r="BU83" s="1801">
        <f t="shared" si="46"/>
        <v>9.9999999999999978E-2</v>
      </c>
      <c r="BV83" s="1801">
        <f t="shared" si="46"/>
        <v>9.9999999999999978E-2</v>
      </c>
      <c r="BW83" s="1801">
        <f t="shared" si="46"/>
        <v>9.9999999999999978E-2</v>
      </c>
      <c r="BX83" s="1801">
        <f t="shared" si="46"/>
        <v>9.9999999999999978E-2</v>
      </c>
      <c r="BY83" s="1801">
        <f t="shared" si="46"/>
        <v>9.9999999999999978E-2</v>
      </c>
      <c r="BZ83" s="1801">
        <f t="shared" si="46"/>
        <v>9.9999999999999978E-2</v>
      </c>
      <c r="CA83" s="1801">
        <f t="shared" si="46"/>
        <v>9.9999999999999978E-2</v>
      </c>
      <c r="CB83" s="1801">
        <f t="shared" si="46"/>
        <v>9.9999999999999978E-2</v>
      </c>
      <c r="CC83" s="1801">
        <f t="shared" si="46"/>
        <v>9.9999999999999978E-2</v>
      </c>
      <c r="CD83" s="1801">
        <f t="shared" si="46"/>
        <v>9.9999999999999978E-2</v>
      </c>
      <c r="CE83" s="1801">
        <f t="shared" si="46"/>
        <v>9.9999999999999978E-2</v>
      </c>
      <c r="CF83" s="1801">
        <f t="shared" si="46"/>
        <v>9.9999999999999978E-2</v>
      </c>
      <c r="CG83" s="1801">
        <f t="shared" si="46"/>
        <v>9.9999999999999978E-2</v>
      </c>
      <c r="CH83" s="1801">
        <f t="shared" si="46"/>
        <v>9.9999999999999978E-2</v>
      </c>
      <c r="CI83" s="1801">
        <f t="shared" si="46"/>
        <v>9.9999999999999978E-2</v>
      </c>
      <c r="CJ83" s="1801">
        <f t="shared" si="46"/>
        <v>9.9999999999999978E-2</v>
      </c>
      <c r="CK83" s="1801">
        <f t="shared" si="46"/>
        <v>9.9999999999999978E-2</v>
      </c>
      <c r="CL83" s="1801">
        <f t="shared" si="46"/>
        <v>9.9999999999999978E-2</v>
      </c>
      <c r="CM83" s="1801">
        <f t="shared" si="46"/>
        <v>9.9999999999999978E-2</v>
      </c>
      <c r="CN83" s="1801">
        <f t="shared" si="46"/>
        <v>9.9999999999999978E-2</v>
      </c>
      <c r="CO83" s="1801">
        <f t="shared" si="46"/>
        <v>9.9999999999999978E-2</v>
      </c>
      <c r="CP83" s="1801">
        <f t="shared" si="46"/>
        <v>9.9999999999999978E-2</v>
      </c>
      <c r="CQ83" s="1801">
        <f t="shared" si="46"/>
        <v>9.9999999999999978E-2</v>
      </c>
      <c r="CR83" s="1801">
        <f t="shared" si="46"/>
        <v>9.9999999999999978E-2</v>
      </c>
      <c r="CS83" s="1801">
        <f t="shared" si="46"/>
        <v>9.9999999999999978E-2</v>
      </c>
      <c r="CT83" s="1801">
        <f t="shared" si="46"/>
        <v>9.9999999999999978E-2</v>
      </c>
      <c r="CU83" s="1801">
        <f t="shared" si="46"/>
        <v>9.9999999999999978E-2</v>
      </c>
      <c r="CV83" s="1801">
        <f t="shared" si="46"/>
        <v>9.9999999999999978E-2</v>
      </c>
      <c r="CW83" s="1801">
        <f t="shared" si="46"/>
        <v>9.9999999999999978E-2</v>
      </c>
      <c r="CX83" s="1801">
        <f t="shared" si="46"/>
        <v>9.9999999999999978E-2</v>
      </c>
      <c r="CY83" s="1801">
        <f t="shared" si="46"/>
        <v>9.9999999999999978E-2</v>
      </c>
      <c r="CZ83" s="1801">
        <f t="shared" si="46"/>
        <v>9.9999999999999978E-2</v>
      </c>
      <c r="DA83" s="1801">
        <f t="shared" si="46"/>
        <v>9.9999999999999978E-2</v>
      </c>
      <c r="DB83" s="1801">
        <f t="shared" si="46"/>
        <v>9.9999999999999978E-2</v>
      </c>
      <c r="DC83" s="1801">
        <f t="shared" si="46"/>
        <v>9.9999999999999978E-2</v>
      </c>
      <c r="DD83" s="1801">
        <f t="shared" si="46"/>
        <v>9.9999999999999978E-2</v>
      </c>
      <c r="DE83" s="1801">
        <f t="shared" si="46"/>
        <v>9.9999999999999978E-2</v>
      </c>
      <c r="DF83" s="1801">
        <f t="shared" si="46"/>
        <v>9.9999999999999978E-2</v>
      </c>
      <c r="DG83" s="1801">
        <f t="shared" si="46"/>
        <v>9.9999999999999978E-2</v>
      </c>
      <c r="DH83" s="1801">
        <f t="shared" si="46"/>
        <v>9.9999999999999978E-2</v>
      </c>
      <c r="DI83" s="1801">
        <f t="shared" si="46"/>
        <v>9.9999999999999978E-2</v>
      </c>
      <c r="DJ83" s="1801">
        <f t="shared" si="46"/>
        <v>9.9999999999999978E-2</v>
      </c>
      <c r="DK83" s="1801">
        <f t="shared" si="46"/>
        <v>9.9999999999999978E-2</v>
      </c>
      <c r="DL83" s="1801">
        <f t="shared" si="46"/>
        <v>9.9999999999999978E-2</v>
      </c>
      <c r="DM83" s="1801">
        <f t="shared" si="46"/>
        <v>9.9999999999999978E-2</v>
      </c>
      <c r="DN83" s="1801">
        <f t="shared" si="46"/>
        <v>9.9999999999999978E-2</v>
      </c>
      <c r="DO83" s="1801">
        <f t="shared" si="46"/>
        <v>9.9999999999999978E-2</v>
      </c>
      <c r="DP83" s="1801">
        <f t="shared" si="46"/>
        <v>9.9999999999999978E-2</v>
      </c>
      <c r="DQ83" s="1801">
        <f t="shared" si="46"/>
        <v>9.9999999999999978E-2</v>
      </c>
      <c r="DR83" s="1801">
        <f t="shared" si="46"/>
        <v>9.9999999999999978E-2</v>
      </c>
      <c r="DS83" s="1801">
        <f t="shared" si="46"/>
        <v>9.9999999999999978E-2</v>
      </c>
      <c r="DT83" s="1485" t="s">
        <v>65</v>
      </c>
    </row>
    <row r="84" spans="1:124">
      <c r="B84" s="1724"/>
      <c r="D84" s="1801"/>
      <c r="E84" s="1801"/>
      <c r="F84" s="1801"/>
      <c r="G84" s="1851">
        <f ca="1">G77-G80-G82</f>
        <v>0</v>
      </c>
      <c r="H84" s="1851">
        <f t="shared" ref="H84:BS84" ca="1" si="47">H77-H80-H82</f>
        <v>0</v>
      </c>
      <c r="I84" s="1851">
        <f t="shared" ca="1" si="47"/>
        <v>0</v>
      </c>
      <c r="J84" s="1851">
        <f t="shared" ca="1" si="47"/>
        <v>0</v>
      </c>
      <c r="K84" s="1851">
        <f t="shared" ca="1" si="47"/>
        <v>0</v>
      </c>
      <c r="L84" s="1851">
        <f t="shared" ca="1" si="47"/>
        <v>0</v>
      </c>
      <c r="M84" s="1851">
        <f t="shared" ca="1" si="47"/>
        <v>0</v>
      </c>
      <c r="N84" s="1851">
        <f t="shared" ca="1" si="47"/>
        <v>0</v>
      </c>
      <c r="O84" s="1851">
        <f t="shared" ca="1" si="47"/>
        <v>-7.2759576141834259E-12</v>
      </c>
      <c r="P84" s="1851">
        <f t="shared" ca="1" si="47"/>
        <v>0</v>
      </c>
      <c r="Q84" s="1851">
        <f t="shared" ca="1" si="47"/>
        <v>0</v>
      </c>
      <c r="R84" s="1851">
        <f t="shared" ca="1" si="47"/>
        <v>0</v>
      </c>
      <c r="S84" s="1851">
        <f t="shared" ca="1" si="47"/>
        <v>0</v>
      </c>
      <c r="T84" s="1851">
        <f t="shared" ca="1" si="47"/>
        <v>0</v>
      </c>
      <c r="U84" s="1851">
        <f t="shared" ca="1" si="47"/>
        <v>0</v>
      </c>
      <c r="V84" s="1851">
        <f t="shared" ca="1" si="47"/>
        <v>0</v>
      </c>
      <c r="W84" s="1851">
        <f t="shared" ca="1" si="47"/>
        <v>0</v>
      </c>
      <c r="X84" s="1851">
        <f t="shared" ca="1" si="47"/>
        <v>0</v>
      </c>
      <c r="Y84" s="1851">
        <f t="shared" ca="1" si="47"/>
        <v>0</v>
      </c>
      <c r="Z84" s="1851">
        <f t="shared" ca="1" si="47"/>
        <v>0</v>
      </c>
      <c r="AA84" s="1851">
        <f t="shared" ca="1" si="47"/>
        <v>0</v>
      </c>
      <c r="AB84" s="1851">
        <f t="shared" ca="1" si="47"/>
        <v>0</v>
      </c>
      <c r="AC84" s="1851">
        <f t="shared" ca="1" si="47"/>
        <v>0</v>
      </c>
      <c r="AD84" s="1851">
        <f t="shared" ca="1" si="47"/>
        <v>0</v>
      </c>
      <c r="AE84" s="1851">
        <f t="shared" ca="1" si="47"/>
        <v>0</v>
      </c>
      <c r="AF84" s="1851">
        <f t="shared" ca="1" si="47"/>
        <v>0</v>
      </c>
      <c r="AG84" s="1851">
        <f t="shared" ca="1" si="47"/>
        <v>0</v>
      </c>
      <c r="AH84" s="1851">
        <f t="shared" ca="1" si="47"/>
        <v>0</v>
      </c>
      <c r="AI84" s="1851">
        <f t="shared" ca="1" si="47"/>
        <v>0</v>
      </c>
      <c r="AJ84" s="1851">
        <f t="shared" ca="1" si="47"/>
        <v>0</v>
      </c>
      <c r="AK84" s="1851">
        <f t="shared" ca="1" si="47"/>
        <v>0</v>
      </c>
      <c r="AL84" s="1851">
        <f t="shared" ca="1" si="47"/>
        <v>0</v>
      </c>
      <c r="AM84" s="1851">
        <f t="shared" ca="1" si="47"/>
        <v>0</v>
      </c>
      <c r="AN84" s="1851">
        <f t="shared" ca="1" si="47"/>
        <v>0</v>
      </c>
      <c r="AO84" s="1851">
        <f t="shared" ca="1" si="47"/>
        <v>0</v>
      </c>
      <c r="AP84" s="1851">
        <f t="shared" ca="1" si="47"/>
        <v>0</v>
      </c>
      <c r="AQ84" s="1851">
        <f t="shared" ca="1" si="47"/>
        <v>0</v>
      </c>
      <c r="AR84" s="1851">
        <f t="shared" ca="1" si="47"/>
        <v>0</v>
      </c>
      <c r="AS84" s="1851">
        <f t="shared" ca="1" si="47"/>
        <v>0</v>
      </c>
      <c r="AT84" s="1851">
        <f t="shared" ca="1" si="47"/>
        <v>0</v>
      </c>
      <c r="AU84" s="1851">
        <f t="shared" ca="1" si="47"/>
        <v>0</v>
      </c>
      <c r="AV84" s="1851">
        <f t="shared" ca="1" si="47"/>
        <v>0</v>
      </c>
      <c r="AW84" s="1851">
        <f t="shared" ca="1" si="47"/>
        <v>0</v>
      </c>
      <c r="AX84" s="1851">
        <f t="shared" ca="1" si="47"/>
        <v>0</v>
      </c>
      <c r="AY84" s="1851">
        <f t="shared" ca="1" si="47"/>
        <v>0</v>
      </c>
      <c r="AZ84" s="1851">
        <f t="shared" ca="1" si="47"/>
        <v>0</v>
      </c>
      <c r="BA84" s="1851">
        <f t="shared" ca="1" si="47"/>
        <v>0</v>
      </c>
      <c r="BB84" s="1851">
        <f t="shared" ca="1" si="47"/>
        <v>0</v>
      </c>
      <c r="BC84" s="1851">
        <f t="shared" ca="1" si="47"/>
        <v>0</v>
      </c>
      <c r="BD84" s="1851">
        <f t="shared" ca="1" si="47"/>
        <v>0</v>
      </c>
      <c r="BE84" s="1851">
        <f t="shared" ca="1" si="47"/>
        <v>0</v>
      </c>
      <c r="BF84" s="1851">
        <f t="shared" ca="1" si="47"/>
        <v>0</v>
      </c>
      <c r="BG84" s="1851">
        <f t="shared" ca="1" si="47"/>
        <v>0</v>
      </c>
      <c r="BH84" s="1851">
        <f t="shared" ca="1" si="47"/>
        <v>0</v>
      </c>
      <c r="BI84" s="1851">
        <f t="shared" ca="1" si="47"/>
        <v>0</v>
      </c>
      <c r="BJ84" s="1851">
        <f t="shared" ca="1" si="47"/>
        <v>0</v>
      </c>
      <c r="BK84" s="1851">
        <f t="shared" ca="1" si="47"/>
        <v>0</v>
      </c>
      <c r="BL84" s="1851">
        <f t="shared" ca="1" si="47"/>
        <v>0</v>
      </c>
      <c r="BM84" s="1851">
        <f t="shared" ca="1" si="47"/>
        <v>0</v>
      </c>
      <c r="BN84" s="1851">
        <f t="shared" ca="1" si="47"/>
        <v>0</v>
      </c>
      <c r="BO84" s="1851">
        <f t="shared" ca="1" si="47"/>
        <v>0</v>
      </c>
      <c r="BP84" s="1851">
        <f t="shared" ca="1" si="47"/>
        <v>0</v>
      </c>
      <c r="BQ84" s="1851">
        <f t="shared" ca="1" si="47"/>
        <v>0</v>
      </c>
      <c r="BR84" s="1851">
        <f t="shared" ca="1" si="47"/>
        <v>0</v>
      </c>
      <c r="BS84" s="1851">
        <f t="shared" ca="1" si="47"/>
        <v>0</v>
      </c>
      <c r="BT84" s="1851">
        <f t="shared" ref="BT84:DS84" ca="1" si="48">BT77-BT80-BT82</f>
        <v>0</v>
      </c>
      <c r="BU84" s="1851">
        <f t="shared" ca="1" si="48"/>
        <v>0</v>
      </c>
      <c r="BV84" s="1851">
        <f t="shared" ca="1" si="48"/>
        <v>0</v>
      </c>
      <c r="BW84" s="1851">
        <f t="shared" ca="1" si="48"/>
        <v>0</v>
      </c>
      <c r="BX84" s="1851">
        <f t="shared" ca="1" si="48"/>
        <v>0</v>
      </c>
      <c r="BY84" s="1851">
        <f t="shared" ca="1" si="48"/>
        <v>0</v>
      </c>
      <c r="BZ84" s="1851">
        <f t="shared" ca="1" si="48"/>
        <v>0</v>
      </c>
      <c r="CA84" s="1851">
        <f t="shared" ca="1" si="48"/>
        <v>0</v>
      </c>
      <c r="CB84" s="1851">
        <f t="shared" ca="1" si="48"/>
        <v>0</v>
      </c>
      <c r="CC84" s="1851">
        <f t="shared" ca="1" si="48"/>
        <v>0</v>
      </c>
      <c r="CD84" s="1851">
        <f t="shared" ca="1" si="48"/>
        <v>0</v>
      </c>
      <c r="CE84" s="1851">
        <f t="shared" ca="1" si="48"/>
        <v>0</v>
      </c>
      <c r="CF84" s="1851">
        <f t="shared" ca="1" si="48"/>
        <v>0</v>
      </c>
      <c r="CG84" s="1851">
        <f t="shared" ca="1" si="48"/>
        <v>0</v>
      </c>
      <c r="CH84" s="1851">
        <f t="shared" ca="1" si="48"/>
        <v>0</v>
      </c>
      <c r="CI84" s="1851">
        <f t="shared" ca="1" si="48"/>
        <v>0</v>
      </c>
      <c r="CJ84" s="1851">
        <f t="shared" ca="1" si="48"/>
        <v>0</v>
      </c>
      <c r="CK84" s="1851">
        <f t="shared" ca="1" si="48"/>
        <v>0</v>
      </c>
      <c r="CL84" s="1851">
        <f t="shared" ca="1" si="48"/>
        <v>0</v>
      </c>
      <c r="CM84" s="1851">
        <f t="shared" ca="1" si="48"/>
        <v>0</v>
      </c>
      <c r="CN84" s="1851">
        <f t="shared" ca="1" si="48"/>
        <v>0</v>
      </c>
      <c r="CO84" s="1851">
        <f t="shared" ca="1" si="48"/>
        <v>0</v>
      </c>
      <c r="CP84" s="1851">
        <f t="shared" ca="1" si="48"/>
        <v>0</v>
      </c>
      <c r="CQ84" s="1851">
        <f t="shared" ca="1" si="48"/>
        <v>0</v>
      </c>
      <c r="CR84" s="1851">
        <f t="shared" ca="1" si="48"/>
        <v>0</v>
      </c>
      <c r="CS84" s="1851">
        <f t="shared" ca="1" si="48"/>
        <v>0</v>
      </c>
      <c r="CT84" s="1851">
        <f t="shared" ca="1" si="48"/>
        <v>0</v>
      </c>
      <c r="CU84" s="1851">
        <f t="shared" ca="1" si="48"/>
        <v>0</v>
      </c>
      <c r="CV84" s="1851">
        <f t="shared" ca="1" si="48"/>
        <v>0</v>
      </c>
      <c r="CW84" s="1851">
        <f t="shared" ca="1" si="48"/>
        <v>0</v>
      </c>
      <c r="CX84" s="1851">
        <f t="shared" ca="1" si="48"/>
        <v>0</v>
      </c>
      <c r="CY84" s="1851">
        <f t="shared" ca="1" si="48"/>
        <v>0</v>
      </c>
      <c r="CZ84" s="1851">
        <f t="shared" ca="1" si="48"/>
        <v>0</v>
      </c>
      <c r="DA84" s="1851">
        <f t="shared" ca="1" si="48"/>
        <v>0</v>
      </c>
      <c r="DB84" s="1851">
        <f t="shared" ca="1" si="48"/>
        <v>0</v>
      </c>
      <c r="DC84" s="1851">
        <f t="shared" ca="1" si="48"/>
        <v>0</v>
      </c>
      <c r="DD84" s="1851">
        <f t="shared" ca="1" si="48"/>
        <v>0</v>
      </c>
      <c r="DE84" s="1851">
        <f t="shared" ca="1" si="48"/>
        <v>0</v>
      </c>
      <c r="DF84" s="1851">
        <f t="shared" ca="1" si="48"/>
        <v>0</v>
      </c>
      <c r="DG84" s="1851">
        <f t="shared" ca="1" si="48"/>
        <v>0</v>
      </c>
      <c r="DH84" s="1851">
        <f t="shared" ca="1" si="48"/>
        <v>0</v>
      </c>
      <c r="DI84" s="1851">
        <f t="shared" ca="1" si="48"/>
        <v>0</v>
      </c>
      <c r="DJ84" s="1851">
        <f t="shared" ca="1" si="48"/>
        <v>0</v>
      </c>
      <c r="DK84" s="1851">
        <f t="shared" ca="1" si="48"/>
        <v>0</v>
      </c>
      <c r="DL84" s="1851">
        <f t="shared" ca="1" si="48"/>
        <v>0</v>
      </c>
      <c r="DM84" s="1851">
        <f t="shared" ca="1" si="48"/>
        <v>0</v>
      </c>
      <c r="DN84" s="1851">
        <f t="shared" ca="1" si="48"/>
        <v>0</v>
      </c>
      <c r="DO84" s="1851">
        <f t="shared" ca="1" si="48"/>
        <v>0</v>
      </c>
      <c r="DP84" s="1851">
        <f t="shared" ca="1" si="48"/>
        <v>0</v>
      </c>
      <c r="DQ84" s="1851">
        <f t="shared" ca="1" si="48"/>
        <v>0</v>
      </c>
      <c r="DR84" s="1851">
        <f t="shared" ca="1" si="48"/>
        <v>0</v>
      </c>
      <c r="DS84" s="1851">
        <f t="shared" ca="1" si="48"/>
        <v>0</v>
      </c>
      <c r="DT84" s="1485" t="s">
        <v>65</v>
      </c>
    </row>
    <row r="85" spans="1:124">
      <c r="B85" s="1717" t="s">
        <v>1106</v>
      </c>
      <c r="D85" s="1851">
        <f ca="1">D74+D80</f>
        <v>188157.54828936674</v>
      </c>
      <c r="E85" s="1851">
        <f t="shared" ref="E85:BP85" ca="1" si="49">E74+E80</f>
        <v>188157.54828936674</v>
      </c>
      <c r="F85" s="1851">
        <f t="shared" ca="1" si="49"/>
        <v>188157.54828936674</v>
      </c>
      <c r="G85" s="1851">
        <f t="shared" ca="1" si="49"/>
        <v>199548.94971646683</v>
      </c>
      <c r="H85" s="1851">
        <f t="shared" ca="1" si="49"/>
        <v>244331.55292301223</v>
      </c>
      <c r="I85" s="1851">
        <f t="shared" ca="1" si="49"/>
        <v>288740.92109559081</v>
      </c>
      <c r="J85" s="1851">
        <f t="shared" ca="1" si="49"/>
        <v>271718.24319571588</v>
      </c>
      <c r="K85" s="1851">
        <f t="shared" ca="1" si="49"/>
        <v>303190.48070953868</v>
      </c>
      <c r="L85" s="1851">
        <f t="shared" ca="1" si="49"/>
        <v>346664.75519219245</v>
      </c>
      <c r="M85" s="1851">
        <f t="shared" ca="1" si="49"/>
        <v>441843.99098290724</v>
      </c>
      <c r="N85" s="1851">
        <f t="shared" ca="1" si="49"/>
        <v>327812.80530404521</v>
      </c>
      <c r="O85" s="1851">
        <f t="shared" ca="1" si="49"/>
        <v>258272.86435180143</v>
      </c>
      <c r="P85" s="1851">
        <f t="shared" ca="1" si="49"/>
        <v>223535.54598837317</v>
      </c>
      <c r="Q85" s="1851">
        <f t="shared" ca="1" si="49"/>
        <v>304667.53929442965</v>
      </c>
      <c r="R85" s="1851">
        <f t="shared" ca="1" si="49"/>
        <v>451271.40863176086</v>
      </c>
      <c r="S85" s="1851">
        <f t="shared" ca="1" si="49"/>
        <v>458807.22162341839</v>
      </c>
      <c r="T85" s="1851">
        <f t="shared" ca="1" si="49"/>
        <v>484763.48659755359</v>
      </c>
      <c r="U85" s="1851">
        <f t="shared" ca="1" si="49"/>
        <v>508201.09987148282</v>
      </c>
      <c r="V85" s="1851">
        <f t="shared" ca="1" si="49"/>
        <v>429348.45018197363</v>
      </c>
      <c r="W85" s="1851">
        <f t="shared" ca="1" si="49"/>
        <v>426440.36441284162</v>
      </c>
      <c r="X85" s="1851">
        <f t="shared" ca="1" si="49"/>
        <v>467293.6342708962</v>
      </c>
      <c r="Y85" s="1851">
        <f t="shared" ca="1" si="49"/>
        <v>570219.00795827049</v>
      </c>
      <c r="Z85" s="1851">
        <f t="shared" ca="1" si="49"/>
        <v>414864.13201818231</v>
      </c>
      <c r="AA85" s="1851">
        <f t="shared" ca="1" si="49"/>
        <v>319599.30111634161</v>
      </c>
      <c r="AB85" s="1851">
        <f t="shared" ca="1" si="49"/>
        <v>269709.04606100725</v>
      </c>
      <c r="AC85" s="1851">
        <f t="shared" ca="1" si="49"/>
        <v>351683.99530331063</v>
      </c>
      <c r="AD85" s="1851">
        <f t="shared" ca="1" si="49"/>
        <v>501965.59017382789</v>
      </c>
      <c r="AE85" s="1851">
        <f t="shared" ca="1" si="49"/>
        <v>495978.70899417176</v>
      </c>
      <c r="AF85" s="1851">
        <f t="shared" ca="1" si="49"/>
        <v>509636.79128024983</v>
      </c>
      <c r="AG85" s="1851">
        <f t="shared" ca="1" si="49"/>
        <v>520120.19381795771</v>
      </c>
      <c r="AH85" s="1851">
        <f t="shared" ca="1" si="49"/>
        <v>438901.96463776293</v>
      </c>
      <c r="AI85" s="1851">
        <f t="shared" ca="1" si="49"/>
        <v>435906.6362955572</v>
      </c>
      <c r="AJ85" s="1851">
        <f t="shared" ca="1" si="49"/>
        <v>477985.50424935319</v>
      </c>
      <c r="AK85" s="1851">
        <f t="shared" ca="1" si="49"/>
        <v>583998.63914734882</v>
      </c>
      <c r="AL85" s="1851">
        <f t="shared" ca="1" si="49"/>
        <v>423983.11692905793</v>
      </c>
      <c r="AM85" s="1851">
        <f t="shared" ca="1" si="49"/>
        <v>325860.34110016178</v>
      </c>
      <c r="AN85" s="1851">
        <f t="shared" ca="1" si="49"/>
        <v>277800.3174428374</v>
      </c>
      <c r="AO85" s="1851">
        <f t="shared" ca="1" si="49"/>
        <v>380066.22522380046</v>
      </c>
      <c r="AP85" s="1851">
        <f t="shared" ca="1" si="49"/>
        <v>517024.55787904258</v>
      </c>
      <c r="AQ85" s="1851">
        <f t="shared" ca="1" si="49"/>
        <v>510858.07026399707</v>
      </c>
      <c r="AR85" s="1851">
        <f t="shared" ca="1" si="49"/>
        <v>524925.89501865732</v>
      </c>
      <c r="AS85" s="1851">
        <f t="shared" ca="1" si="49"/>
        <v>535723.79963249632</v>
      </c>
      <c r="AT85" s="1851">
        <f t="shared" ca="1" si="49"/>
        <v>452069.02357689594</v>
      </c>
      <c r="AU85" s="1851">
        <f t="shared" ca="1" si="49"/>
        <v>448983.83538442361</v>
      </c>
      <c r="AV85" s="1851">
        <f t="shared" ca="1" si="49"/>
        <v>492325.06937683362</v>
      </c>
      <c r="AW85" s="1851">
        <f t="shared" ca="1" si="49"/>
        <v>601518.59832176927</v>
      </c>
      <c r="AX85" s="1851">
        <f t="shared" ca="1" si="49"/>
        <v>436702.61043692951</v>
      </c>
      <c r="AY85" s="1851">
        <f t="shared" ca="1" si="49"/>
        <v>335636.15133316664</v>
      </c>
      <c r="AZ85" s="1851">
        <f t="shared" ca="1" si="49"/>
        <v>286134.32696612249</v>
      </c>
      <c r="BA85" s="1851">
        <f t="shared" ca="1" si="49"/>
        <v>373101.55061728228</v>
      </c>
      <c r="BB85" s="1851">
        <f t="shared" ca="1" si="49"/>
        <v>532535.29461541399</v>
      </c>
      <c r="BC85" s="1851">
        <f t="shared" ca="1" si="49"/>
        <v>526183.81237191695</v>
      </c>
      <c r="BD85" s="1851">
        <f t="shared" ca="1" si="49"/>
        <v>540673.67186921719</v>
      </c>
      <c r="BE85" s="1851">
        <f t="shared" ca="1" si="49"/>
        <v>551795.51362147124</v>
      </c>
      <c r="BF85" s="1851">
        <f t="shared" ca="1" si="49"/>
        <v>465631.09428420279</v>
      </c>
      <c r="BG85" s="1851">
        <f t="shared" ca="1" si="49"/>
        <v>462453.35044595646</v>
      </c>
      <c r="BH85" s="1851">
        <f t="shared" ca="1" si="49"/>
        <v>507094.82145813882</v>
      </c>
      <c r="BI85" s="1851">
        <f t="shared" ca="1" si="49"/>
        <v>619564.15627142228</v>
      </c>
      <c r="BJ85" s="1851">
        <f t="shared" ca="1" si="49"/>
        <v>449803.68875003746</v>
      </c>
      <c r="BK85" s="1851">
        <f t="shared" ca="1" si="49"/>
        <v>345705.23587316164</v>
      </c>
      <c r="BL85" s="1851">
        <f t="shared" ca="1" si="49"/>
        <v>294718.35677510628</v>
      </c>
      <c r="BM85" s="1851">
        <f t="shared" ca="1" si="49"/>
        <v>384294.59713580069</v>
      </c>
      <c r="BN85" s="1851">
        <f t="shared" ca="1" si="49"/>
        <v>548511.35345387645</v>
      </c>
      <c r="BO85" s="1851">
        <f t="shared" ca="1" si="49"/>
        <v>541969.32674307446</v>
      </c>
      <c r="BP85" s="1851">
        <f t="shared" ca="1" si="49"/>
        <v>556893.88202529354</v>
      </c>
      <c r="BQ85" s="1851">
        <f t="shared" ref="BQ85:DS85" ca="1" si="50">BQ74+BQ80</f>
        <v>568349.37903011544</v>
      </c>
      <c r="BR85" s="1851">
        <f t="shared" ca="1" si="50"/>
        <v>479600.02711272874</v>
      </c>
      <c r="BS85" s="1851">
        <f t="shared" ca="1" si="50"/>
        <v>476326.95095933508</v>
      </c>
      <c r="BT85" s="1851">
        <f t="shared" ca="1" si="50"/>
        <v>522307.66610188305</v>
      </c>
      <c r="BU85" s="1851">
        <f t="shared" ca="1" si="50"/>
        <v>638151.08095956501</v>
      </c>
      <c r="BV85" s="1851">
        <f t="shared" ca="1" si="50"/>
        <v>463297.79941253865</v>
      </c>
      <c r="BW85" s="1851">
        <f t="shared" ca="1" si="50"/>
        <v>356076.39294935646</v>
      </c>
      <c r="BX85" s="1851">
        <f t="shared" ca="1" si="50"/>
        <v>303559.9074783593</v>
      </c>
      <c r="BY85" s="1851">
        <f t="shared" ca="1" si="50"/>
        <v>395823.43504987477</v>
      </c>
      <c r="BZ85" s="1851">
        <f t="shared" ca="1" si="50"/>
        <v>564966.69405749289</v>
      </c>
      <c r="CA85" s="1851">
        <f t="shared" ca="1" si="50"/>
        <v>558228.40654536663</v>
      </c>
      <c r="CB85" s="1851">
        <f t="shared" ca="1" si="50"/>
        <v>573600.69848605222</v>
      </c>
      <c r="CC85" s="1851">
        <f t="shared" ca="1" si="50"/>
        <v>585399.86040101876</v>
      </c>
      <c r="CD85" s="1851">
        <f t="shared" ca="1" si="50"/>
        <v>493988.02792611078</v>
      </c>
      <c r="CE85" s="1851">
        <f t="shared" ca="1" si="50"/>
        <v>490616.75948811544</v>
      </c>
      <c r="CF85" s="1851">
        <f t="shared" ca="1" si="50"/>
        <v>537976.8960849396</v>
      </c>
      <c r="CG85" s="1851">
        <f t="shared" ca="1" si="50"/>
        <v>657295.61338835198</v>
      </c>
      <c r="CH85" s="1851">
        <f t="shared" ca="1" si="50"/>
        <v>477196.73339491477</v>
      </c>
      <c r="CI85" s="1851">
        <f t="shared" ca="1" si="50"/>
        <v>366758.68473783717</v>
      </c>
      <c r="CJ85" s="1851">
        <f t="shared" ca="1" si="50"/>
        <v>312666.70470271027</v>
      </c>
      <c r="CK85" s="1851">
        <f t="shared" ca="1" si="50"/>
        <v>427767.88487283164</v>
      </c>
      <c r="CL85" s="1851">
        <f t="shared" ca="1" si="50"/>
        <v>581915.69487921754</v>
      </c>
      <c r="CM85" s="1851">
        <f t="shared" ca="1" si="50"/>
        <v>574975.25874172733</v>
      </c>
      <c r="CN85" s="1851">
        <f t="shared" ca="1" si="50"/>
        <v>590808.7194406339</v>
      </c>
      <c r="CO85" s="1851">
        <f t="shared" ca="1" si="50"/>
        <v>602961.85621304926</v>
      </c>
      <c r="CP85" s="1851">
        <f t="shared" ca="1" si="50"/>
        <v>508807.66876389412</v>
      </c>
      <c r="CQ85" s="1851">
        <f t="shared" ca="1" si="50"/>
        <v>505335.26227275853</v>
      </c>
      <c r="CR85" s="1851">
        <f t="shared" ca="1" si="50"/>
        <v>554116.20296748774</v>
      </c>
      <c r="CS85" s="1851">
        <f t="shared" ca="1" si="50"/>
        <v>677014.48179000267</v>
      </c>
      <c r="CT85" s="1851">
        <f t="shared" ca="1" si="50"/>
        <v>491512.6353967624</v>
      </c>
      <c r="CU85" s="1851">
        <f t="shared" ca="1" si="50"/>
        <v>377761.44527997228</v>
      </c>
      <c r="CV85" s="1851">
        <f t="shared" ca="1" si="50"/>
        <v>322046.70584379148</v>
      </c>
      <c r="CW85" s="1851">
        <f t="shared" ca="1" si="50"/>
        <v>419929.08224441216</v>
      </c>
      <c r="CX85" s="1851">
        <f t="shared" ca="1" si="50"/>
        <v>599373.1657255938</v>
      </c>
      <c r="CY85" s="1851">
        <f t="shared" ca="1" si="50"/>
        <v>592224.51650397945</v>
      </c>
      <c r="CZ85" s="1851">
        <f t="shared" ca="1" si="50"/>
        <v>608532.98102385306</v>
      </c>
      <c r="DA85" s="1851">
        <f t="shared" ca="1" si="50"/>
        <v>621050.71189944097</v>
      </c>
      <c r="DB85" s="1851">
        <f t="shared" ca="1" si="50"/>
        <v>524071.89882681088</v>
      </c>
      <c r="DC85" s="1851">
        <f t="shared" ca="1" si="50"/>
        <v>520495.3201409413</v>
      </c>
      <c r="DD85" s="1851">
        <f t="shared" ca="1" si="50"/>
        <v>570739.68905651232</v>
      </c>
      <c r="DE85" s="1851">
        <f t="shared" ca="1" si="50"/>
        <v>697324.91624370241</v>
      </c>
      <c r="DF85" s="1851">
        <f t="shared" ca="1" si="50"/>
        <v>506258.01445866504</v>
      </c>
      <c r="DG85" s="1851">
        <f t="shared" ca="1" si="50"/>
        <v>389094.28863837139</v>
      </c>
      <c r="DH85" s="1851">
        <f t="shared" ca="1" si="50"/>
        <v>331708.10701910523</v>
      </c>
      <c r="DI85" s="1851">
        <f t="shared" ca="1" si="50"/>
        <v>432526.95471174456</v>
      </c>
      <c r="DJ85" s="1851">
        <f t="shared" ca="1" si="50"/>
        <v>617354.36069736164</v>
      </c>
      <c r="DK85" s="1851">
        <f t="shared" ca="1" si="50"/>
        <v>609991.25199909881</v>
      </c>
      <c r="DL85" s="1851">
        <f t="shared" ca="1" si="50"/>
        <v>626788.97045456874</v>
      </c>
      <c r="DM85" s="1851">
        <f t="shared" ca="1" si="50"/>
        <v>639682.23325642408</v>
      </c>
      <c r="DN85" s="1851">
        <f t="shared" ca="1" si="50"/>
        <v>539794.05579161504</v>
      </c>
      <c r="DO85" s="1851">
        <f t="shared" ca="1" si="50"/>
        <v>536110.17974516959</v>
      </c>
      <c r="DP85" s="1851">
        <f t="shared" ca="1" si="50"/>
        <v>587861.8797282076</v>
      </c>
      <c r="DQ85" s="1851">
        <f t="shared" ca="1" si="50"/>
        <v>718244.66373101366</v>
      </c>
      <c r="DR85" s="1851">
        <f t="shared" ca="1" si="50"/>
        <v>521445.75489242509</v>
      </c>
      <c r="DS85" s="1851">
        <f t="shared" ca="1" si="50"/>
        <v>400767.11729752261</v>
      </c>
      <c r="DT85" s="1485" t="s">
        <v>65</v>
      </c>
    </row>
    <row r="86" spans="1:124">
      <c r="B86" s="1746" t="s">
        <v>1099</v>
      </c>
      <c r="D86" s="1801"/>
      <c r="E86" s="1801"/>
      <c r="F86" s="1801"/>
      <c r="G86" s="1801"/>
      <c r="H86" s="1801"/>
      <c r="I86" s="1801"/>
      <c r="J86" s="1801"/>
      <c r="K86" s="1801"/>
      <c r="L86" s="1801"/>
      <c r="M86" s="1801"/>
      <c r="N86" s="1801"/>
      <c r="O86" s="1801"/>
      <c r="P86" s="1801"/>
      <c r="Q86" s="1801"/>
      <c r="R86" s="1801"/>
      <c r="S86" s="1801"/>
      <c r="T86" s="1801"/>
      <c r="U86" s="1801"/>
      <c r="V86" s="1801"/>
      <c r="W86" s="1801"/>
      <c r="X86" s="1801"/>
      <c r="Y86" s="1801"/>
      <c r="Z86" s="1801"/>
      <c r="AA86" s="1801"/>
      <c r="AB86" s="1801"/>
      <c r="AC86" s="1801"/>
      <c r="AD86" s="1801"/>
      <c r="AE86" s="1801"/>
      <c r="AF86" s="1801"/>
      <c r="AG86" s="1801"/>
      <c r="AH86" s="1801"/>
      <c r="AI86" s="1801"/>
      <c r="AJ86" s="1801"/>
      <c r="AK86" s="1801"/>
      <c r="AL86" s="1801"/>
      <c r="AM86" s="1801"/>
      <c r="AN86" s="1801"/>
      <c r="AO86" s="1801"/>
      <c r="AP86" s="1801"/>
      <c r="AQ86" s="1801"/>
      <c r="AR86" s="1801"/>
      <c r="AS86" s="1801"/>
      <c r="AT86" s="1801"/>
      <c r="AU86" s="1801"/>
      <c r="AV86" s="1801"/>
      <c r="AW86" s="1801"/>
      <c r="AX86" s="1801"/>
      <c r="AY86" s="1801"/>
      <c r="AZ86" s="1801"/>
      <c r="BA86" s="1801"/>
      <c r="BB86" s="1801"/>
      <c r="BC86" s="1801"/>
      <c r="BD86" s="1801"/>
      <c r="BE86" s="1801"/>
      <c r="BF86" s="1801"/>
      <c r="BG86" s="1801"/>
      <c r="BH86" s="1801"/>
      <c r="BI86" s="1801"/>
      <c r="BJ86" s="1801"/>
      <c r="BK86" s="1801"/>
      <c r="BL86" s="1801"/>
      <c r="BM86" s="1801"/>
      <c r="BN86" s="1801"/>
      <c r="BO86" s="1801"/>
      <c r="BP86" s="1801"/>
      <c r="BQ86" s="1801"/>
      <c r="BR86" s="1801"/>
      <c r="BS86" s="1801"/>
      <c r="BT86" s="1801"/>
      <c r="BU86" s="1801"/>
      <c r="BV86" s="1801"/>
      <c r="BW86" s="1801"/>
      <c r="BX86" s="1801"/>
      <c r="BY86" s="1801"/>
      <c r="BZ86" s="1801"/>
      <c r="CA86" s="1801"/>
      <c r="CB86" s="1801"/>
      <c r="CC86" s="1801"/>
      <c r="CD86" s="1801"/>
      <c r="CE86" s="1801"/>
      <c r="CF86" s="1801"/>
      <c r="CG86" s="1801"/>
      <c r="CH86" s="1801"/>
      <c r="CI86" s="1801"/>
      <c r="CJ86" s="1801"/>
      <c r="CK86" s="1801"/>
      <c r="CL86" s="1801"/>
      <c r="CM86" s="1801"/>
      <c r="CN86" s="1801"/>
      <c r="CO86" s="1801"/>
      <c r="CP86" s="1801"/>
      <c r="CQ86" s="1801"/>
      <c r="CR86" s="1801"/>
      <c r="CS86" s="1801"/>
      <c r="CT86" s="1801"/>
      <c r="CU86" s="1801"/>
      <c r="CV86" s="1801"/>
      <c r="CW86" s="1801"/>
      <c r="CX86" s="1801"/>
      <c r="CY86" s="1801"/>
      <c r="CZ86" s="1801"/>
      <c r="DA86" s="1801"/>
      <c r="DB86" s="1801"/>
      <c r="DC86" s="1801"/>
      <c r="DD86" s="1801"/>
      <c r="DE86" s="1801"/>
      <c r="DF86" s="1801"/>
      <c r="DG86" s="1801"/>
      <c r="DH86" s="1801"/>
      <c r="DI86" s="1801"/>
      <c r="DJ86" s="1801"/>
      <c r="DK86" s="1801"/>
      <c r="DL86" s="1801"/>
      <c r="DM86" s="1801"/>
      <c r="DN86" s="1801"/>
      <c r="DO86" s="1801"/>
      <c r="DP86" s="1801"/>
      <c r="DQ86" s="1801"/>
      <c r="DR86" s="1801"/>
      <c r="DS86" s="1801"/>
      <c r="DT86" s="1485" t="s">
        <v>65</v>
      </c>
    </row>
    <row r="87" spans="1:124">
      <c r="B87" s="1724"/>
      <c r="D87" s="1801"/>
      <c r="E87" s="1801"/>
      <c r="F87" s="1801"/>
      <c r="G87" s="1801"/>
      <c r="H87" s="1801"/>
      <c r="I87" s="1801"/>
      <c r="J87" s="1801"/>
      <c r="K87" s="1801"/>
      <c r="L87" s="1801"/>
      <c r="M87" s="1801"/>
      <c r="N87" s="1801"/>
      <c r="O87" s="1801"/>
      <c r="P87" s="1801"/>
      <c r="Q87" s="1801"/>
      <c r="R87" s="1801"/>
      <c r="S87" s="1801"/>
      <c r="T87" s="1801"/>
      <c r="U87" s="1801"/>
      <c r="V87" s="1801"/>
      <c r="W87" s="1801"/>
      <c r="X87" s="1801"/>
      <c r="Y87" s="1801"/>
      <c r="Z87" s="1801"/>
      <c r="AA87" s="1801"/>
      <c r="AB87" s="1801"/>
      <c r="AC87" s="1801"/>
      <c r="AD87" s="1801"/>
      <c r="AE87" s="1801"/>
      <c r="AF87" s="1801"/>
      <c r="AG87" s="1801"/>
      <c r="AH87" s="1801"/>
      <c r="AI87" s="1801"/>
      <c r="AJ87" s="1801"/>
      <c r="AK87" s="1801"/>
      <c r="AL87" s="1801"/>
      <c r="AM87" s="1801"/>
      <c r="AN87" s="1801"/>
      <c r="AO87" s="1801"/>
      <c r="AP87" s="1801"/>
      <c r="AQ87" s="1801"/>
      <c r="AR87" s="1801"/>
      <c r="AS87" s="1801"/>
      <c r="AT87" s="1801"/>
      <c r="AU87" s="1801"/>
      <c r="AV87" s="1801"/>
      <c r="AW87" s="1801"/>
      <c r="AX87" s="1801"/>
      <c r="AY87" s="1801"/>
      <c r="AZ87" s="1801"/>
      <c r="BA87" s="1801"/>
      <c r="BB87" s="1801"/>
      <c r="BC87" s="1801"/>
      <c r="BD87" s="1801"/>
      <c r="BE87" s="1801"/>
      <c r="BF87" s="1801"/>
      <c r="BG87" s="1801"/>
      <c r="BH87" s="1801"/>
      <c r="BI87" s="1801"/>
      <c r="BJ87" s="1801"/>
      <c r="BK87" s="1801"/>
      <c r="BL87" s="1801"/>
      <c r="BM87" s="1801"/>
      <c r="BN87" s="1801"/>
      <c r="BO87" s="1801"/>
      <c r="BP87" s="1801"/>
      <c r="BQ87" s="1801"/>
      <c r="BR87" s="1801"/>
      <c r="BS87" s="1801"/>
      <c r="BT87" s="1801"/>
      <c r="BU87" s="1801"/>
      <c r="BV87" s="1801"/>
      <c r="BW87" s="1801"/>
      <c r="BX87" s="1801"/>
      <c r="BY87" s="1801"/>
      <c r="BZ87" s="1801"/>
      <c r="CA87" s="1801"/>
      <c r="CB87" s="1801"/>
      <c r="CC87" s="1801"/>
      <c r="CD87" s="1801"/>
      <c r="CE87" s="1801"/>
      <c r="CF87" s="1801"/>
      <c r="CG87" s="1801"/>
      <c r="CH87" s="1801"/>
      <c r="CI87" s="1801"/>
      <c r="CJ87" s="1801"/>
      <c r="CK87" s="1801"/>
      <c r="CL87" s="1801"/>
      <c r="CM87" s="1801"/>
      <c r="CN87" s="1801"/>
      <c r="CO87" s="1801"/>
      <c r="CP87" s="1801"/>
      <c r="CQ87" s="1801"/>
      <c r="CR87" s="1801"/>
      <c r="CS87" s="1801"/>
      <c r="CT87" s="1801"/>
      <c r="CU87" s="1801"/>
      <c r="CV87" s="1801"/>
      <c r="CW87" s="1801"/>
      <c r="CX87" s="1801"/>
      <c r="CY87" s="1801"/>
      <c r="CZ87" s="1801"/>
      <c r="DA87" s="1801"/>
      <c r="DB87" s="1801"/>
      <c r="DC87" s="1801"/>
      <c r="DD87" s="1801"/>
      <c r="DE87" s="1801"/>
      <c r="DF87" s="1801"/>
      <c r="DG87" s="1801"/>
      <c r="DH87" s="1801"/>
      <c r="DI87" s="1801"/>
      <c r="DJ87" s="1801"/>
      <c r="DK87" s="1801"/>
      <c r="DL87" s="1801"/>
      <c r="DM87" s="1801"/>
      <c r="DN87" s="1801"/>
      <c r="DO87" s="1801"/>
      <c r="DP87" s="1801"/>
      <c r="DQ87" s="1801"/>
      <c r="DR87" s="1801"/>
      <c r="DS87" s="1801"/>
      <c r="DT87" s="1485" t="s">
        <v>65</v>
      </c>
    </row>
    <row r="88" spans="1:124">
      <c r="B88" s="1749" t="s">
        <v>1042</v>
      </c>
      <c r="D88" s="1664">
        <f>'Cash Flow MH'!D$38*D89</f>
        <v>0</v>
      </c>
      <c r="E88" s="1664">
        <f>'Cash Flow MH'!E$38*E89</f>
        <v>0</v>
      </c>
      <c r="F88" s="1664">
        <f>'Cash Flow MH'!F$38*F89</f>
        <v>0</v>
      </c>
      <c r="G88" s="1664">
        <f>'Cash Flow MH'!G$38*G89</f>
        <v>0</v>
      </c>
      <c r="H88" s="1664">
        <f>'Cash Flow MH'!H$38*H89</f>
        <v>0</v>
      </c>
      <c r="I88" s="1664">
        <f>'Cash Flow MH'!I$38*I89</f>
        <v>0</v>
      </c>
      <c r="J88" s="1664">
        <f>'Cash Flow MH'!J$38*J89</f>
        <v>0</v>
      </c>
      <c r="K88" s="1664">
        <f>'Cash Flow MH'!K$38*K89</f>
        <v>0</v>
      </c>
      <c r="L88" s="1664">
        <f>'Cash Flow MH'!L$38*L89</f>
        <v>0</v>
      </c>
      <c r="M88" s="1664">
        <f>'Cash Flow MH'!M$38*M89</f>
        <v>0</v>
      </c>
      <c r="N88" s="1664">
        <f>'Cash Flow MH'!N$38*N89</f>
        <v>0</v>
      </c>
      <c r="O88" s="1664">
        <f>'Cash Flow MH'!O$38*O89</f>
        <v>0</v>
      </c>
      <c r="P88" s="1664">
        <f>'Cash Flow MH'!P$38*P89</f>
        <v>5145.4990301295338</v>
      </c>
      <c r="Q88" s="1664">
        <f>'Cash Flow MH'!Q$38*Q89</f>
        <v>6293.0557124034331</v>
      </c>
      <c r="R88" s="1664">
        <f>'Cash Flow MH'!R$38*R89</f>
        <v>8398.6993093936417</v>
      </c>
      <c r="S88" s="1664">
        <f>'Cash Flow MH'!S$38*S89</f>
        <v>8496.8839041163756</v>
      </c>
      <c r="T88" s="1664">
        <f>'Cash Flow MH'!T$38*T89</f>
        <v>8878.2807978379242</v>
      </c>
      <c r="U88" s="1664">
        <f>'Cash Flow MH'!U$38*U89</f>
        <v>9182.7126292289686</v>
      </c>
      <c r="V88" s="1664">
        <f>'Cash Flow MH'!V$38*V89</f>
        <v>8119.0217215763396</v>
      </c>
      <c r="W88" s="1664">
        <f>'Cash Flow MH'!W$38*W89</f>
        <v>8070.7125149004687</v>
      </c>
      <c r="X88" s="1664">
        <f>'Cash Flow MH'!X$38*X89</f>
        <v>8624.4745045246618</v>
      </c>
      <c r="Y88" s="1664">
        <f>'Cash Flow MH'!Y$38*Y89</f>
        <v>10064.068894016818</v>
      </c>
      <c r="Z88" s="1664">
        <f>'Cash Flow MH'!Z$38*Z89</f>
        <v>7876.4410640980514</v>
      </c>
      <c r="AA88" s="1664">
        <f>'Cash Flow MH'!AA$38*AA89</f>
        <v>6527.3521704063069</v>
      </c>
      <c r="AB88" s="1664">
        <f>'Cash Flow MH'!AB$38*AB89</f>
        <v>11859.835526788074</v>
      </c>
      <c r="AC88" s="1664">
        <f>'Cash Flow MH'!AC$38*AC89</f>
        <v>14167.972423553085</v>
      </c>
      <c r="AD88" s="1664">
        <f>'Cash Flow MH'!AD$38*AD89</f>
        <v>18479.381124006304</v>
      </c>
      <c r="AE88" s="1664">
        <f>'Cash Flow MH'!AE$38*AE89</f>
        <v>18280.502185357433</v>
      </c>
      <c r="AF88" s="1664">
        <f>'Cash Flow MH'!AF$38*AF89</f>
        <v>18686.343237339595</v>
      </c>
      <c r="AG88" s="1664">
        <f>'Cash Flow MH'!AG$38*AG89</f>
        <v>18916.38801621168</v>
      </c>
      <c r="AH88" s="1664">
        <f>'Cash Flow MH'!AH$38*AH89</f>
        <v>16725.184746447256</v>
      </c>
      <c r="AI88" s="1664">
        <f>'Cash Flow MH'!AI$38*AI89</f>
        <v>16625.66778069497</v>
      </c>
      <c r="AJ88" s="1664">
        <f>'Cash Flow MH'!AJ$38*AJ89</f>
        <v>17766.417479320804</v>
      </c>
      <c r="AK88" s="1664">
        <f>'Cash Flow MH'!AK$38*AK89</f>
        <v>20731.981921674647</v>
      </c>
      <c r="AL88" s="1664">
        <f>'Cash Flow MH'!AL$38*AL89</f>
        <v>16225.468592041985</v>
      </c>
      <c r="AM88" s="1664">
        <f>'Cash Flow MH'!AM$38*AM89</f>
        <v>13446.345471036986</v>
      </c>
      <c r="AN88" s="1664">
        <f>'Cash Flow MH'!AN$38*AN89</f>
        <v>18323.445888887574</v>
      </c>
      <c r="AO88" s="1664">
        <f>'Cash Flow MH'!AO$38*AO89</f>
        <v>22671.285872760567</v>
      </c>
      <c r="AP88" s="1664">
        <f>'Cash Flow MH'!AP$38*AP89</f>
        <v>28550.643836589737</v>
      </c>
      <c r="AQ88" s="1664">
        <f>'Cash Flow MH'!AQ$38*AQ89</f>
        <v>28243.375876377228</v>
      </c>
      <c r="AR88" s="1664">
        <f>'Cash Flow MH'!AR$38*AR89</f>
        <v>28870.400301689668</v>
      </c>
      <c r="AS88" s="1664">
        <f>'Cash Flow MH'!AS$38*AS89</f>
        <v>29225.819485047043</v>
      </c>
      <c r="AT88" s="1664">
        <f>'Cash Flow MH'!AT$38*AT89</f>
        <v>25840.410433261015</v>
      </c>
      <c r="AU88" s="1664">
        <f>'Cash Flow MH'!AU$38*AU89</f>
        <v>25686.65672117372</v>
      </c>
      <c r="AV88" s="1664">
        <f>'Cash Flow MH'!AV$38*AV89</f>
        <v>27449.115005550633</v>
      </c>
      <c r="AW88" s="1664">
        <f>'Cash Flow MH'!AW$38*AW89</f>
        <v>32030.912068987323</v>
      </c>
      <c r="AX88" s="1664">
        <f>'Cash Flow MH'!AX$38*AX89</f>
        <v>25068.348974704862</v>
      </c>
      <c r="AY88" s="1664">
        <f>'Cash Flow MH'!AY$38*AY89</f>
        <v>20774.603752752144</v>
      </c>
      <c r="AZ88" s="1664">
        <f>'Cash Flow MH'!AZ$38*AZ89</f>
        <v>25164.199020738932</v>
      </c>
      <c r="BA88" s="1664">
        <f>'Cash Flow MH'!BA$38*BA89</f>
        <v>30061.603888294936</v>
      </c>
      <c r="BB88" s="1664">
        <f>'Cash Flow MH'!BB$38*BB89</f>
        <v>39209.55086891658</v>
      </c>
      <c r="BC88" s="1664">
        <f>'Cash Flow MH'!BC$38*BC89</f>
        <v>38787.569536891402</v>
      </c>
      <c r="BD88" s="1664">
        <f>'Cash Flow MH'!BD$38*BD89</f>
        <v>39648.683080987146</v>
      </c>
      <c r="BE88" s="1664">
        <f>'Cash Flow MH'!BE$38*BE89</f>
        <v>40136.792092797936</v>
      </c>
      <c r="BF88" s="1664">
        <f>'Cash Flow MH'!BF$38*BF89</f>
        <v>35487.496995011796</v>
      </c>
      <c r="BG88" s="1664">
        <f>'Cash Flow MH'!BG$38*BG89</f>
        <v>35276.341897078579</v>
      </c>
      <c r="BH88" s="1664">
        <f>'Cash Flow MH'!BH$38*BH89</f>
        <v>37696.784607622874</v>
      </c>
      <c r="BI88" s="1664">
        <f>'Cash Flow MH'!BI$38*BI89</f>
        <v>43989.119241409258</v>
      </c>
      <c r="BJ88" s="1664">
        <f>'Cash Flow MH'!BJ$38*BJ89</f>
        <v>34427.199258594679</v>
      </c>
      <c r="BK88" s="1664">
        <f>'Cash Flow MH'!BK$38*BK89</f>
        <v>28530.455820446281</v>
      </c>
      <c r="BL88" s="1664">
        <f>'Cash Flow MH'!BL$38*BL89</f>
        <v>32398.90623920138</v>
      </c>
      <c r="BM88" s="1664">
        <f>'Cash Flow MH'!BM$38*BM89</f>
        <v>38704.315006179728</v>
      </c>
      <c r="BN88" s="1664">
        <f>'Cash Flow MH'!BN$38*BN89</f>
        <v>50482.29674373009</v>
      </c>
      <c r="BO88" s="1664">
        <f>'Cash Flow MH'!BO$38*BO89</f>
        <v>49938.995778747674</v>
      </c>
      <c r="BP88" s="1664">
        <f>'Cash Flow MH'!BP$38*BP89</f>
        <v>51047.679466770947</v>
      </c>
      <c r="BQ88" s="1664">
        <f>'Cash Flow MH'!BQ$38*BQ89</f>
        <v>51676.119819477346</v>
      </c>
      <c r="BR88" s="1664">
        <f>'Cash Flow MH'!BR$38*BR89</f>
        <v>45690.152381077678</v>
      </c>
      <c r="BS88" s="1664">
        <f>'Cash Flow MH'!BS$38*BS89</f>
        <v>45418.290192488661</v>
      </c>
      <c r="BT88" s="1664">
        <f>'Cash Flow MH'!BT$38*BT89</f>
        <v>48534.610182314449</v>
      </c>
      <c r="BU88" s="1664">
        <f>'Cash Flow MH'!BU$38*BU89</f>
        <v>56635.991023314418</v>
      </c>
      <c r="BV88" s="1664">
        <f>'Cash Flow MH'!BV$38*BV89</f>
        <v>44325.019045440655</v>
      </c>
      <c r="BW88" s="1664">
        <f>'Cash Flow MH'!BW$38*BW89</f>
        <v>36732.961868824583</v>
      </c>
      <c r="BX88" s="1664">
        <f>'Cash Flow MH'!BX$38*BX89</f>
        <v>33370.873426377417</v>
      </c>
      <c r="BY88" s="1664">
        <f>'Cash Flow MH'!BY$38*BY89</f>
        <v>39865.444456365127</v>
      </c>
      <c r="BZ88" s="1664">
        <f>'Cash Flow MH'!BZ$38*BZ89</f>
        <v>51996.765646042004</v>
      </c>
      <c r="CA88" s="1664">
        <f>'Cash Flow MH'!CA$38*CA89</f>
        <v>51437.165652110096</v>
      </c>
      <c r="CB88" s="1664">
        <f>'Cash Flow MH'!CB$38*CB89</f>
        <v>52579.109850774068</v>
      </c>
      <c r="CC88" s="1664">
        <f>'Cash Flow MH'!CC$38*CC89</f>
        <v>53226.403414061657</v>
      </c>
      <c r="CD88" s="1664">
        <f>'Cash Flow MH'!CD$38*CD89</f>
        <v>47060.856952510017</v>
      </c>
      <c r="CE88" s="1664">
        <f>'Cash Flow MH'!CE$38*CE89</f>
        <v>46780.838898263333</v>
      </c>
      <c r="CF88" s="1664">
        <f>'Cash Flow MH'!CF$38*CF89</f>
        <v>49990.648487783888</v>
      </c>
      <c r="CG88" s="1664">
        <f>'Cash Flow MH'!CG$38*CG89</f>
        <v>58335.070754013868</v>
      </c>
      <c r="CH88" s="1664">
        <f>'Cash Flow MH'!CH$38*CH89</f>
        <v>45654.769616803875</v>
      </c>
      <c r="CI88" s="1664">
        <f>'Cash Flow MH'!CI$38*CI89</f>
        <v>37834.950724889328</v>
      </c>
      <c r="CJ88" s="1664">
        <f>'Cash Flow MH'!CJ$38*CJ89</f>
        <v>34371.999629168742</v>
      </c>
      <c r="CK88" s="1664">
        <f>'Cash Flow MH'!CK$38*CK89</f>
        <v>42527.886639700941</v>
      </c>
      <c r="CL88" s="1664">
        <f>'Cash Flow MH'!CL$38*CL89</f>
        <v>53556.668615423259</v>
      </c>
      <c r="CM88" s="1664">
        <f>'Cash Flow MH'!CM$38*CM89</f>
        <v>52980.280621673388</v>
      </c>
      <c r="CN88" s="1664">
        <f>'Cash Flow MH'!CN$38*CN89</f>
        <v>54156.483146297309</v>
      </c>
      <c r="CO88" s="1664">
        <f>'Cash Flow MH'!CO$38*CO89</f>
        <v>54823.195516483509</v>
      </c>
      <c r="CP88" s="1664">
        <f>'Cash Flow MH'!CP$38*CP89</f>
        <v>48472.682661085317</v>
      </c>
      <c r="CQ88" s="1664">
        <f>'Cash Flow MH'!CQ$38*CQ89</f>
        <v>48184.264065211231</v>
      </c>
      <c r="CR88" s="1664">
        <f>'Cash Flow MH'!CR$38*CR89</f>
        <v>51490.367942417404</v>
      </c>
      <c r="CS88" s="1664">
        <f>'Cash Flow MH'!CS$38*CS89</f>
        <v>60085.12287663429</v>
      </c>
      <c r="CT88" s="1664">
        <f>'Cash Flow MH'!CT$38*CT89</f>
        <v>47024.412705308001</v>
      </c>
      <c r="CU88" s="1664">
        <f>'Cash Flow MH'!CU$38*CU89</f>
        <v>38969.999246636005</v>
      </c>
      <c r="CV88" s="1664">
        <f>'Cash Flow MH'!CV$38*CV89</f>
        <v>35403.159618043799</v>
      </c>
      <c r="CW88" s="1664">
        <f>'Cash Flow MH'!CW$38*CW89</f>
        <v>42293.250023757748</v>
      </c>
      <c r="CX88" s="1664">
        <f>'Cash Flow MH'!CX$38*CX89</f>
        <v>55163.36867388594</v>
      </c>
      <c r="CY88" s="1664">
        <f>'Cash Flow MH'!CY$38*CY89</f>
        <v>54569.689040323603</v>
      </c>
      <c r="CZ88" s="1664">
        <f>'Cash Flow MH'!CZ$38*CZ89</f>
        <v>55781.177640686219</v>
      </c>
      <c r="DA88" s="1664">
        <f>'Cash Flow MH'!DA$38*DA89</f>
        <v>56467.891381978028</v>
      </c>
      <c r="DB88" s="1664">
        <f>'Cash Flow MH'!DB$38*DB89</f>
        <v>49926.863140917871</v>
      </c>
      <c r="DC88" s="1664">
        <f>'Cash Flow MH'!DC$38*DC89</f>
        <v>49629.791987167555</v>
      </c>
      <c r="DD88" s="1664">
        <f>'Cash Flow MH'!DD$38*DD89</f>
        <v>53035.078980689919</v>
      </c>
      <c r="DE88" s="1664">
        <f>'Cash Flow MH'!DE$38*DE89</f>
        <v>61887.676562933288</v>
      </c>
      <c r="DF88" s="1664">
        <f>'Cash Flow MH'!DF$38*DF89</f>
        <v>48435.14508646723</v>
      </c>
      <c r="DG88" s="1664">
        <f>'Cash Flow MH'!DG$38*DG89</f>
        <v>40139.099224035075</v>
      </c>
      <c r="DH88" s="1664">
        <f>'Cash Flow MH'!DH$38*DH89</f>
        <v>36465.254406585118</v>
      </c>
      <c r="DI88" s="1664">
        <f>'Cash Flow MH'!DI$38*DI89</f>
        <v>43562.047524470494</v>
      </c>
      <c r="DJ88" s="1664">
        <f>'Cash Flow MH'!DJ$38*DJ89</f>
        <v>56818.269734102527</v>
      </c>
      <c r="DK88" s="1664">
        <f>'Cash Flow MH'!DK$38*DK89</f>
        <v>56206.779711533316</v>
      </c>
      <c r="DL88" s="1664">
        <f>'Cash Flow MH'!DL$38*DL89</f>
        <v>57454.612969906804</v>
      </c>
      <c r="DM88" s="1664">
        <f>'Cash Flow MH'!DM$38*DM89</f>
        <v>58161.928123437363</v>
      </c>
      <c r="DN88" s="1664">
        <f>'Cash Flow MH'!DN$38*DN89</f>
        <v>51424.669035145402</v>
      </c>
      <c r="DO88" s="1664">
        <f>'Cash Flow MH'!DO$38*DO89</f>
        <v>51118.68574678259</v>
      </c>
      <c r="DP88" s="1664">
        <f>'Cash Flow MH'!DP$38*DP89</f>
        <v>54626.131350110627</v>
      </c>
      <c r="DQ88" s="1664">
        <f>'Cash Flow MH'!DQ$38*DQ89</f>
        <v>63744.306859821307</v>
      </c>
      <c r="DR88" s="1664">
        <f>'Cash Flow MH'!DR$38*DR89</f>
        <v>49888.199439061245</v>
      </c>
      <c r="DS88" s="1664">
        <f>'Cash Flow MH'!DS$38*DS89</f>
        <v>41343.272200756139</v>
      </c>
      <c r="DT88" s="1485" t="s">
        <v>65</v>
      </c>
    </row>
    <row r="89" spans="1:124">
      <c r="B89" s="1741" t="s">
        <v>1099</v>
      </c>
      <c r="D89" s="1799">
        <f>INDEX('Assumptions MH'!$T$40:$T$49,MATCH('Cash Flow MH'!D$5,'Assumptions MH'!$S$40:$S$49,))</f>
        <v>0</v>
      </c>
      <c r="E89" s="1799">
        <f>INDEX('Assumptions MH'!$T$40:$T$49,MATCH('Cash Flow MH'!E$5,'Assumptions MH'!$S$40:$S$49,))</f>
        <v>0</v>
      </c>
      <c r="F89" s="1799">
        <f>INDEX('Assumptions MH'!$T$40:$T$49,MATCH('Cash Flow MH'!F$5,'Assumptions MH'!$S$40:$S$49,))</f>
        <v>0</v>
      </c>
      <c r="G89" s="1799">
        <f>INDEX('Assumptions MH'!$T$40:$T$49,MATCH('Cash Flow MH'!G$5,'Assumptions MH'!$S$40:$S$49,))</f>
        <v>0</v>
      </c>
      <c r="H89" s="1799">
        <f>INDEX('Assumptions MH'!$T$40:$T$49,MATCH('Cash Flow MH'!H$5,'Assumptions MH'!$S$40:$S$49,))</f>
        <v>0</v>
      </c>
      <c r="I89" s="1799">
        <f>INDEX('Assumptions MH'!$T$40:$T$49,MATCH('Cash Flow MH'!I$5,'Assumptions MH'!$S$40:$S$49,))</f>
        <v>0</v>
      </c>
      <c r="J89" s="1799">
        <f>INDEX('Assumptions MH'!$T$40:$T$49,MATCH('Cash Flow MH'!J$5,'Assumptions MH'!$S$40:$S$49,))</f>
        <v>0</v>
      </c>
      <c r="K89" s="1799">
        <f>INDEX('Assumptions MH'!$T$40:$T$49,MATCH('Cash Flow MH'!K$5,'Assumptions MH'!$S$40:$S$49,))</f>
        <v>0</v>
      </c>
      <c r="L89" s="1799">
        <f>INDEX('Assumptions MH'!$T$40:$T$49,MATCH('Cash Flow MH'!L$5,'Assumptions MH'!$S$40:$S$49,))</f>
        <v>0</v>
      </c>
      <c r="M89" s="1799">
        <f>INDEX('Assumptions MH'!$T$40:$T$49,MATCH('Cash Flow MH'!M$5,'Assumptions MH'!$S$40:$S$49,))</f>
        <v>0</v>
      </c>
      <c r="N89" s="1799">
        <f>INDEX('Assumptions MH'!$T$40:$T$49,MATCH('Cash Flow MH'!N$5,'Assumptions MH'!$S$40:$S$49,))</f>
        <v>0</v>
      </c>
      <c r="O89" s="1799">
        <f>INDEX('Assumptions MH'!$T$40:$T$49,MATCH('Cash Flow MH'!O$5,'Assumptions MH'!$S$40:$S$49,))</f>
        <v>0</v>
      </c>
      <c r="P89" s="1799">
        <f>INDEX('Assumptions MH'!$T$40:$T$49,MATCH('Cash Flow MH'!P$5,'Assumptions MH'!$S$40:$S$49,))</f>
        <v>0.01</v>
      </c>
      <c r="Q89" s="1799">
        <f>INDEX('Assumptions MH'!$T$40:$T$49,MATCH('Cash Flow MH'!Q$5,'Assumptions MH'!$S$40:$S$49,))</f>
        <v>0.01</v>
      </c>
      <c r="R89" s="1799">
        <f>INDEX('Assumptions MH'!$T$40:$T$49,MATCH('Cash Flow MH'!R$5,'Assumptions MH'!$S$40:$S$49,))</f>
        <v>0.01</v>
      </c>
      <c r="S89" s="1799">
        <f>INDEX('Assumptions MH'!$T$40:$T$49,MATCH('Cash Flow MH'!S$5,'Assumptions MH'!$S$40:$S$49,))</f>
        <v>0.01</v>
      </c>
      <c r="T89" s="1799">
        <f>INDEX('Assumptions MH'!$T$40:$T$49,MATCH('Cash Flow MH'!T$5,'Assumptions MH'!$S$40:$S$49,))</f>
        <v>0.01</v>
      </c>
      <c r="U89" s="1799">
        <f>INDEX('Assumptions MH'!$T$40:$T$49,MATCH('Cash Flow MH'!U$5,'Assumptions MH'!$S$40:$S$49,))</f>
        <v>0.01</v>
      </c>
      <c r="V89" s="1799">
        <f>INDEX('Assumptions MH'!$T$40:$T$49,MATCH('Cash Flow MH'!V$5,'Assumptions MH'!$S$40:$S$49,))</f>
        <v>0.01</v>
      </c>
      <c r="W89" s="1799">
        <f>INDEX('Assumptions MH'!$T$40:$T$49,MATCH('Cash Flow MH'!W$5,'Assumptions MH'!$S$40:$S$49,))</f>
        <v>0.01</v>
      </c>
      <c r="X89" s="1799">
        <f>INDEX('Assumptions MH'!$T$40:$T$49,MATCH('Cash Flow MH'!X$5,'Assumptions MH'!$S$40:$S$49,))</f>
        <v>0.01</v>
      </c>
      <c r="Y89" s="1799">
        <f>INDEX('Assumptions MH'!$T$40:$T$49,MATCH('Cash Flow MH'!Y$5,'Assumptions MH'!$S$40:$S$49,))</f>
        <v>0.01</v>
      </c>
      <c r="Z89" s="1799">
        <f>INDEX('Assumptions MH'!$T$40:$T$49,MATCH('Cash Flow MH'!Z$5,'Assumptions MH'!$S$40:$S$49,))</f>
        <v>0.01</v>
      </c>
      <c r="AA89" s="1799">
        <f>INDEX('Assumptions MH'!$T$40:$T$49,MATCH('Cash Flow MH'!AA$5,'Assumptions MH'!$S$40:$S$49,))</f>
        <v>0.01</v>
      </c>
      <c r="AB89" s="1799">
        <f>INDEX('Assumptions MH'!$T$40:$T$49,MATCH('Cash Flow MH'!AB$5,'Assumptions MH'!$S$40:$S$49,))</f>
        <v>0.02</v>
      </c>
      <c r="AC89" s="1799">
        <f>INDEX('Assumptions MH'!$T$40:$T$49,MATCH('Cash Flow MH'!AC$5,'Assumptions MH'!$S$40:$S$49,))</f>
        <v>0.02</v>
      </c>
      <c r="AD89" s="1799">
        <f>INDEX('Assumptions MH'!$T$40:$T$49,MATCH('Cash Flow MH'!AD$5,'Assumptions MH'!$S$40:$S$49,))</f>
        <v>0.02</v>
      </c>
      <c r="AE89" s="1799">
        <f>INDEX('Assumptions MH'!$T$40:$T$49,MATCH('Cash Flow MH'!AE$5,'Assumptions MH'!$S$40:$S$49,))</f>
        <v>0.02</v>
      </c>
      <c r="AF89" s="1799">
        <f>INDEX('Assumptions MH'!$T$40:$T$49,MATCH('Cash Flow MH'!AF$5,'Assumptions MH'!$S$40:$S$49,))</f>
        <v>0.02</v>
      </c>
      <c r="AG89" s="1799">
        <f>INDEX('Assumptions MH'!$T$40:$T$49,MATCH('Cash Flow MH'!AG$5,'Assumptions MH'!$S$40:$S$49,))</f>
        <v>0.02</v>
      </c>
      <c r="AH89" s="1799">
        <f>INDEX('Assumptions MH'!$T$40:$T$49,MATCH('Cash Flow MH'!AH$5,'Assumptions MH'!$S$40:$S$49,))</f>
        <v>0.02</v>
      </c>
      <c r="AI89" s="1799">
        <f>INDEX('Assumptions MH'!$T$40:$T$49,MATCH('Cash Flow MH'!AI$5,'Assumptions MH'!$S$40:$S$49,))</f>
        <v>0.02</v>
      </c>
      <c r="AJ89" s="1799">
        <f>INDEX('Assumptions MH'!$T$40:$T$49,MATCH('Cash Flow MH'!AJ$5,'Assumptions MH'!$S$40:$S$49,))</f>
        <v>0.02</v>
      </c>
      <c r="AK89" s="1799">
        <f>INDEX('Assumptions MH'!$T$40:$T$49,MATCH('Cash Flow MH'!AK$5,'Assumptions MH'!$S$40:$S$49,))</f>
        <v>0.02</v>
      </c>
      <c r="AL89" s="1799">
        <f>INDEX('Assumptions MH'!$T$40:$T$49,MATCH('Cash Flow MH'!AL$5,'Assumptions MH'!$S$40:$S$49,))</f>
        <v>0.02</v>
      </c>
      <c r="AM89" s="1799">
        <f>INDEX('Assumptions MH'!$T$40:$T$49,MATCH('Cash Flow MH'!AM$5,'Assumptions MH'!$S$40:$S$49,))</f>
        <v>0.02</v>
      </c>
      <c r="AN89" s="1799">
        <f>INDEX('Assumptions MH'!$T$40:$T$49,MATCH('Cash Flow MH'!AN$5,'Assumptions MH'!$S$40:$S$49,))</f>
        <v>0.03</v>
      </c>
      <c r="AO89" s="1799">
        <f>INDEX('Assumptions MH'!$T$40:$T$49,MATCH('Cash Flow MH'!AO$5,'Assumptions MH'!$S$40:$S$49,))</f>
        <v>0.03</v>
      </c>
      <c r="AP89" s="1799">
        <f>INDEX('Assumptions MH'!$T$40:$T$49,MATCH('Cash Flow MH'!AP$5,'Assumptions MH'!$S$40:$S$49,))</f>
        <v>0.03</v>
      </c>
      <c r="AQ89" s="1799">
        <f>INDEX('Assumptions MH'!$T$40:$T$49,MATCH('Cash Flow MH'!AQ$5,'Assumptions MH'!$S$40:$S$49,))</f>
        <v>0.03</v>
      </c>
      <c r="AR89" s="1799">
        <f>INDEX('Assumptions MH'!$T$40:$T$49,MATCH('Cash Flow MH'!AR$5,'Assumptions MH'!$S$40:$S$49,))</f>
        <v>0.03</v>
      </c>
      <c r="AS89" s="1799">
        <f>INDEX('Assumptions MH'!$T$40:$T$49,MATCH('Cash Flow MH'!AS$5,'Assumptions MH'!$S$40:$S$49,))</f>
        <v>0.03</v>
      </c>
      <c r="AT89" s="1799">
        <f>INDEX('Assumptions MH'!$T$40:$T$49,MATCH('Cash Flow MH'!AT$5,'Assumptions MH'!$S$40:$S$49,))</f>
        <v>0.03</v>
      </c>
      <c r="AU89" s="1799">
        <f>INDEX('Assumptions MH'!$T$40:$T$49,MATCH('Cash Flow MH'!AU$5,'Assumptions MH'!$S$40:$S$49,))</f>
        <v>0.03</v>
      </c>
      <c r="AV89" s="1799">
        <f>INDEX('Assumptions MH'!$T$40:$T$49,MATCH('Cash Flow MH'!AV$5,'Assumptions MH'!$S$40:$S$49,))</f>
        <v>0.03</v>
      </c>
      <c r="AW89" s="1799">
        <f>INDEX('Assumptions MH'!$T$40:$T$49,MATCH('Cash Flow MH'!AW$5,'Assumptions MH'!$S$40:$S$49,))</f>
        <v>0.03</v>
      </c>
      <c r="AX89" s="1799">
        <f>INDEX('Assumptions MH'!$T$40:$T$49,MATCH('Cash Flow MH'!AX$5,'Assumptions MH'!$S$40:$S$49,))</f>
        <v>0.03</v>
      </c>
      <c r="AY89" s="1799">
        <f>INDEX('Assumptions MH'!$T$40:$T$49,MATCH('Cash Flow MH'!AY$5,'Assumptions MH'!$S$40:$S$49,))</f>
        <v>0.03</v>
      </c>
      <c r="AZ89" s="1799">
        <f>INDEX('Assumptions MH'!$T$40:$T$49,MATCH('Cash Flow MH'!AZ$5,'Assumptions MH'!$S$40:$S$49,))</f>
        <v>0.04</v>
      </c>
      <c r="BA89" s="1799">
        <f>INDEX('Assumptions MH'!$T$40:$T$49,MATCH('Cash Flow MH'!BA$5,'Assumptions MH'!$S$40:$S$49,))</f>
        <v>0.04</v>
      </c>
      <c r="BB89" s="1799">
        <f>INDEX('Assumptions MH'!$T$40:$T$49,MATCH('Cash Flow MH'!BB$5,'Assumptions MH'!$S$40:$S$49,))</f>
        <v>0.04</v>
      </c>
      <c r="BC89" s="1799">
        <f>INDEX('Assumptions MH'!$T$40:$T$49,MATCH('Cash Flow MH'!BC$5,'Assumptions MH'!$S$40:$S$49,))</f>
        <v>0.04</v>
      </c>
      <c r="BD89" s="1799">
        <f>INDEX('Assumptions MH'!$T$40:$T$49,MATCH('Cash Flow MH'!BD$5,'Assumptions MH'!$S$40:$S$49,))</f>
        <v>0.04</v>
      </c>
      <c r="BE89" s="1799">
        <f>INDEX('Assumptions MH'!$T$40:$T$49,MATCH('Cash Flow MH'!BE$5,'Assumptions MH'!$S$40:$S$49,))</f>
        <v>0.04</v>
      </c>
      <c r="BF89" s="1799">
        <f>INDEX('Assumptions MH'!$T$40:$T$49,MATCH('Cash Flow MH'!BF$5,'Assumptions MH'!$S$40:$S$49,))</f>
        <v>0.04</v>
      </c>
      <c r="BG89" s="1799">
        <f>INDEX('Assumptions MH'!$T$40:$T$49,MATCH('Cash Flow MH'!BG$5,'Assumptions MH'!$S$40:$S$49,))</f>
        <v>0.04</v>
      </c>
      <c r="BH89" s="1799">
        <f>INDEX('Assumptions MH'!$T$40:$T$49,MATCH('Cash Flow MH'!BH$5,'Assumptions MH'!$S$40:$S$49,))</f>
        <v>0.04</v>
      </c>
      <c r="BI89" s="1799">
        <f>INDEX('Assumptions MH'!$T$40:$T$49,MATCH('Cash Flow MH'!BI$5,'Assumptions MH'!$S$40:$S$49,))</f>
        <v>0.04</v>
      </c>
      <c r="BJ89" s="1799">
        <f>INDEX('Assumptions MH'!$T$40:$T$49,MATCH('Cash Flow MH'!BJ$5,'Assumptions MH'!$S$40:$S$49,))</f>
        <v>0.04</v>
      </c>
      <c r="BK89" s="1799">
        <f>INDEX('Assumptions MH'!$T$40:$T$49,MATCH('Cash Flow MH'!BK$5,'Assumptions MH'!$S$40:$S$49,))</f>
        <v>0.04</v>
      </c>
      <c r="BL89" s="1799">
        <f>INDEX('Assumptions MH'!$T$40:$T$49,MATCH('Cash Flow MH'!BL$5,'Assumptions MH'!$S$40:$S$49,))</f>
        <v>0.05</v>
      </c>
      <c r="BM89" s="1799">
        <f>INDEX('Assumptions MH'!$T$40:$T$49,MATCH('Cash Flow MH'!BM$5,'Assumptions MH'!$S$40:$S$49,))</f>
        <v>0.05</v>
      </c>
      <c r="BN89" s="1799">
        <f>INDEX('Assumptions MH'!$T$40:$T$49,MATCH('Cash Flow MH'!BN$5,'Assumptions MH'!$S$40:$S$49,))</f>
        <v>0.05</v>
      </c>
      <c r="BO89" s="1799">
        <f>INDEX('Assumptions MH'!$T$40:$T$49,MATCH('Cash Flow MH'!BO$5,'Assumptions MH'!$S$40:$S$49,))</f>
        <v>0.05</v>
      </c>
      <c r="BP89" s="1799">
        <f>INDEX('Assumptions MH'!$T$40:$T$49,MATCH('Cash Flow MH'!BP$5,'Assumptions MH'!$S$40:$S$49,))</f>
        <v>0.05</v>
      </c>
      <c r="BQ89" s="1799">
        <f>INDEX('Assumptions MH'!$T$40:$T$49,MATCH('Cash Flow MH'!BQ$5,'Assumptions MH'!$S$40:$S$49,))</f>
        <v>0.05</v>
      </c>
      <c r="BR89" s="1799">
        <f>INDEX('Assumptions MH'!$T$40:$T$49,MATCH('Cash Flow MH'!BR$5,'Assumptions MH'!$S$40:$S$49,))</f>
        <v>0.05</v>
      </c>
      <c r="BS89" s="1799">
        <f>INDEX('Assumptions MH'!$T$40:$T$49,MATCH('Cash Flow MH'!BS$5,'Assumptions MH'!$S$40:$S$49,))</f>
        <v>0.05</v>
      </c>
      <c r="BT89" s="1799">
        <f>INDEX('Assumptions MH'!$T$40:$T$49,MATCH('Cash Flow MH'!BT$5,'Assumptions MH'!$S$40:$S$49,))</f>
        <v>0.05</v>
      </c>
      <c r="BU89" s="1799">
        <f>INDEX('Assumptions MH'!$T$40:$T$49,MATCH('Cash Flow MH'!BU$5,'Assumptions MH'!$S$40:$S$49,))</f>
        <v>0.05</v>
      </c>
      <c r="BV89" s="1799">
        <f>INDEX('Assumptions MH'!$T$40:$T$49,MATCH('Cash Flow MH'!BV$5,'Assumptions MH'!$S$40:$S$49,))</f>
        <v>0.05</v>
      </c>
      <c r="BW89" s="1799">
        <f>INDEX('Assumptions MH'!$T$40:$T$49,MATCH('Cash Flow MH'!BW$5,'Assumptions MH'!$S$40:$S$49,))</f>
        <v>0.05</v>
      </c>
      <c r="BX89" s="1799">
        <f>INDEX('Assumptions MH'!$T$40:$T$49,MATCH('Cash Flow MH'!BX$5,'Assumptions MH'!$S$40:$S$49,))</f>
        <v>0.05</v>
      </c>
      <c r="BY89" s="1799">
        <f>INDEX('Assumptions MH'!$T$40:$T$49,MATCH('Cash Flow MH'!BY$5,'Assumptions MH'!$S$40:$S$49,))</f>
        <v>0.05</v>
      </c>
      <c r="BZ89" s="1799">
        <f>INDEX('Assumptions MH'!$T$40:$T$49,MATCH('Cash Flow MH'!BZ$5,'Assumptions MH'!$S$40:$S$49,))</f>
        <v>0.05</v>
      </c>
      <c r="CA89" s="1799">
        <f>INDEX('Assumptions MH'!$T$40:$T$49,MATCH('Cash Flow MH'!CA$5,'Assumptions MH'!$S$40:$S$49,))</f>
        <v>0.05</v>
      </c>
      <c r="CB89" s="1799">
        <f>INDEX('Assumptions MH'!$T$40:$T$49,MATCH('Cash Flow MH'!CB$5,'Assumptions MH'!$S$40:$S$49,))</f>
        <v>0.05</v>
      </c>
      <c r="CC89" s="1799">
        <f>INDEX('Assumptions MH'!$T$40:$T$49,MATCH('Cash Flow MH'!CC$5,'Assumptions MH'!$S$40:$S$49,))</f>
        <v>0.05</v>
      </c>
      <c r="CD89" s="1799">
        <f>INDEX('Assumptions MH'!$T$40:$T$49,MATCH('Cash Flow MH'!CD$5,'Assumptions MH'!$S$40:$S$49,))</f>
        <v>0.05</v>
      </c>
      <c r="CE89" s="1799">
        <f>INDEX('Assumptions MH'!$T$40:$T$49,MATCH('Cash Flow MH'!CE$5,'Assumptions MH'!$S$40:$S$49,))</f>
        <v>0.05</v>
      </c>
      <c r="CF89" s="1799">
        <f>INDEX('Assumptions MH'!$T$40:$T$49,MATCH('Cash Flow MH'!CF$5,'Assumptions MH'!$S$40:$S$49,))</f>
        <v>0.05</v>
      </c>
      <c r="CG89" s="1799">
        <f>INDEX('Assumptions MH'!$T$40:$T$49,MATCH('Cash Flow MH'!CG$5,'Assumptions MH'!$S$40:$S$49,))</f>
        <v>0.05</v>
      </c>
      <c r="CH89" s="1799">
        <f>INDEX('Assumptions MH'!$T$40:$T$49,MATCH('Cash Flow MH'!CH$5,'Assumptions MH'!$S$40:$S$49,))</f>
        <v>0.05</v>
      </c>
      <c r="CI89" s="1799">
        <f>INDEX('Assumptions MH'!$T$40:$T$49,MATCH('Cash Flow MH'!CI$5,'Assumptions MH'!$S$40:$S$49,))</f>
        <v>0.05</v>
      </c>
      <c r="CJ89" s="1799">
        <f>INDEX('Assumptions MH'!$T$40:$T$49,MATCH('Cash Flow MH'!CJ$5,'Assumptions MH'!$S$40:$S$49,))</f>
        <v>0.05</v>
      </c>
      <c r="CK89" s="1799">
        <f>INDEX('Assumptions MH'!$T$40:$T$49,MATCH('Cash Flow MH'!CK$5,'Assumptions MH'!$S$40:$S$49,))</f>
        <v>0.05</v>
      </c>
      <c r="CL89" s="1799">
        <f>INDEX('Assumptions MH'!$T$40:$T$49,MATCH('Cash Flow MH'!CL$5,'Assumptions MH'!$S$40:$S$49,))</f>
        <v>0.05</v>
      </c>
      <c r="CM89" s="1799">
        <f>INDEX('Assumptions MH'!$T$40:$T$49,MATCH('Cash Flow MH'!CM$5,'Assumptions MH'!$S$40:$S$49,))</f>
        <v>0.05</v>
      </c>
      <c r="CN89" s="1799">
        <f>INDEX('Assumptions MH'!$T$40:$T$49,MATCH('Cash Flow MH'!CN$5,'Assumptions MH'!$S$40:$S$49,))</f>
        <v>0.05</v>
      </c>
      <c r="CO89" s="1799">
        <f>INDEX('Assumptions MH'!$T$40:$T$49,MATCH('Cash Flow MH'!CO$5,'Assumptions MH'!$S$40:$S$49,))</f>
        <v>0.05</v>
      </c>
      <c r="CP89" s="1799">
        <f>INDEX('Assumptions MH'!$T$40:$T$49,MATCH('Cash Flow MH'!CP$5,'Assumptions MH'!$S$40:$S$49,))</f>
        <v>0.05</v>
      </c>
      <c r="CQ89" s="1799">
        <f>INDEX('Assumptions MH'!$T$40:$T$49,MATCH('Cash Flow MH'!CQ$5,'Assumptions MH'!$S$40:$S$49,))</f>
        <v>0.05</v>
      </c>
      <c r="CR89" s="1799">
        <f>INDEX('Assumptions MH'!$T$40:$T$49,MATCH('Cash Flow MH'!CR$5,'Assumptions MH'!$S$40:$S$49,))</f>
        <v>0.05</v>
      </c>
      <c r="CS89" s="1799">
        <f>INDEX('Assumptions MH'!$T$40:$T$49,MATCH('Cash Flow MH'!CS$5,'Assumptions MH'!$S$40:$S$49,))</f>
        <v>0.05</v>
      </c>
      <c r="CT89" s="1799">
        <f>INDEX('Assumptions MH'!$T$40:$T$49,MATCH('Cash Flow MH'!CT$5,'Assumptions MH'!$S$40:$S$49,))</f>
        <v>0.05</v>
      </c>
      <c r="CU89" s="1799">
        <f>INDEX('Assumptions MH'!$T$40:$T$49,MATCH('Cash Flow MH'!CU$5,'Assumptions MH'!$S$40:$S$49,))</f>
        <v>0.05</v>
      </c>
      <c r="CV89" s="1799">
        <f>INDEX('Assumptions MH'!$T$40:$T$49,MATCH('Cash Flow MH'!CV$5,'Assumptions MH'!$S$40:$S$49,))</f>
        <v>0.05</v>
      </c>
      <c r="CW89" s="1799">
        <f>INDEX('Assumptions MH'!$T$40:$T$49,MATCH('Cash Flow MH'!CW$5,'Assumptions MH'!$S$40:$S$49,))</f>
        <v>0.05</v>
      </c>
      <c r="CX89" s="1799">
        <f>INDEX('Assumptions MH'!$T$40:$T$49,MATCH('Cash Flow MH'!CX$5,'Assumptions MH'!$S$40:$S$49,))</f>
        <v>0.05</v>
      </c>
      <c r="CY89" s="1799">
        <f>INDEX('Assumptions MH'!$T$40:$T$49,MATCH('Cash Flow MH'!CY$5,'Assumptions MH'!$S$40:$S$49,))</f>
        <v>0.05</v>
      </c>
      <c r="CZ89" s="1799">
        <f>INDEX('Assumptions MH'!$T$40:$T$49,MATCH('Cash Flow MH'!CZ$5,'Assumptions MH'!$S$40:$S$49,))</f>
        <v>0.05</v>
      </c>
      <c r="DA89" s="1799">
        <f>INDEX('Assumptions MH'!$T$40:$T$49,MATCH('Cash Flow MH'!DA$5,'Assumptions MH'!$S$40:$S$49,))</f>
        <v>0.05</v>
      </c>
      <c r="DB89" s="1799">
        <f>INDEX('Assumptions MH'!$T$40:$T$49,MATCH('Cash Flow MH'!DB$5,'Assumptions MH'!$S$40:$S$49,))</f>
        <v>0.05</v>
      </c>
      <c r="DC89" s="1799">
        <f>INDEX('Assumptions MH'!$T$40:$T$49,MATCH('Cash Flow MH'!DC$5,'Assumptions MH'!$S$40:$S$49,))</f>
        <v>0.05</v>
      </c>
      <c r="DD89" s="1799">
        <f>INDEX('Assumptions MH'!$T$40:$T$49,MATCH('Cash Flow MH'!DD$5,'Assumptions MH'!$S$40:$S$49,))</f>
        <v>0.05</v>
      </c>
      <c r="DE89" s="1799">
        <f>INDEX('Assumptions MH'!$T$40:$T$49,MATCH('Cash Flow MH'!DE$5,'Assumptions MH'!$S$40:$S$49,))</f>
        <v>0.05</v>
      </c>
      <c r="DF89" s="1799">
        <f>INDEX('Assumptions MH'!$T$40:$T$49,MATCH('Cash Flow MH'!DF$5,'Assumptions MH'!$S$40:$S$49,))</f>
        <v>0.05</v>
      </c>
      <c r="DG89" s="1799">
        <f>INDEX('Assumptions MH'!$T$40:$T$49,MATCH('Cash Flow MH'!DG$5,'Assumptions MH'!$S$40:$S$49,))</f>
        <v>0.05</v>
      </c>
      <c r="DH89" s="1799">
        <f>INDEX('Assumptions MH'!$T$40:$T$49,MATCH('Cash Flow MH'!DH$5,'Assumptions MH'!$S$40:$S$49,))</f>
        <v>0.05</v>
      </c>
      <c r="DI89" s="1799">
        <f>INDEX('Assumptions MH'!$T$40:$T$49,MATCH('Cash Flow MH'!DI$5,'Assumptions MH'!$S$40:$S$49,))</f>
        <v>0.05</v>
      </c>
      <c r="DJ89" s="1799">
        <f>INDEX('Assumptions MH'!$T$40:$T$49,MATCH('Cash Flow MH'!DJ$5,'Assumptions MH'!$S$40:$S$49,))</f>
        <v>0.05</v>
      </c>
      <c r="DK89" s="1799">
        <f>INDEX('Assumptions MH'!$T$40:$T$49,MATCH('Cash Flow MH'!DK$5,'Assumptions MH'!$S$40:$S$49,))</f>
        <v>0.05</v>
      </c>
      <c r="DL89" s="1799">
        <f>INDEX('Assumptions MH'!$T$40:$T$49,MATCH('Cash Flow MH'!DL$5,'Assumptions MH'!$S$40:$S$49,))</f>
        <v>0.05</v>
      </c>
      <c r="DM89" s="1799">
        <f>INDEX('Assumptions MH'!$T$40:$T$49,MATCH('Cash Flow MH'!DM$5,'Assumptions MH'!$S$40:$S$49,))</f>
        <v>0.05</v>
      </c>
      <c r="DN89" s="1799">
        <f>INDEX('Assumptions MH'!$T$40:$T$49,MATCH('Cash Flow MH'!DN$5,'Assumptions MH'!$S$40:$S$49,))</f>
        <v>0.05</v>
      </c>
      <c r="DO89" s="1799">
        <f>INDEX('Assumptions MH'!$T$40:$T$49,MATCH('Cash Flow MH'!DO$5,'Assumptions MH'!$S$40:$S$49,))</f>
        <v>0.05</v>
      </c>
      <c r="DP89" s="1799">
        <f>INDEX('Assumptions MH'!$T$40:$T$49,MATCH('Cash Flow MH'!DP$5,'Assumptions MH'!$S$40:$S$49,))</f>
        <v>0.05</v>
      </c>
      <c r="DQ89" s="1799">
        <f>INDEX('Assumptions MH'!$T$40:$T$49,MATCH('Cash Flow MH'!DQ$5,'Assumptions MH'!$S$40:$S$49,))</f>
        <v>0.05</v>
      </c>
      <c r="DR89" s="1799">
        <f>INDEX('Assumptions MH'!$T$40:$T$49,MATCH('Cash Flow MH'!DR$5,'Assumptions MH'!$S$40:$S$49,))</f>
        <v>0.05</v>
      </c>
      <c r="DS89" s="1799">
        <f>INDEX('Assumptions MH'!$T$40:$T$49,MATCH('Cash Flow MH'!DS$5,'Assumptions MH'!$S$40:$S$49,))</f>
        <v>0.05</v>
      </c>
      <c r="DT89" s="1485" t="s">
        <v>65</v>
      </c>
    </row>
    <row r="90" spans="1:124">
      <c r="DT90" s="1485" t="s">
        <v>65</v>
      </c>
    </row>
    <row r="91" spans="1:124">
      <c r="A91" s="1487" t="s">
        <v>65</v>
      </c>
      <c r="B91" s="1802" t="s">
        <v>1109</v>
      </c>
      <c r="C91" s="1803"/>
      <c r="D91" s="1804">
        <f ca="1">+D85-D88</f>
        <v>188157.54828936674</v>
      </c>
      <c r="E91" s="1804">
        <f t="shared" ref="E91:BP91" ca="1" si="51">+E85-E88</f>
        <v>188157.54828936674</v>
      </c>
      <c r="F91" s="1804">
        <f t="shared" ca="1" si="51"/>
        <v>188157.54828936674</v>
      </c>
      <c r="G91" s="1804">
        <f t="shared" ca="1" si="51"/>
        <v>199548.94971646683</v>
      </c>
      <c r="H91" s="1804">
        <f t="shared" ca="1" si="51"/>
        <v>244331.55292301223</v>
      </c>
      <c r="I91" s="1804">
        <f t="shared" ca="1" si="51"/>
        <v>288740.92109559081</v>
      </c>
      <c r="J91" s="1804">
        <f t="shared" ca="1" si="51"/>
        <v>271718.24319571588</v>
      </c>
      <c r="K91" s="1804">
        <f t="shared" ca="1" si="51"/>
        <v>303190.48070953868</v>
      </c>
      <c r="L91" s="1804">
        <f t="shared" ca="1" si="51"/>
        <v>346664.75519219245</v>
      </c>
      <c r="M91" s="1804">
        <f t="shared" ca="1" si="51"/>
        <v>441843.99098290724</v>
      </c>
      <c r="N91" s="1804">
        <f t="shared" ca="1" si="51"/>
        <v>327812.80530404521</v>
      </c>
      <c r="O91" s="1804">
        <f t="shared" ca="1" si="51"/>
        <v>258272.86435180143</v>
      </c>
      <c r="P91" s="1804">
        <f t="shared" ca="1" si="51"/>
        <v>218390.04695824362</v>
      </c>
      <c r="Q91" s="1804">
        <f t="shared" ca="1" si="51"/>
        <v>298374.48358202621</v>
      </c>
      <c r="R91" s="1804">
        <f t="shared" ca="1" si="51"/>
        <v>442872.70932236721</v>
      </c>
      <c r="S91" s="1804">
        <f t="shared" ca="1" si="51"/>
        <v>450310.33771930198</v>
      </c>
      <c r="T91" s="1804">
        <f t="shared" ca="1" si="51"/>
        <v>475885.20579971565</v>
      </c>
      <c r="U91" s="1804">
        <f t="shared" ca="1" si="51"/>
        <v>499018.38724225387</v>
      </c>
      <c r="V91" s="1804">
        <f t="shared" ca="1" si="51"/>
        <v>421229.42846039729</v>
      </c>
      <c r="W91" s="1804">
        <f t="shared" ca="1" si="51"/>
        <v>418369.65189794113</v>
      </c>
      <c r="X91" s="1804">
        <f t="shared" ca="1" si="51"/>
        <v>458669.15976637154</v>
      </c>
      <c r="Y91" s="1804">
        <f t="shared" ca="1" si="51"/>
        <v>560154.9390642537</v>
      </c>
      <c r="Z91" s="1804">
        <f t="shared" ca="1" si="51"/>
        <v>406987.69095408428</v>
      </c>
      <c r="AA91" s="1804">
        <f t="shared" ca="1" si="51"/>
        <v>313071.94894593529</v>
      </c>
      <c r="AB91" s="1804">
        <f t="shared" ca="1" si="51"/>
        <v>257849.21053421916</v>
      </c>
      <c r="AC91" s="1804">
        <f t="shared" ca="1" si="51"/>
        <v>337516.02287975757</v>
      </c>
      <c r="AD91" s="1804">
        <f t="shared" ca="1" si="51"/>
        <v>483486.2090498216</v>
      </c>
      <c r="AE91" s="1804">
        <f t="shared" ca="1" si="51"/>
        <v>477698.20680881431</v>
      </c>
      <c r="AF91" s="1804">
        <f t="shared" ca="1" si="51"/>
        <v>490950.44804291026</v>
      </c>
      <c r="AG91" s="1804">
        <f t="shared" ca="1" si="51"/>
        <v>501203.80580174603</v>
      </c>
      <c r="AH91" s="1804">
        <f t="shared" ca="1" si="51"/>
        <v>422176.77989131567</v>
      </c>
      <c r="AI91" s="1804">
        <f t="shared" ca="1" si="51"/>
        <v>419280.96851486224</v>
      </c>
      <c r="AJ91" s="1804">
        <f t="shared" ca="1" si="51"/>
        <v>460219.08677003242</v>
      </c>
      <c r="AK91" s="1804">
        <f t="shared" ca="1" si="51"/>
        <v>563266.65722567413</v>
      </c>
      <c r="AL91" s="1804">
        <f t="shared" ca="1" si="51"/>
        <v>407757.64833701594</v>
      </c>
      <c r="AM91" s="1804">
        <f t="shared" ca="1" si="51"/>
        <v>312413.99562912481</v>
      </c>
      <c r="AN91" s="1804">
        <f t="shared" ca="1" si="51"/>
        <v>259476.87155394984</v>
      </c>
      <c r="AO91" s="1804">
        <f t="shared" ca="1" si="51"/>
        <v>357394.93935103988</v>
      </c>
      <c r="AP91" s="1804">
        <f t="shared" ca="1" si="51"/>
        <v>488473.91404245282</v>
      </c>
      <c r="AQ91" s="1804">
        <f t="shared" ca="1" si="51"/>
        <v>482614.69438761985</v>
      </c>
      <c r="AR91" s="1804">
        <f t="shared" ca="1" si="51"/>
        <v>496055.49471696763</v>
      </c>
      <c r="AS91" s="1804">
        <f t="shared" ca="1" si="51"/>
        <v>506497.9801474493</v>
      </c>
      <c r="AT91" s="1804">
        <f t="shared" ca="1" si="51"/>
        <v>426228.61314363492</v>
      </c>
      <c r="AU91" s="1804">
        <f t="shared" ca="1" si="51"/>
        <v>423297.17866324988</v>
      </c>
      <c r="AV91" s="1804">
        <f t="shared" ca="1" si="51"/>
        <v>464875.95437128301</v>
      </c>
      <c r="AW91" s="1804">
        <f t="shared" ca="1" si="51"/>
        <v>569487.68625278189</v>
      </c>
      <c r="AX91" s="1804">
        <f t="shared" ca="1" si="51"/>
        <v>411634.26146222465</v>
      </c>
      <c r="AY91" s="1804">
        <f t="shared" ca="1" si="51"/>
        <v>314861.54758041451</v>
      </c>
      <c r="AZ91" s="1804">
        <f t="shared" ca="1" si="51"/>
        <v>260970.12794538355</v>
      </c>
      <c r="BA91" s="1804">
        <f t="shared" ca="1" si="51"/>
        <v>343039.94672898733</v>
      </c>
      <c r="BB91" s="1804">
        <f t="shared" ca="1" si="51"/>
        <v>493325.74374649744</v>
      </c>
      <c r="BC91" s="1804">
        <f t="shared" ca="1" si="51"/>
        <v>487396.24283502554</v>
      </c>
      <c r="BD91" s="1804">
        <f t="shared" ca="1" si="51"/>
        <v>501024.98878823005</v>
      </c>
      <c r="BE91" s="1804">
        <f t="shared" ca="1" si="51"/>
        <v>511658.72152867331</v>
      </c>
      <c r="BF91" s="1804">
        <f t="shared" ca="1" si="51"/>
        <v>430143.59728919098</v>
      </c>
      <c r="BG91" s="1804">
        <f t="shared" ca="1" si="51"/>
        <v>427177.0085488779</v>
      </c>
      <c r="BH91" s="1804">
        <f t="shared" ca="1" si="51"/>
        <v>469398.03685051593</v>
      </c>
      <c r="BI91" s="1804">
        <f t="shared" ca="1" si="51"/>
        <v>575575.03703001305</v>
      </c>
      <c r="BJ91" s="1804">
        <f t="shared" ca="1" si="51"/>
        <v>415376.4894914428</v>
      </c>
      <c r="BK91" s="1804">
        <f t="shared" ca="1" si="51"/>
        <v>317174.78005271533</v>
      </c>
      <c r="BL91" s="1804">
        <f t="shared" ca="1" si="51"/>
        <v>262319.45053590491</v>
      </c>
      <c r="BM91" s="1804">
        <f t="shared" ca="1" si="51"/>
        <v>345590.28212962096</v>
      </c>
      <c r="BN91" s="1804">
        <f t="shared" ca="1" si="51"/>
        <v>498029.05671014637</v>
      </c>
      <c r="BO91" s="1804">
        <f t="shared" ca="1" si="51"/>
        <v>492030.3309643268</v>
      </c>
      <c r="BP91" s="1804">
        <f t="shared" ca="1" si="51"/>
        <v>505846.20255852258</v>
      </c>
      <c r="BQ91" s="1804">
        <f t="shared" ref="BQ91:DS91" ca="1" si="52">+BQ85-BQ88</f>
        <v>516673.25921063812</v>
      </c>
      <c r="BR91" s="1804">
        <f t="shared" ca="1" si="52"/>
        <v>433909.87473165104</v>
      </c>
      <c r="BS91" s="1804">
        <f t="shared" ca="1" si="52"/>
        <v>430908.66076684644</v>
      </c>
      <c r="BT91" s="1804">
        <f t="shared" ca="1" si="52"/>
        <v>473773.05591956858</v>
      </c>
      <c r="BU91" s="1804">
        <f t="shared" ca="1" si="52"/>
        <v>581515.08993625059</v>
      </c>
      <c r="BV91" s="1804">
        <f t="shared" ca="1" si="52"/>
        <v>418972.78036709799</v>
      </c>
      <c r="BW91" s="1804">
        <f t="shared" ca="1" si="52"/>
        <v>319343.43108053191</v>
      </c>
      <c r="BX91" s="1804">
        <f t="shared" ca="1" si="52"/>
        <v>270189.03405198187</v>
      </c>
      <c r="BY91" s="1804">
        <f t="shared" ca="1" si="52"/>
        <v>355957.99059350963</v>
      </c>
      <c r="BZ91" s="1804">
        <f t="shared" ca="1" si="52"/>
        <v>512969.92841145088</v>
      </c>
      <c r="CA91" s="1804">
        <f t="shared" ca="1" si="52"/>
        <v>506791.2408932565</v>
      </c>
      <c r="CB91" s="1804">
        <f t="shared" ca="1" si="52"/>
        <v>521021.58863527817</v>
      </c>
      <c r="CC91" s="1804">
        <f t="shared" ca="1" si="52"/>
        <v>532173.45698695711</v>
      </c>
      <c r="CD91" s="1804">
        <f t="shared" ca="1" si="52"/>
        <v>446927.17097360076</v>
      </c>
      <c r="CE91" s="1804">
        <f t="shared" ca="1" si="52"/>
        <v>443835.92058985209</v>
      </c>
      <c r="CF91" s="1804">
        <f t="shared" ca="1" si="52"/>
        <v>487986.24759715569</v>
      </c>
      <c r="CG91" s="1804">
        <f t="shared" ca="1" si="52"/>
        <v>598960.54263433814</v>
      </c>
      <c r="CH91" s="1804">
        <f t="shared" ca="1" si="52"/>
        <v>431541.96377811092</v>
      </c>
      <c r="CI91" s="1804">
        <f t="shared" ca="1" si="52"/>
        <v>328923.73401294783</v>
      </c>
      <c r="CJ91" s="1804">
        <f t="shared" ca="1" si="52"/>
        <v>278294.7050735415</v>
      </c>
      <c r="CK91" s="1804">
        <f t="shared" ca="1" si="52"/>
        <v>385239.99823313067</v>
      </c>
      <c r="CL91" s="1804">
        <f t="shared" ca="1" si="52"/>
        <v>528359.02626379428</v>
      </c>
      <c r="CM91" s="1804">
        <f t="shared" ca="1" si="52"/>
        <v>521994.97812005394</v>
      </c>
      <c r="CN91" s="1804">
        <f t="shared" ca="1" si="52"/>
        <v>536652.23629433662</v>
      </c>
      <c r="CO91" s="1804">
        <f t="shared" ca="1" si="52"/>
        <v>548138.66069656576</v>
      </c>
      <c r="CP91" s="1804">
        <f t="shared" ca="1" si="52"/>
        <v>460334.98610280879</v>
      </c>
      <c r="CQ91" s="1804">
        <f t="shared" ca="1" si="52"/>
        <v>457150.99820754729</v>
      </c>
      <c r="CR91" s="1804">
        <f t="shared" ca="1" si="52"/>
        <v>502625.83502507035</v>
      </c>
      <c r="CS91" s="1804">
        <f t="shared" ca="1" si="52"/>
        <v>616929.35891336843</v>
      </c>
      <c r="CT91" s="1804">
        <f t="shared" ca="1" si="52"/>
        <v>444488.2226914544</v>
      </c>
      <c r="CU91" s="1804">
        <f t="shared" ca="1" si="52"/>
        <v>338791.44603333628</v>
      </c>
      <c r="CV91" s="1804">
        <f t="shared" ca="1" si="52"/>
        <v>286643.54622574768</v>
      </c>
      <c r="CW91" s="1804">
        <f t="shared" ca="1" si="52"/>
        <v>377635.83222065441</v>
      </c>
      <c r="CX91" s="1804">
        <f t="shared" ca="1" si="52"/>
        <v>544209.79705170786</v>
      </c>
      <c r="CY91" s="1804">
        <f t="shared" ca="1" si="52"/>
        <v>537654.82746365585</v>
      </c>
      <c r="CZ91" s="1804">
        <f t="shared" ca="1" si="52"/>
        <v>552751.8033831669</v>
      </c>
      <c r="DA91" s="1804">
        <f t="shared" ca="1" si="52"/>
        <v>564582.82051746291</v>
      </c>
      <c r="DB91" s="1804">
        <f t="shared" ca="1" si="52"/>
        <v>474145.03568589303</v>
      </c>
      <c r="DC91" s="1804">
        <f t="shared" ca="1" si="52"/>
        <v>470865.52815377375</v>
      </c>
      <c r="DD91" s="1804">
        <f t="shared" ca="1" si="52"/>
        <v>517704.61007582239</v>
      </c>
      <c r="DE91" s="1804">
        <f t="shared" ca="1" si="52"/>
        <v>635437.23968076915</v>
      </c>
      <c r="DF91" s="1804">
        <f t="shared" ca="1" si="52"/>
        <v>457822.86937219783</v>
      </c>
      <c r="DG91" s="1804">
        <f t="shared" ca="1" si="52"/>
        <v>348955.18941433635</v>
      </c>
      <c r="DH91" s="1804">
        <f t="shared" ca="1" si="52"/>
        <v>295242.8526125201</v>
      </c>
      <c r="DI91" s="1804">
        <f t="shared" ca="1" si="52"/>
        <v>388964.90718727408</v>
      </c>
      <c r="DJ91" s="1804">
        <f t="shared" ca="1" si="52"/>
        <v>560536.09096325911</v>
      </c>
      <c r="DK91" s="1804">
        <f t="shared" ca="1" si="52"/>
        <v>553784.47228756547</v>
      </c>
      <c r="DL91" s="1804">
        <f t="shared" ca="1" si="52"/>
        <v>569334.35748466197</v>
      </c>
      <c r="DM91" s="1804">
        <f t="shared" ca="1" si="52"/>
        <v>581520.30513298674</v>
      </c>
      <c r="DN91" s="1804">
        <f t="shared" ca="1" si="52"/>
        <v>488369.38675646961</v>
      </c>
      <c r="DO91" s="1804">
        <f t="shared" ca="1" si="52"/>
        <v>484991.49399838701</v>
      </c>
      <c r="DP91" s="1804">
        <f t="shared" ca="1" si="52"/>
        <v>533235.74837809696</v>
      </c>
      <c r="DQ91" s="1804">
        <f t="shared" ca="1" si="52"/>
        <v>654500.35687119234</v>
      </c>
      <c r="DR91" s="1804">
        <f t="shared" ca="1" si="52"/>
        <v>471557.55545336386</v>
      </c>
      <c r="DS91" s="1804">
        <f t="shared" ca="1" si="52"/>
        <v>359423.84509676648</v>
      </c>
      <c r="DT91" s="1485" t="s">
        <v>65</v>
      </c>
    </row>
    <row r="92" spans="1:124">
      <c r="DT92" s="1485" t="s">
        <v>65</v>
      </c>
    </row>
    <row r="93" spans="1:124">
      <c r="B93" s="1717"/>
      <c r="D93" s="1664">
        <f t="shared" ref="D93:J93" ca="1" si="53">D71+D74+D80+D82</f>
        <v>197939.20168359764</v>
      </c>
      <c r="E93" s="1664">
        <f t="shared" ca="1" si="53"/>
        <v>201929.5546630015</v>
      </c>
      <c r="F93" s="1664">
        <f t="shared" ca="1" si="53"/>
        <v>208842.12278720582</v>
      </c>
      <c r="G93" s="1664">
        <f t="shared" ca="1" si="53"/>
        <v>223968.98732375802</v>
      </c>
      <c r="H93" s="1664">
        <f t="shared" ca="1" si="53"/>
        <v>276993.61503169558</v>
      </c>
      <c r="I93" s="1664">
        <f t="shared" ca="1" si="53"/>
        <v>329448.6335280934</v>
      </c>
      <c r="J93" s="1664">
        <f t="shared" ca="1" si="53"/>
        <v>309576.9917847091</v>
      </c>
      <c r="K93" s="1664">
        <f ca="1">K71+K74+K80+K82</f>
        <v>346824.76281736628</v>
      </c>
      <c r="L93" s="1664">
        <f t="shared" ref="L93:BW93" ca="1" si="54">L71+L74+L80+L82</f>
        <v>398136.10277676152</v>
      </c>
      <c r="M93" s="1664">
        <f t="shared" ca="1" si="54"/>
        <v>510580.77730069304</v>
      </c>
      <c r="N93" s="1664">
        <f t="shared" ca="1" si="54"/>
        <v>375877.72819905326</v>
      </c>
      <c r="O93" s="1664">
        <f t="shared" ca="1" si="54"/>
        <v>293709.64322287863</v>
      </c>
      <c r="P93" s="1664">
        <f t="shared" ca="1" si="54"/>
        <v>256155.66895828012</v>
      </c>
      <c r="Q93" s="1664">
        <f t="shared" ca="1" si="54"/>
        <v>352040.11159860127</v>
      </c>
      <c r="R93" s="1664">
        <f t="shared" ca="1" si="54"/>
        <v>525461.5177361425</v>
      </c>
      <c r="S93" s="1664">
        <f t="shared" ca="1" si="54"/>
        <v>534325.56625604234</v>
      </c>
      <c r="T93" s="1664">
        <f t="shared" ca="1" si="54"/>
        <v>565072.84514035587</v>
      </c>
      <c r="U93" s="1664">
        <f t="shared" ca="1" si="54"/>
        <v>592636.79682389915</v>
      </c>
      <c r="V93" s="1664">
        <f t="shared" ca="1" si="54"/>
        <v>499704.2870750702</v>
      </c>
      <c r="W93" s="1664">
        <f t="shared" ca="1" si="54"/>
        <v>496231.5346315442</v>
      </c>
      <c r="X93" s="1664">
        <f t="shared" ca="1" si="54"/>
        <v>544392.86664417014</v>
      </c>
      <c r="Y93" s="1664">
        <f t="shared" ca="1" si="54"/>
        <v>665952.36491093575</v>
      </c>
      <c r="Z93" s="1664">
        <f t="shared" ca="1" si="54"/>
        <v>482397.6969390217</v>
      </c>
      <c r="AA93" s="1664">
        <f t="shared" ca="1" si="54"/>
        <v>369802.44035740668</v>
      </c>
      <c r="AB93" s="1664">
        <f t="shared" ca="1" si="54"/>
        <v>314539.91088622349</v>
      </c>
      <c r="AC93" s="1664">
        <f t="shared" ca="1" si="54"/>
        <v>411393.53006402863</v>
      </c>
      <c r="AD93" s="1664">
        <f t="shared" ca="1" si="54"/>
        <v>589151.6016712921</v>
      </c>
      <c r="AE93" s="1664">
        <f t="shared" ca="1" si="54"/>
        <v>582002.31412505184</v>
      </c>
      <c r="AF93" s="1664">
        <f t="shared" ca="1" si="54"/>
        <v>598192.56373953854</v>
      </c>
      <c r="AG93" s="1664">
        <f t="shared" ca="1" si="54"/>
        <v>610415.9007286164</v>
      </c>
      <c r="AH93" s="1664">
        <f t="shared" ca="1" si="54"/>
        <v>514695.41568732215</v>
      </c>
      <c r="AI93" s="1664">
        <f t="shared" ca="1" si="54"/>
        <v>511118.48067049065</v>
      </c>
      <c r="AJ93" s="1664">
        <f t="shared" ca="1" si="54"/>
        <v>560724.65264349524</v>
      </c>
      <c r="AK93" s="1664">
        <f t="shared" ca="1" si="54"/>
        <v>685930.93585826387</v>
      </c>
      <c r="AL93" s="1664">
        <f t="shared" ca="1" si="54"/>
        <v>496869.62784719234</v>
      </c>
      <c r="AM93" s="1664">
        <f t="shared" ca="1" si="54"/>
        <v>380896.51356812858</v>
      </c>
      <c r="AN93" s="1664">
        <f t="shared" ca="1" si="54"/>
        <v>323976.10821281018</v>
      </c>
      <c r="AO93" s="1664">
        <f t="shared" ca="1" si="54"/>
        <v>444851.29460922407</v>
      </c>
      <c r="AP93" s="1664">
        <f t="shared" ca="1" si="54"/>
        <v>606826.14972143061</v>
      </c>
      <c r="AQ93" s="1664">
        <f t="shared" ca="1" si="54"/>
        <v>599462.38354880363</v>
      </c>
      <c r="AR93" s="1664">
        <f t="shared" ca="1" si="54"/>
        <v>616138.3406517246</v>
      </c>
      <c r="AS93" s="1664">
        <f t="shared" ca="1" si="54"/>
        <v>628728.37775047473</v>
      </c>
      <c r="AT93" s="1664">
        <f t="shared" ca="1" si="54"/>
        <v>530136.27815794211</v>
      </c>
      <c r="AU93" s="1664">
        <f t="shared" ca="1" si="54"/>
        <v>526452.03509060503</v>
      </c>
      <c r="AV93" s="1664">
        <f t="shared" ca="1" si="54"/>
        <v>577546.39222279994</v>
      </c>
      <c r="AW93" s="1664">
        <f t="shared" ca="1" si="54"/>
        <v>706508.86393401178</v>
      </c>
      <c r="AX93" s="1664">
        <f t="shared" ca="1" si="54"/>
        <v>511775.71668260795</v>
      </c>
      <c r="AY93" s="1664">
        <f t="shared" ca="1" si="54"/>
        <v>392323.40897517244</v>
      </c>
      <c r="AZ93" s="1664">
        <f t="shared" ca="1" si="54"/>
        <v>333695.39145919436</v>
      </c>
      <c r="BA93" s="1664">
        <f t="shared" ca="1" si="54"/>
        <v>436447.39604492806</v>
      </c>
      <c r="BB93" s="1664">
        <f t="shared" ca="1" si="54"/>
        <v>625030.93421307369</v>
      </c>
      <c r="BC93" s="1664">
        <f t="shared" ca="1" si="54"/>
        <v>617446.25505526771</v>
      </c>
      <c r="BD93" s="1664">
        <f t="shared" ca="1" si="54"/>
        <v>634622.49087127647</v>
      </c>
      <c r="BE93" s="1664">
        <f t="shared" ca="1" si="54"/>
        <v>647590.22908298904</v>
      </c>
      <c r="BF93" s="1664">
        <f t="shared" ca="1" si="54"/>
        <v>546040.36650268023</v>
      </c>
      <c r="BG93" s="1664">
        <f t="shared" ca="1" si="54"/>
        <v>542245.59614332335</v>
      </c>
      <c r="BH93" s="1664">
        <f t="shared" ca="1" si="54"/>
        <v>594872.78398948419</v>
      </c>
      <c r="BI93" s="1664">
        <f t="shared" ca="1" si="54"/>
        <v>727704.12985203194</v>
      </c>
      <c r="BJ93" s="1664">
        <f t="shared" ca="1" si="54"/>
        <v>527128.98818308627</v>
      </c>
      <c r="BK93" s="1664">
        <f t="shared" ca="1" si="54"/>
        <v>404093.11124442762</v>
      </c>
      <c r="BL93" s="1664">
        <f t="shared" ca="1" si="54"/>
        <v>343706.25320297037</v>
      </c>
      <c r="BM93" s="1664">
        <f t="shared" ca="1" si="54"/>
        <v>449540.81792627583</v>
      </c>
      <c r="BN93" s="1664">
        <f t="shared" ca="1" si="54"/>
        <v>643781.86223946593</v>
      </c>
      <c r="BO93" s="1664">
        <f t="shared" ca="1" si="54"/>
        <v>635969.64270692563</v>
      </c>
      <c r="BP93" s="1664">
        <f t="shared" ca="1" si="54"/>
        <v>653661.1655974146</v>
      </c>
      <c r="BQ93" s="1664">
        <f t="shared" ca="1" si="54"/>
        <v>667017.93595547869</v>
      </c>
      <c r="BR93" s="1664">
        <f t="shared" ca="1" si="54"/>
        <v>562421.57749776053</v>
      </c>
      <c r="BS93" s="1664">
        <f t="shared" ca="1" si="54"/>
        <v>558512.96402762295</v>
      </c>
      <c r="BT93" s="1664">
        <f t="shared" ca="1" si="54"/>
        <v>612718.96750916867</v>
      </c>
      <c r="BU93" s="1664">
        <f t="shared" ca="1" si="54"/>
        <v>749535.25374759303</v>
      </c>
      <c r="BV93" s="1664">
        <f t="shared" ca="1" si="54"/>
        <v>542942.85782857891</v>
      </c>
      <c r="BW93" s="1664">
        <f t="shared" ca="1" si="54"/>
        <v>416215.90458176046</v>
      </c>
      <c r="BX93" s="1664">
        <f t="shared" ref="BX93:DS93" ca="1" si="55">BX71+BX74+BX80+BX82</f>
        <v>354017.44079905923</v>
      </c>
      <c r="BY93" s="1664">
        <f t="shared" ca="1" si="55"/>
        <v>463027.04246406414</v>
      </c>
      <c r="BZ93" s="1664">
        <f t="shared" ca="1" si="55"/>
        <v>663095.31810665003</v>
      </c>
      <c r="CA93" s="1664">
        <f t="shared" ca="1" si="55"/>
        <v>655048.73198813328</v>
      </c>
      <c r="CB93" s="1664">
        <f t="shared" ca="1" si="55"/>
        <v>673271.0005653369</v>
      </c>
      <c r="CC93" s="1664">
        <f t="shared" ca="1" si="55"/>
        <v>687028.47403414291</v>
      </c>
      <c r="CD93" s="1664">
        <f t="shared" ca="1" si="55"/>
        <v>579294.22482269339</v>
      </c>
      <c r="CE93" s="1664">
        <f t="shared" ca="1" si="55"/>
        <v>575268.35294845188</v>
      </c>
      <c r="CF93" s="1664">
        <f t="shared" ca="1" si="55"/>
        <v>631100.53653444373</v>
      </c>
      <c r="CG93" s="1664">
        <f t="shared" ca="1" si="55"/>
        <v>772021.31136002089</v>
      </c>
      <c r="CH93" s="1664">
        <f t="shared" ca="1" si="55"/>
        <v>559231.14356343623</v>
      </c>
      <c r="CI93" s="1664">
        <f t="shared" ca="1" si="55"/>
        <v>428702.38171921321</v>
      </c>
      <c r="CJ93" s="1664">
        <f t="shared" ca="1" si="55"/>
        <v>364637.96402303129</v>
      </c>
      <c r="CK93" s="1664">
        <f t="shared" ca="1" si="55"/>
        <v>500684.05122258724</v>
      </c>
      <c r="CL93" s="1664">
        <f t="shared" ca="1" si="55"/>
        <v>682988.17764984933</v>
      </c>
      <c r="CM93" s="1664">
        <f t="shared" ca="1" si="55"/>
        <v>674700.19394777715</v>
      </c>
      <c r="CN93" s="1664">
        <f t="shared" ca="1" si="55"/>
        <v>693469.13058229722</v>
      </c>
      <c r="CO93" s="1664">
        <f t="shared" ca="1" si="55"/>
        <v>707639.32825516711</v>
      </c>
      <c r="CP93" s="1664">
        <f t="shared" ca="1" si="55"/>
        <v>596673.05156737438</v>
      </c>
      <c r="CQ93" s="1664">
        <f t="shared" ca="1" si="55"/>
        <v>592526.40353690519</v>
      </c>
      <c r="CR93" s="1664">
        <f t="shared" ca="1" si="55"/>
        <v>650033.552630477</v>
      </c>
      <c r="CS93" s="1664">
        <f t="shared" ca="1" si="55"/>
        <v>795181.95070082159</v>
      </c>
      <c r="CT93" s="1664">
        <f t="shared" ca="1" si="55"/>
        <v>576008.0778703395</v>
      </c>
      <c r="CU93" s="1664">
        <f t="shared" ca="1" si="55"/>
        <v>441563.45317078964</v>
      </c>
      <c r="CV93" s="1664">
        <f t="shared" ca="1" si="55"/>
        <v>375577.1029437221</v>
      </c>
      <c r="CW93" s="1664">
        <f t="shared" ca="1" si="55"/>
        <v>491225.38935012568</v>
      </c>
      <c r="CX93" s="1664">
        <f t="shared" ca="1" si="55"/>
        <v>703477.82297934452</v>
      </c>
      <c r="CY93" s="1664">
        <f t="shared" ca="1" si="55"/>
        <v>694941.19976621075</v>
      </c>
      <c r="CZ93" s="1664">
        <f t="shared" ca="1" si="55"/>
        <v>714273.20449976623</v>
      </c>
      <c r="DA93" s="1664">
        <f t="shared" ca="1" si="55"/>
        <v>728868.50810282247</v>
      </c>
      <c r="DB93" s="1664">
        <f t="shared" ca="1" si="55"/>
        <v>614573.24311439542</v>
      </c>
      <c r="DC93" s="1664">
        <f t="shared" ca="1" si="55"/>
        <v>610302.1956430123</v>
      </c>
      <c r="DD93" s="1664">
        <f t="shared" ca="1" si="55"/>
        <v>669534.55920939124</v>
      </c>
      <c r="DE93" s="1664">
        <f t="shared" ca="1" si="55"/>
        <v>819037.40922184591</v>
      </c>
      <c r="DF93" s="1664">
        <f t="shared" ca="1" si="55"/>
        <v>593288.32020644948</v>
      </c>
      <c r="DG93" s="1664">
        <f t="shared" ca="1" si="55"/>
        <v>454810.35676591319</v>
      </c>
      <c r="DH93" s="1664">
        <f t="shared" ca="1" si="55"/>
        <v>386844.41603203374</v>
      </c>
      <c r="DI93" s="1664">
        <f t="shared" ca="1" si="55"/>
        <v>505962.15103062947</v>
      </c>
      <c r="DJ93" s="1664">
        <f t="shared" ca="1" si="55"/>
        <v>724582.15766872489</v>
      </c>
      <c r="DK93" s="1664">
        <f t="shared" ca="1" si="55"/>
        <v>715789.43575919711</v>
      </c>
      <c r="DL93" s="1664">
        <f t="shared" ca="1" si="55"/>
        <v>735701.40063475934</v>
      </c>
      <c r="DM93" s="1664">
        <f t="shared" ca="1" si="55"/>
        <v>750734.56334590691</v>
      </c>
      <c r="DN93" s="1664">
        <f t="shared" ca="1" si="55"/>
        <v>633010.44040782715</v>
      </c>
      <c r="DO93" s="1664">
        <f t="shared" ca="1" si="55"/>
        <v>628611.26151230279</v>
      </c>
      <c r="DP93" s="1664">
        <f t="shared" ca="1" si="55"/>
        <v>689620.59598567302</v>
      </c>
      <c r="DQ93" s="1664">
        <f t="shared" ca="1" si="55"/>
        <v>843608.53149850154</v>
      </c>
      <c r="DR93" s="1664">
        <f t="shared" ca="1" si="55"/>
        <v>611086.96981264313</v>
      </c>
      <c r="DS93" s="1664">
        <f t="shared" ca="1" si="55"/>
        <v>468454.66746889072</v>
      </c>
      <c r="DT93" s="1485" t="s">
        <v>65</v>
      </c>
    </row>
    <row r="94" spans="1:124">
      <c r="B94" s="1746"/>
      <c r="C94" s="1805"/>
      <c r="D94" s="1664">
        <f t="shared" ref="D94:J94" ca="1" si="56">D93-D68</f>
        <v>193812.68248460841</v>
      </c>
      <c r="E94" s="1664">
        <f t="shared" ca="1" si="56"/>
        <v>132033.03313101485</v>
      </c>
      <c r="F94" s="1664">
        <f t="shared" ca="1" si="56"/>
        <v>25540.272971408063</v>
      </c>
      <c r="G94" s="1664">
        <f t="shared" ca="1" si="56"/>
        <v>0</v>
      </c>
      <c r="H94" s="1664">
        <f t="shared" ca="1" si="56"/>
        <v>0</v>
      </c>
      <c r="I94" s="1664">
        <f t="shared" ca="1" si="56"/>
        <v>0</v>
      </c>
      <c r="J94" s="1664">
        <f t="shared" ca="1" si="56"/>
        <v>0</v>
      </c>
      <c r="K94" s="1664">
        <f ca="1">K93-K68</f>
        <v>0</v>
      </c>
      <c r="L94" s="1664">
        <f t="shared" ref="L94:BW94" ca="1" si="57">L93-L68</f>
        <v>0</v>
      </c>
      <c r="M94" s="1664">
        <f t="shared" ca="1" si="57"/>
        <v>0</v>
      </c>
      <c r="N94" s="1664">
        <f t="shared" ca="1" si="57"/>
        <v>0</v>
      </c>
      <c r="O94" s="1664">
        <f t="shared" ca="1" si="57"/>
        <v>0</v>
      </c>
      <c r="P94" s="1664">
        <f t="shared" ca="1" si="57"/>
        <v>0</v>
      </c>
      <c r="Q94" s="1664">
        <f t="shared" ca="1" si="57"/>
        <v>0</v>
      </c>
      <c r="R94" s="1664">
        <f t="shared" ca="1" si="57"/>
        <v>0</v>
      </c>
      <c r="S94" s="1664">
        <f t="shared" ca="1" si="57"/>
        <v>0</v>
      </c>
      <c r="T94" s="1664">
        <f t="shared" ca="1" si="57"/>
        <v>0</v>
      </c>
      <c r="U94" s="1664">
        <f t="shared" ca="1" si="57"/>
        <v>0</v>
      </c>
      <c r="V94" s="1664">
        <f t="shared" ca="1" si="57"/>
        <v>0</v>
      </c>
      <c r="W94" s="1664">
        <f t="shared" ca="1" si="57"/>
        <v>0</v>
      </c>
      <c r="X94" s="1664">
        <f t="shared" ca="1" si="57"/>
        <v>0</v>
      </c>
      <c r="Y94" s="1664">
        <f t="shared" ca="1" si="57"/>
        <v>0</v>
      </c>
      <c r="Z94" s="1664">
        <f t="shared" ca="1" si="57"/>
        <v>0</v>
      </c>
      <c r="AA94" s="1664">
        <f t="shared" ca="1" si="57"/>
        <v>0</v>
      </c>
      <c r="AB94" s="1664">
        <f t="shared" ca="1" si="57"/>
        <v>0</v>
      </c>
      <c r="AC94" s="1664">
        <f t="shared" ca="1" si="57"/>
        <v>0</v>
      </c>
      <c r="AD94" s="1664">
        <f t="shared" ca="1" si="57"/>
        <v>0</v>
      </c>
      <c r="AE94" s="1664">
        <f t="shared" ca="1" si="57"/>
        <v>0</v>
      </c>
      <c r="AF94" s="1664">
        <f t="shared" ca="1" si="57"/>
        <v>0</v>
      </c>
      <c r="AG94" s="1664">
        <f t="shared" ca="1" si="57"/>
        <v>0</v>
      </c>
      <c r="AH94" s="1664">
        <f t="shared" ca="1" si="57"/>
        <v>0</v>
      </c>
      <c r="AI94" s="1664">
        <f t="shared" ca="1" si="57"/>
        <v>0</v>
      </c>
      <c r="AJ94" s="1664">
        <f t="shared" ca="1" si="57"/>
        <v>0</v>
      </c>
      <c r="AK94" s="1664">
        <f t="shared" ca="1" si="57"/>
        <v>0</v>
      </c>
      <c r="AL94" s="1664">
        <f t="shared" ca="1" si="57"/>
        <v>0</v>
      </c>
      <c r="AM94" s="1664">
        <f t="shared" ca="1" si="57"/>
        <v>0</v>
      </c>
      <c r="AN94" s="1664">
        <f t="shared" ca="1" si="57"/>
        <v>0</v>
      </c>
      <c r="AO94" s="1664">
        <f t="shared" ca="1" si="57"/>
        <v>0</v>
      </c>
      <c r="AP94" s="1664">
        <f t="shared" ca="1" si="57"/>
        <v>0</v>
      </c>
      <c r="AQ94" s="1664">
        <f t="shared" ca="1" si="57"/>
        <v>0</v>
      </c>
      <c r="AR94" s="1664">
        <f t="shared" ca="1" si="57"/>
        <v>0</v>
      </c>
      <c r="AS94" s="1664">
        <f t="shared" ca="1" si="57"/>
        <v>0</v>
      </c>
      <c r="AT94" s="1664">
        <f t="shared" ca="1" si="57"/>
        <v>0</v>
      </c>
      <c r="AU94" s="1664">
        <f t="shared" ca="1" si="57"/>
        <v>0</v>
      </c>
      <c r="AV94" s="1664">
        <f t="shared" ca="1" si="57"/>
        <v>0</v>
      </c>
      <c r="AW94" s="1664">
        <f t="shared" ca="1" si="57"/>
        <v>0</v>
      </c>
      <c r="AX94" s="1664">
        <f t="shared" ca="1" si="57"/>
        <v>0</v>
      </c>
      <c r="AY94" s="1664">
        <f t="shared" ca="1" si="57"/>
        <v>0</v>
      </c>
      <c r="AZ94" s="1664">
        <f t="shared" ca="1" si="57"/>
        <v>0</v>
      </c>
      <c r="BA94" s="1664">
        <f t="shared" ca="1" si="57"/>
        <v>0</v>
      </c>
      <c r="BB94" s="1664">
        <f t="shared" ca="1" si="57"/>
        <v>0</v>
      </c>
      <c r="BC94" s="1664">
        <f t="shared" ca="1" si="57"/>
        <v>0</v>
      </c>
      <c r="BD94" s="1664">
        <f t="shared" ca="1" si="57"/>
        <v>0</v>
      </c>
      <c r="BE94" s="1664">
        <f t="shared" ca="1" si="57"/>
        <v>0</v>
      </c>
      <c r="BF94" s="1664">
        <f t="shared" ca="1" si="57"/>
        <v>0</v>
      </c>
      <c r="BG94" s="1664">
        <f t="shared" ca="1" si="57"/>
        <v>0</v>
      </c>
      <c r="BH94" s="1664">
        <f t="shared" ca="1" si="57"/>
        <v>0</v>
      </c>
      <c r="BI94" s="1664">
        <f t="shared" ca="1" si="57"/>
        <v>0</v>
      </c>
      <c r="BJ94" s="1664">
        <f t="shared" ca="1" si="57"/>
        <v>0</v>
      </c>
      <c r="BK94" s="1664">
        <f t="shared" ca="1" si="57"/>
        <v>0</v>
      </c>
      <c r="BL94" s="1664">
        <f t="shared" ca="1" si="57"/>
        <v>0</v>
      </c>
      <c r="BM94" s="1664">
        <f t="shared" ca="1" si="57"/>
        <v>0</v>
      </c>
      <c r="BN94" s="1664">
        <f t="shared" ca="1" si="57"/>
        <v>0</v>
      </c>
      <c r="BO94" s="1664">
        <f t="shared" ca="1" si="57"/>
        <v>0</v>
      </c>
      <c r="BP94" s="1664">
        <f t="shared" ca="1" si="57"/>
        <v>0</v>
      </c>
      <c r="BQ94" s="1664">
        <f t="shared" ca="1" si="57"/>
        <v>0</v>
      </c>
      <c r="BR94" s="1664">
        <f t="shared" ca="1" si="57"/>
        <v>0</v>
      </c>
      <c r="BS94" s="1664">
        <f t="shared" ca="1" si="57"/>
        <v>0</v>
      </c>
      <c r="BT94" s="1664">
        <f t="shared" ca="1" si="57"/>
        <v>0</v>
      </c>
      <c r="BU94" s="1664">
        <f t="shared" ca="1" si="57"/>
        <v>0</v>
      </c>
      <c r="BV94" s="1664">
        <f t="shared" ca="1" si="57"/>
        <v>0</v>
      </c>
      <c r="BW94" s="1664">
        <f t="shared" ca="1" si="57"/>
        <v>0</v>
      </c>
      <c r="BX94" s="1664">
        <f t="shared" ref="BX94:DS94" ca="1" si="58">BX93-BX68</f>
        <v>0</v>
      </c>
      <c r="BY94" s="1664">
        <f t="shared" ca="1" si="58"/>
        <v>0</v>
      </c>
      <c r="BZ94" s="1664">
        <f t="shared" ca="1" si="58"/>
        <v>0</v>
      </c>
      <c r="CA94" s="1664">
        <f t="shared" ca="1" si="58"/>
        <v>0</v>
      </c>
      <c r="CB94" s="1664">
        <f t="shared" ca="1" si="58"/>
        <v>0</v>
      </c>
      <c r="CC94" s="1664">
        <f t="shared" ca="1" si="58"/>
        <v>0</v>
      </c>
      <c r="CD94" s="1664">
        <f t="shared" ca="1" si="58"/>
        <v>0</v>
      </c>
      <c r="CE94" s="1664">
        <f t="shared" ca="1" si="58"/>
        <v>0</v>
      </c>
      <c r="CF94" s="1664">
        <f t="shared" ca="1" si="58"/>
        <v>0</v>
      </c>
      <c r="CG94" s="1664">
        <f t="shared" ca="1" si="58"/>
        <v>0</v>
      </c>
      <c r="CH94" s="1664">
        <f t="shared" ca="1" si="58"/>
        <v>0</v>
      </c>
      <c r="CI94" s="1664">
        <f t="shared" ca="1" si="58"/>
        <v>0</v>
      </c>
      <c r="CJ94" s="1664">
        <f t="shared" ca="1" si="58"/>
        <v>0</v>
      </c>
      <c r="CK94" s="1664">
        <f t="shared" ca="1" si="58"/>
        <v>0</v>
      </c>
      <c r="CL94" s="1664">
        <f t="shared" ca="1" si="58"/>
        <v>0</v>
      </c>
      <c r="CM94" s="1664">
        <f t="shared" ca="1" si="58"/>
        <v>0</v>
      </c>
      <c r="CN94" s="1664">
        <f t="shared" ca="1" si="58"/>
        <v>0</v>
      </c>
      <c r="CO94" s="1664">
        <f t="shared" ca="1" si="58"/>
        <v>0</v>
      </c>
      <c r="CP94" s="1664">
        <f t="shared" ca="1" si="58"/>
        <v>0</v>
      </c>
      <c r="CQ94" s="1664">
        <f t="shared" ca="1" si="58"/>
        <v>0</v>
      </c>
      <c r="CR94" s="1664">
        <f t="shared" ca="1" si="58"/>
        <v>0</v>
      </c>
      <c r="CS94" s="1664">
        <f t="shared" ca="1" si="58"/>
        <v>0</v>
      </c>
      <c r="CT94" s="1664">
        <f t="shared" ca="1" si="58"/>
        <v>0</v>
      </c>
      <c r="CU94" s="1664">
        <f t="shared" ca="1" si="58"/>
        <v>0</v>
      </c>
      <c r="CV94" s="1664">
        <f t="shared" ca="1" si="58"/>
        <v>0</v>
      </c>
      <c r="CW94" s="1664">
        <f t="shared" ca="1" si="58"/>
        <v>0</v>
      </c>
      <c r="CX94" s="1664">
        <f t="shared" ca="1" si="58"/>
        <v>0</v>
      </c>
      <c r="CY94" s="1664">
        <f t="shared" ca="1" si="58"/>
        <v>0</v>
      </c>
      <c r="CZ94" s="1664">
        <f t="shared" ca="1" si="58"/>
        <v>0</v>
      </c>
      <c r="DA94" s="1664">
        <f t="shared" ca="1" si="58"/>
        <v>0</v>
      </c>
      <c r="DB94" s="1664">
        <f t="shared" ca="1" si="58"/>
        <v>0</v>
      </c>
      <c r="DC94" s="1664">
        <f t="shared" ca="1" si="58"/>
        <v>0</v>
      </c>
      <c r="DD94" s="1664">
        <f t="shared" ca="1" si="58"/>
        <v>0</v>
      </c>
      <c r="DE94" s="1664">
        <f t="shared" ca="1" si="58"/>
        <v>0</v>
      </c>
      <c r="DF94" s="1664">
        <f t="shared" ca="1" si="58"/>
        <v>0</v>
      </c>
      <c r="DG94" s="1664">
        <f t="shared" ca="1" si="58"/>
        <v>0</v>
      </c>
      <c r="DH94" s="1664">
        <f t="shared" ca="1" si="58"/>
        <v>0</v>
      </c>
      <c r="DI94" s="1664">
        <f t="shared" ca="1" si="58"/>
        <v>0</v>
      </c>
      <c r="DJ94" s="1664">
        <f t="shared" ca="1" si="58"/>
        <v>0</v>
      </c>
      <c r="DK94" s="1664">
        <f t="shared" ca="1" si="58"/>
        <v>0</v>
      </c>
      <c r="DL94" s="1664">
        <f t="shared" ca="1" si="58"/>
        <v>0</v>
      </c>
      <c r="DM94" s="1664">
        <f t="shared" ca="1" si="58"/>
        <v>0</v>
      </c>
      <c r="DN94" s="1664">
        <f t="shared" ca="1" si="58"/>
        <v>0</v>
      </c>
      <c r="DO94" s="1664">
        <f t="shared" ca="1" si="58"/>
        <v>0</v>
      </c>
      <c r="DP94" s="1664">
        <f t="shared" ca="1" si="58"/>
        <v>0</v>
      </c>
      <c r="DQ94" s="1664">
        <f t="shared" ca="1" si="58"/>
        <v>0</v>
      </c>
      <c r="DR94" s="1664">
        <f t="shared" ca="1" si="58"/>
        <v>0</v>
      </c>
      <c r="DS94" s="1664">
        <f t="shared" ca="1" si="58"/>
        <v>0</v>
      </c>
      <c r="DT94" s="1485" t="s">
        <v>65</v>
      </c>
    </row>
    <row r="95" spans="1:124">
      <c r="B95" s="1746"/>
      <c r="C95" s="1805"/>
      <c r="DT95" s="1485" t="s">
        <v>65</v>
      </c>
    </row>
    <row r="96" spans="1:124">
      <c r="C96" s="1805"/>
      <c r="DT96" s="1485" t="s">
        <v>65</v>
      </c>
    </row>
    <row r="97" spans="3:124">
      <c r="C97" s="1805"/>
      <c r="D97" s="1850"/>
      <c r="E97" s="1850"/>
      <c r="F97" s="1850"/>
      <c r="G97" s="1850"/>
      <c r="H97" s="1850"/>
      <c r="I97" s="1850"/>
      <c r="J97" s="1850"/>
      <c r="K97" s="1850"/>
      <c r="L97" s="1850"/>
      <c r="M97" s="1850"/>
      <c r="N97" s="1850"/>
      <c r="O97" s="1850"/>
      <c r="P97" s="1850"/>
      <c r="Q97" s="1850"/>
      <c r="R97" s="1850"/>
      <c r="S97" s="1850"/>
      <c r="T97" s="1850"/>
      <c r="U97" s="1850"/>
      <c r="V97" s="1850"/>
      <c r="W97" s="1850"/>
      <c r="DT97" s="1485" t="s">
        <v>65</v>
      </c>
    </row>
    <row r="98" spans="3:124">
      <c r="C98" s="1805"/>
      <c r="DT98" s="1485" t="s">
        <v>65</v>
      </c>
    </row>
    <row r="99" spans="3:124">
      <c r="C99" s="1805"/>
      <c r="DT99" s="1485" t="s">
        <v>65</v>
      </c>
    </row>
    <row r="100" spans="3:124">
      <c r="C100" s="1805"/>
      <c r="DT100" s="1485" t="s">
        <v>65</v>
      </c>
    </row>
    <row r="101" spans="3:124">
      <c r="C101" s="1805"/>
      <c r="DT101" s="1485" t="s">
        <v>65</v>
      </c>
    </row>
    <row r="102" spans="3:124">
      <c r="C102" s="1805"/>
      <c r="DT102" s="1485" t="s">
        <v>65</v>
      </c>
    </row>
    <row r="103" spans="3:124">
      <c r="C103" s="1805"/>
      <c r="DT103" s="1485" t="s">
        <v>65</v>
      </c>
    </row>
    <row r="104" spans="3:124">
      <c r="C104" s="1805"/>
      <c r="DT104" s="1485" t="s">
        <v>65</v>
      </c>
    </row>
    <row r="105" spans="3:124">
      <c r="C105" s="1805"/>
      <c r="DT105" s="1485" t="s">
        <v>65</v>
      </c>
    </row>
    <row r="106" spans="3:124">
      <c r="C106" s="1805"/>
      <c r="DT106" s="1485" t="s">
        <v>65</v>
      </c>
    </row>
    <row r="107" spans="3:124">
      <c r="C107" s="1805"/>
      <c r="DT107" s="1485" t="s">
        <v>65</v>
      </c>
    </row>
    <row r="108" spans="3:124">
      <c r="C108" s="1805"/>
      <c r="DT108" s="1485" t="s">
        <v>65</v>
      </c>
    </row>
    <row r="109" spans="3:124">
      <c r="C109" s="1805"/>
    </row>
    <row r="110" spans="3:124">
      <c r="C110" s="1805"/>
    </row>
    <row r="111" spans="3:124">
      <c r="C111" s="1805"/>
    </row>
    <row r="112" spans="3:124">
      <c r="C112" s="1805"/>
    </row>
    <row r="113" spans="3:3">
      <c r="C113" s="1805"/>
    </row>
    <row r="114" spans="3:3">
      <c r="C114" s="1805"/>
    </row>
    <row r="115" spans="3:3">
      <c r="C115" s="1805"/>
    </row>
    <row r="116" spans="3:3">
      <c r="C116" s="1805"/>
    </row>
    <row r="117" spans="3:3">
      <c r="C117" s="1805"/>
    </row>
    <row r="118" spans="3:3">
      <c r="C118" s="1805"/>
    </row>
    <row r="119" spans="3:3">
      <c r="C119" s="1805"/>
    </row>
    <row r="120" spans="3:3">
      <c r="C120" s="1805"/>
    </row>
    <row r="121" spans="3:3">
      <c r="C121" s="1805"/>
    </row>
    <row r="122" spans="3:3">
      <c r="C122" s="1805"/>
    </row>
    <row r="123" spans="3:3">
      <c r="C123" s="1805"/>
    </row>
    <row r="124" spans="3:3">
      <c r="C124" s="1805"/>
    </row>
    <row r="125" spans="3:3">
      <c r="C125" s="1805"/>
    </row>
    <row r="126" spans="3:3">
      <c r="C126" s="1805"/>
    </row>
    <row r="127" spans="3:3">
      <c r="C127" s="1805"/>
    </row>
    <row r="128" spans="3:3">
      <c r="C128" s="1805"/>
    </row>
    <row r="129" spans="3:3">
      <c r="C129" s="1805"/>
    </row>
    <row r="130" spans="3:3">
      <c r="C130" s="1805"/>
    </row>
    <row r="131" spans="3:3">
      <c r="C131" s="1805"/>
    </row>
    <row r="132" spans="3:3">
      <c r="C132" s="1805"/>
    </row>
    <row r="133" spans="3:3">
      <c r="C133" s="1805"/>
    </row>
    <row r="134" spans="3:3">
      <c r="C134" s="1805"/>
    </row>
    <row r="135" spans="3:3">
      <c r="C135" s="1805"/>
    </row>
    <row r="136" spans="3:3">
      <c r="C136" s="1805"/>
    </row>
    <row r="137" spans="3:3">
      <c r="C137" s="1805"/>
    </row>
    <row r="138" spans="3:3">
      <c r="C138" s="1805"/>
    </row>
    <row r="139" spans="3:3">
      <c r="C139" s="1805"/>
    </row>
    <row r="140" spans="3:3">
      <c r="C140" s="1805"/>
    </row>
    <row r="141" spans="3:3">
      <c r="C141" s="1805"/>
    </row>
    <row r="142" spans="3:3">
      <c r="C142" s="1805"/>
    </row>
    <row r="143" spans="3:3">
      <c r="C143" s="1805"/>
    </row>
    <row r="144" spans="3:3">
      <c r="C144" s="1805"/>
    </row>
    <row r="145" spans="3:3">
      <c r="C145" s="1805"/>
    </row>
    <row r="146" spans="3:3">
      <c r="C146" s="1805"/>
    </row>
    <row r="147" spans="3:3">
      <c r="C147" s="1805"/>
    </row>
    <row r="148" spans="3:3">
      <c r="C148" s="1805"/>
    </row>
    <row r="149" spans="3:3">
      <c r="C149" s="1805"/>
    </row>
    <row r="150" spans="3:3">
      <c r="C150" s="180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76E"/>
  </sheetPr>
  <dimension ref="A1:EO142"/>
  <sheetViews>
    <sheetView showGridLines="0" zoomScale="80" zoomScaleNormal="80" zoomScaleSheetLayoutView="85" workbookViewId="0">
      <pane xSplit="8" ySplit="16" topLeftCell="I17" activePane="bottomRight" state="frozen"/>
      <selection pane="topRight" activeCell="I1" sqref="I1"/>
      <selection pane="bottomLeft" activeCell="A18" sqref="A18"/>
      <selection pane="bottomRight" activeCell="J10" sqref="J10"/>
    </sheetView>
  </sheetViews>
  <sheetFormatPr defaultColWidth="8.85546875" defaultRowHeight="12.75"/>
  <cols>
    <col min="1" max="1" width="1.7109375" style="462" customWidth="1"/>
    <col min="2" max="2" width="13.5703125" style="462" customWidth="1"/>
    <col min="3" max="3" width="3.42578125" style="462" customWidth="1"/>
    <col min="4" max="4" width="24.42578125" style="462" bestFit="1" customWidth="1"/>
    <col min="5" max="5" width="20" style="462" customWidth="1"/>
    <col min="6" max="6" width="3.140625" style="462" customWidth="1"/>
    <col min="7" max="7" width="14.28515625" style="462" bestFit="1" customWidth="1"/>
    <col min="8" max="8" width="1.7109375" style="462" customWidth="1"/>
    <col min="9" max="129" width="14.42578125" style="462" customWidth="1"/>
    <col min="130" max="130" width="8" style="462" customWidth="1"/>
    <col min="131" max="131" width="2.42578125" style="462" customWidth="1"/>
    <col min="132" max="132" width="0.85546875" style="392" customWidth="1"/>
    <col min="133" max="16384" width="8.85546875" style="392"/>
  </cols>
  <sheetData>
    <row r="1" spans="1:145" s="390" customFormat="1">
      <c r="A1" s="389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  <c r="BS1" s="389"/>
      <c r="BT1" s="389"/>
      <c r="BU1" s="389"/>
      <c r="BV1" s="389"/>
      <c r="BW1" s="389"/>
      <c r="BX1" s="389"/>
      <c r="BY1" s="389"/>
      <c r="BZ1" s="389"/>
      <c r="CA1" s="389"/>
      <c r="CB1" s="389"/>
      <c r="CC1" s="389"/>
      <c r="CD1" s="389"/>
      <c r="CE1" s="389"/>
      <c r="CF1" s="389"/>
      <c r="CG1" s="389"/>
      <c r="CH1" s="389"/>
      <c r="CI1" s="389"/>
      <c r="CJ1" s="389"/>
      <c r="CK1" s="389"/>
      <c r="CL1" s="389"/>
      <c r="CM1" s="389"/>
      <c r="CN1" s="389"/>
      <c r="CO1" s="389"/>
      <c r="CP1" s="389"/>
      <c r="CQ1" s="389"/>
      <c r="CR1" s="389"/>
      <c r="CS1" s="389"/>
      <c r="CT1" s="389"/>
      <c r="CU1" s="389"/>
      <c r="CV1" s="389"/>
      <c r="CW1" s="389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DH1" s="389"/>
      <c r="DI1" s="389"/>
      <c r="DJ1" s="389"/>
      <c r="DK1" s="389"/>
      <c r="DL1" s="389"/>
      <c r="DM1" s="389"/>
      <c r="DN1" s="389"/>
      <c r="DO1" s="389"/>
      <c r="DP1" s="389"/>
      <c r="DQ1" s="389"/>
      <c r="DR1" s="389"/>
      <c r="DS1" s="389"/>
      <c r="DT1" s="389"/>
      <c r="DU1" s="389"/>
      <c r="DV1" s="389"/>
      <c r="DW1" s="389"/>
      <c r="DX1" s="389"/>
      <c r="DY1" s="389"/>
      <c r="DZ1" s="389"/>
      <c r="EA1" s="389"/>
    </row>
    <row r="2" spans="1:145" s="390" customForma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  <c r="AQ2" s="389"/>
      <c r="AR2" s="389"/>
      <c r="AS2" s="389"/>
      <c r="AT2" s="389"/>
      <c r="AU2" s="389"/>
      <c r="AV2" s="389"/>
      <c r="AW2" s="389"/>
      <c r="AX2" s="389"/>
      <c r="AY2" s="389"/>
      <c r="AZ2" s="389"/>
      <c r="BA2" s="389"/>
      <c r="BB2" s="389"/>
      <c r="BC2" s="389"/>
      <c r="BD2" s="389"/>
      <c r="BE2" s="389"/>
      <c r="BF2" s="389"/>
      <c r="BG2" s="389"/>
      <c r="BH2" s="389"/>
      <c r="BI2" s="389"/>
      <c r="BJ2" s="389"/>
      <c r="BK2" s="389"/>
      <c r="BL2" s="389"/>
      <c r="BM2" s="389"/>
      <c r="BN2" s="389"/>
      <c r="BO2" s="389"/>
      <c r="BP2" s="389"/>
      <c r="BQ2" s="389"/>
      <c r="BR2" s="389"/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89"/>
      <c r="CD2" s="389"/>
      <c r="CE2" s="389"/>
      <c r="CF2" s="389"/>
      <c r="CG2" s="389"/>
      <c r="CH2" s="389"/>
      <c r="CI2" s="389"/>
      <c r="CJ2" s="389"/>
      <c r="CK2" s="389"/>
      <c r="CL2" s="389"/>
      <c r="CM2" s="389"/>
      <c r="CN2" s="389"/>
      <c r="CO2" s="389"/>
      <c r="CP2" s="389"/>
      <c r="CQ2" s="389"/>
      <c r="CR2" s="389"/>
      <c r="CS2" s="389"/>
      <c r="CT2" s="389"/>
      <c r="CU2" s="389"/>
      <c r="CV2" s="389"/>
      <c r="CW2" s="389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DH2" s="389"/>
      <c r="DI2" s="389"/>
      <c r="DJ2" s="389"/>
      <c r="DK2" s="389"/>
      <c r="DL2" s="389"/>
      <c r="DM2" s="389"/>
      <c r="DN2" s="389"/>
      <c r="DO2" s="389"/>
      <c r="DP2" s="389"/>
      <c r="DQ2" s="389"/>
      <c r="DR2" s="389"/>
      <c r="DS2" s="389"/>
      <c r="DT2" s="389"/>
      <c r="DU2" s="389"/>
      <c r="DV2" s="389"/>
      <c r="DW2" s="389"/>
      <c r="DX2" s="389"/>
      <c r="DY2" s="389"/>
      <c r="DZ2" s="389"/>
      <c r="EA2" s="389"/>
    </row>
    <row r="3" spans="1:145" s="390" customFormat="1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389"/>
      <c r="BW3" s="389"/>
      <c r="BX3" s="389"/>
      <c r="BY3" s="389"/>
      <c r="BZ3" s="389"/>
      <c r="CA3" s="389"/>
      <c r="CB3" s="389"/>
      <c r="CC3" s="389"/>
      <c r="CD3" s="389"/>
      <c r="CE3" s="389"/>
      <c r="CF3" s="389"/>
      <c r="CG3" s="389"/>
      <c r="CH3" s="389"/>
      <c r="CI3" s="389"/>
      <c r="CJ3" s="389"/>
      <c r="CK3" s="389"/>
      <c r="CL3" s="389"/>
      <c r="CM3" s="389"/>
      <c r="CN3" s="389"/>
      <c r="CO3" s="389"/>
      <c r="CP3" s="389"/>
      <c r="CQ3" s="389"/>
      <c r="CR3" s="389"/>
      <c r="CS3" s="389"/>
      <c r="CT3" s="389"/>
      <c r="CU3" s="389"/>
      <c r="CV3" s="389"/>
      <c r="CW3" s="389"/>
      <c r="CX3" s="389"/>
      <c r="CY3" s="389"/>
      <c r="CZ3" s="389"/>
      <c r="DA3" s="389"/>
      <c r="DB3" s="389"/>
      <c r="DC3" s="389"/>
      <c r="DD3" s="389"/>
      <c r="DE3" s="389"/>
      <c r="DF3" s="389"/>
      <c r="DG3" s="389"/>
      <c r="DH3" s="389"/>
      <c r="DI3" s="389"/>
      <c r="DJ3" s="389"/>
      <c r="DK3" s="389"/>
      <c r="DL3" s="389"/>
      <c r="DM3" s="389"/>
      <c r="DN3" s="389"/>
      <c r="DO3" s="389"/>
      <c r="DP3" s="389"/>
      <c r="DQ3" s="389"/>
      <c r="DR3" s="389"/>
      <c r="DS3" s="389"/>
      <c r="DT3" s="389"/>
      <c r="DU3" s="389"/>
      <c r="DV3" s="389"/>
      <c r="DW3" s="389"/>
      <c r="DX3" s="389"/>
      <c r="DY3" s="389"/>
      <c r="DZ3" s="389"/>
      <c r="EA3" s="389"/>
    </row>
    <row r="4" spans="1:145" s="390" customForma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  <c r="BF4" s="389"/>
      <c r="BG4" s="389"/>
      <c r="BH4" s="389"/>
      <c r="BI4" s="389"/>
      <c r="BJ4" s="389"/>
      <c r="BK4" s="389"/>
      <c r="BL4" s="389"/>
      <c r="BM4" s="389"/>
      <c r="BN4" s="389"/>
      <c r="BO4" s="389"/>
      <c r="BP4" s="389"/>
      <c r="BQ4" s="389"/>
      <c r="BR4" s="389"/>
      <c r="BS4" s="389"/>
      <c r="BT4" s="389"/>
      <c r="BU4" s="389"/>
      <c r="BV4" s="389"/>
      <c r="BW4" s="389"/>
      <c r="BX4" s="389"/>
      <c r="BY4" s="389"/>
      <c r="BZ4" s="389"/>
      <c r="CA4" s="389"/>
      <c r="CB4" s="389"/>
      <c r="CC4" s="389"/>
      <c r="CD4" s="389"/>
      <c r="CE4" s="389"/>
      <c r="CF4" s="389"/>
      <c r="CG4" s="389"/>
      <c r="CH4" s="389"/>
      <c r="CI4" s="389"/>
      <c r="CJ4" s="389"/>
      <c r="CK4" s="389"/>
      <c r="CL4" s="389"/>
      <c r="CM4" s="389"/>
      <c r="CN4" s="389"/>
      <c r="CO4" s="389"/>
      <c r="CP4" s="389"/>
      <c r="CQ4" s="389"/>
      <c r="CR4" s="389"/>
      <c r="CS4" s="389"/>
      <c r="CT4" s="389"/>
      <c r="CU4" s="389"/>
      <c r="CV4" s="389"/>
      <c r="CW4" s="389"/>
      <c r="CX4" s="389"/>
      <c r="CY4" s="389"/>
      <c r="CZ4" s="389"/>
      <c r="DA4" s="389"/>
      <c r="DB4" s="389"/>
      <c r="DC4" s="389"/>
      <c r="DD4" s="389"/>
      <c r="DE4" s="389"/>
      <c r="DF4" s="389"/>
      <c r="DG4" s="389"/>
      <c r="DH4" s="389"/>
      <c r="DI4" s="389"/>
      <c r="DJ4" s="389"/>
      <c r="DK4" s="389"/>
      <c r="DL4" s="389"/>
      <c r="DM4" s="389"/>
      <c r="DN4" s="389"/>
      <c r="DO4" s="389"/>
      <c r="DP4" s="389"/>
      <c r="DQ4" s="389"/>
      <c r="DR4" s="389"/>
      <c r="DS4" s="389"/>
      <c r="DT4" s="389"/>
      <c r="DU4" s="389"/>
      <c r="DV4" s="389"/>
      <c r="DW4" s="389"/>
      <c r="DX4" s="389"/>
      <c r="DY4" s="389"/>
      <c r="DZ4" s="389"/>
      <c r="EA4" s="389"/>
    </row>
    <row r="5" spans="1:145">
      <c r="A5" s="391"/>
      <c r="B5" s="391"/>
      <c r="C5" s="697" t="s">
        <v>132</v>
      </c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  <c r="Y5" s="697"/>
      <c r="Z5" s="697"/>
      <c r="AA5" s="697"/>
      <c r="AB5" s="697"/>
      <c r="AC5" s="697"/>
      <c r="AD5" s="697"/>
      <c r="AE5" s="697"/>
      <c r="AF5" s="697"/>
      <c r="AG5" s="697"/>
      <c r="AH5" s="697"/>
      <c r="AI5" s="697"/>
      <c r="AJ5" s="697"/>
      <c r="AK5" s="697"/>
      <c r="AL5" s="697"/>
      <c r="AM5" s="697"/>
      <c r="AN5" s="697"/>
      <c r="AO5" s="697"/>
      <c r="AP5" s="697"/>
      <c r="AQ5" s="697"/>
      <c r="AR5" s="697"/>
      <c r="AS5" s="697"/>
      <c r="AT5" s="697"/>
      <c r="AU5" s="697"/>
      <c r="AV5" s="697"/>
      <c r="AW5" s="697"/>
      <c r="AX5" s="697"/>
      <c r="AY5" s="697"/>
      <c r="AZ5" s="697"/>
      <c r="BA5" s="697"/>
      <c r="BB5" s="697"/>
      <c r="BC5" s="697"/>
      <c r="BD5" s="697"/>
      <c r="BE5" s="697"/>
      <c r="BF5" s="697"/>
      <c r="BG5" s="697"/>
      <c r="BH5" s="697"/>
      <c r="BI5" s="697"/>
      <c r="BJ5" s="697"/>
      <c r="BK5" s="697"/>
      <c r="BL5" s="697"/>
      <c r="BM5" s="697"/>
      <c r="BN5" s="697"/>
      <c r="BO5" s="697"/>
      <c r="BP5" s="697"/>
      <c r="BQ5" s="697"/>
      <c r="BR5" s="697"/>
      <c r="BS5" s="697"/>
      <c r="BT5" s="697"/>
      <c r="BU5" s="697"/>
      <c r="BV5" s="697"/>
      <c r="BW5" s="697"/>
      <c r="BX5" s="697"/>
      <c r="BY5" s="697"/>
      <c r="BZ5" s="697"/>
      <c r="CA5" s="697"/>
      <c r="CB5" s="697"/>
      <c r="CC5" s="697"/>
      <c r="CD5" s="697"/>
      <c r="CE5" s="697"/>
      <c r="CF5" s="697"/>
      <c r="CG5" s="697"/>
      <c r="CH5" s="697"/>
      <c r="CI5" s="697"/>
      <c r="CJ5" s="697"/>
      <c r="CK5" s="697"/>
      <c r="CL5" s="697"/>
      <c r="CM5" s="697"/>
      <c r="CN5" s="697"/>
      <c r="CO5" s="697"/>
      <c r="CP5" s="697"/>
      <c r="CQ5" s="697"/>
      <c r="CR5" s="697"/>
      <c r="CS5" s="697"/>
      <c r="CT5" s="697"/>
      <c r="CU5" s="697"/>
      <c r="CV5" s="697"/>
      <c r="CW5" s="697"/>
      <c r="CX5" s="697"/>
      <c r="CY5" s="697"/>
      <c r="CZ5" s="697"/>
      <c r="DA5" s="697"/>
      <c r="DB5" s="697"/>
      <c r="DC5" s="697"/>
      <c r="DD5" s="697"/>
      <c r="DE5" s="697"/>
      <c r="DF5" s="697"/>
      <c r="DG5" s="697"/>
      <c r="DH5" s="697"/>
      <c r="DI5" s="697"/>
      <c r="DJ5" s="697"/>
      <c r="DK5" s="697"/>
      <c r="DL5" s="697"/>
      <c r="DM5" s="697"/>
      <c r="DN5" s="697"/>
      <c r="DO5" s="697"/>
      <c r="DP5" s="697"/>
      <c r="DQ5" s="697"/>
      <c r="DR5" s="697"/>
      <c r="DS5" s="697"/>
      <c r="DT5" s="697"/>
      <c r="DU5" s="697"/>
      <c r="DV5" s="697"/>
      <c r="DW5" s="697"/>
      <c r="DX5" s="697"/>
      <c r="DY5" s="697"/>
      <c r="DZ5" s="697"/>
      <c r="EA5" s="697"/>
      <c r="EB5" s="392" t="s">
        <v>65</v>
      </c>
    </row>
    <row r="6" spans="1:145" s="390" customFormat="1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393"/>
      <c r="BT6" s="393"/>
      <c r="BU6" s="393"/>
      <c r="BV6" s="393"/>
      <c r="BW6" s="393"/>
      <c r="BX6" s="393"/>
      <c r="BY6" s="393"/>
      <c r="BZ6" s="393"/>
      <c r="CA6" s="393"/>
      <c r="CB6" s="393"/>
      <c r="CC6" s="393"/>
      <c r="CD6" s="393"/>
      <c r="CE6" s="393"/>
      <c r="CF6" s="393"/>
      <c r="CG6" s="393"/>
      <c r="CH6" s="393"/>
      <c r="CI6" s="393"/>
      <c r="CJ6" s="393"/>
      <c r="CK6" s="393"/>
      <c r="CL6" s="393"/>
      <c r="CM6" s="393"/>
      <c r="CN6" s="393"/>
      <c r="CO6" s="393"/>
      <c r="CP6" s="393"/>
      <c r="CQ6" s="393"/>
      <c r="CR6" s="393"/>
      <c r="CS6" s="393"/>
      <c r="CT6" s="393"/>
      <c r="CU6" s="393"/>
      <c r="CV6" s="393"/>
      <c r="CW6" s="393"/>
      <c r="CX6" s="393"/>
      <c r="CY6" s="393"/>
      <c r="CZ6" s="393"/>
      <c r="DA6" s="393"/>
      <c r="DB6" s="393"/>
      <c r="DC6" s="393"/>
      <c r="DD6" s="393"/>
      <c r="DE6" s="393"/>
      <c r="DF6" s="393"/>
      <c r="DG6" s="393"/>
      <c r="DH6" s="393"/>
      <c r="DI6" s="393"/>
      <c r="DJ6" s="393"/>
      <c r="DK6" s="393"/>
      <c r="DL6" s="393"/>
      <c r="DM6" s="393"/>
      <c r="DN6" s="393"/>
      <c r="DO6" s="393"/>
      <c r="DP6" s="393"/>
      <c r="DQ6" s="393"/>
      <c r="DR6" s="393"/>
      <c r="DS6" s="393"/>
      <c r="DT6" s="393"/>
      <c r="DU6" s="393"/>
      <c r="DV6" s="393"/>
      <c r="DW6" s="393"/>
      <c r="DX6" s="393"/>
      <c r="DY6" s="393"/>
      <c r="DZ6" s="389"/>
      <c r="EA6" s="389"/>
    </row>
    <row r="7" spans="1:145" s="390" customFormat="1" ht="25.5">
      <c r="A7" s="393"/>
      <c r="B7" s="393"/>
      <c r="C7" s="874"/>
      <c r="D7" s="874"/>
      <c r="E7" s="875"/>
      <c r="F7" s="875"/>
      <c r="G7" s="875"/>
      <c r="H7" s="875"/>
      <c r="I7" s="876" t="s">
        <v>99</v>
      </c>
      <c r="J7" s="877" t="s">
        <v>100</v>
      </c>
      <c r="K7" s="877" t="s">
        <v>101</v>
      </c>
      <c r="L7" s="877" t="s">
        <v>102</v>
      </c>
      <c r="M7" s="878"/>
      <c r="N7" s="878"/>
      <c r="O7" s="878"/>
      <c r="P7" s="878"/>
      <c r="Q7" s="878"/>
      <c r="R7" s="878"/>
      <c r="S7" s="878"/>
      <c r="T7" s="878"/>
      <c r="U7" s="878"/>
      <c r="V7" s="878"/>
      <c r="W7" s="878"/>
      <c r="X7" s="878"/>
      <c r="Y7" s="878"/>
      <c r="Z7" s="878"/>
      <c r="AA7" s="878"/>
      <c r="AB7" s="878"/>
      <c r="AC7" s="878"/>
      <c r="AD7" s="878"/>
      <c r="AE7" s="878"/>
      <c r="AF7" s="878"/>
      <c r="AG7" s="878"/>
      <c r="AH7" s="878"/>
      <c r="AI7" s="878"/>
      <c r="AJ7" s="878"/>
      <c r="AK7" s="878"/>
      <c r="AL7" s="878"/>
      <c r="AM7" s="878"/>
      <c r="AN7" s="878"/>
      <c r="AO7" s="878"/>
      <c r="AP7" s="878"/>
      <c r="AQ7" s="878"/>
      <c r="AR7" s="878"/>
      <c r="AS7" s="878"/>
      <c r="AT7" s="878"/>
      <c r="AU7" s="878"/>
      <c r="AV7" s="878"/>
      <c r="AW7" s="878"/>
      <c r="AX7" s="878"/>
      <c r="AY7" s="878"/>
      <c r="AZ7" s="878"/>
      <c r="BA7" s="878"/>
      <c r="BB7" s="878"/>
      <c r="BC7" s="878"/>
      <c r="BD7" s="878"/>
      <c r="BE7" s="878"/>
      <c r="BF7" s="878"/>
      <c r="BG7" s="878"/>
      <c r="BH7" s="878"/>
      <c r="BI7" s="878"/>
      <c r="BJ7" s="878"/>
      <c r="BK7" s="878"/>
      <c r="BL7" s="878"/>
      <c r="BM7" s="878"/>
      <c r="BN7" s="878"/>
      <c r="BO7" s="878"/>
      <c r="BP7" s="878"/>
      <c r="BQ7" s="878"/>
      <c r="BR7" s="878"/>
      <c r="BS7" s="878"/>
      <c r="BT7" s="878"/>
      <c r="BU7" s="878"/>
      <c r="BV7" s="878"/>
      <c r="BW7" s="878"/>
      <c r="BX7" s="878"/>
      <c r="BY7" s="878"/>
      <c r="BZ7" s="878"/>
      <c r="CA7" s="878"/>
      <c r="CB7" s="878"/>
      <c r="CC7" s="878"/>
      <c r="CD7" s="878"/>
      <c r="CE7" s="878"/>
      <c r="CF7" s="878"/>
      <c r="CG7" s="878"/>
      <c r="CH7" s="878"/>
      <c r="CI7" s="878"/>
      <c r="CJ7" s="878"/>
      <c r="CK7" s="878"/>
      <c r="CL7" s="878"/>
      <c r="CM7" s="878"/>
      <c r="CN7" s="878"/>
      <c r="CO7" s="878"/>
      <c r="CP7" s="878"/>
      <c r="CQ7" s="878"/>
      <c r="CR7" s="878"/>
      <c r="CS7" s="878"/>
      <c r="CT7" s="878"/>
      <c r="CU7" s="878"/>
      <c r="CV7" s="878"/>
      <c r="CW7" s="878"/>
      <c r="CX7" s="878"/>
      <c r="CY7" s="878"/>
      <c r="CZ7" s="878"/>
      <c r="DA7" s="878"/>
      <c r="DB7" s="878"/>
      <c r="DC7" s="878"/>
      <c r="DD7" s="878"/>
      <c r="DE7" s="878"/>
      <c r="DF7" s="878"/>
      <c r="DG7" s="878"/>
      <c r="DH7" s="878"/>
      <c r="DI7" s="878"/>
      <c r="DJ7" s="878"/>
      <c r="DK7" s="878"/>
      <c r="DL7" s="878"/>
      <c r="DM7" s="878"/>
      <c r="DN7" s="878"/>
      <c r="DO7" s="878"/>
      <c r="DP7" s="878"/>
      <c r="DQ7" s="878"/>
      <c r="DR7" s="878"/>
      <c r="DS7" s="878"/>
      <c r="DT7" s="878"/>
      <c r="DU7" s="878"/>
      <c r="DV7" s="878"/>
      <c r="DW7" s="878"/>
      <c r="DX7" s="878"/>
      <c r="DY7" s="878"/>
      <c r="DZ7" s="874"/>
      <c r="EA7" s="874"/>
    </row>
    <row r="8" spans="1:145" s="390" customFormat="1">
      <c r="A8" s="389"/>
      <c r="B8" s="389"/>
      <c r="C8" s="389"/>
      <c r="D8" s="389"/>
      <c r="E8" s="879"/>
      <c r="F8" s="879"/>
      <c r="G8" s="879"/>
      <c r="H8" s="879"/>
      <c r="I8" s="394" t="s">
        <v>103</v>
      </c>
      <c r="J8" s="394"/>
      <c r="K8" s="394" t="s">
        <v>104</v>
      </c>
      <c r="L8" s="394" t="s">
        <v>105</v>
      </c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  <c r="AM8" s="389"/>
      <c r="AN8" s="389"/>
      <c r="AO8" s="389"/>
      <c r="AP8" s="389"/>
      <c r="AQ8" s="389"/>
      <c r="AR8" s="389"/>
      <c r="AS8" s="389"/>
      <c r="AT8" s="389"/>
      <c r="AU8" s="389"/>
      <c r="AV8" s="389"/>
      <c r="AW8" s="389"/>
      <c r="AX8" s="389"/>
      <c r="AY8" s="389"/>
      <c r="AZ8" s="389"/>
      <c r="BA8" s="389"/>
      <c r="BB8" s="389"/>
      <c r="BC8" s="389"/>
      <c r="BD8" s="389"/>
      <c r="BE8" s="389"/>
      <c r="BF8" s="389"/>
      <c r="BG8" s="389"/>
      <c r="BH8" s="389"/>
      <c r="BI8" s="389"/>
      <c r="BJ8" s="389"/>
      <c r="BK8" s="389"/>
      <c r="BL8" s="389"/>
      <c r="BM8" s="389"/>
      <c r="BN8" s="389"/>
      <c r="BO8" s="389"/>
      <c r="BP8" s="389"/>
      <c r="BQ8" s="389"/>
      <c r="BR8" s="389"/>
      <c r="BS8" s="389"/>
      <c r="BT8" s="389"/>
      <c r="BU8" s="389"/>
      <c r="BV8" s="389"/>
      <c r="BW8" s="389"/>
      <c r="BX8" s="389"/>
      <c r="BY8" s="389"/>
      <c r="BZ8" s="389"/>
      <c r="CA8" s="389"/>
      <c r="CB8" s="389"/>
      <c r="CC8" s="389"/>
      <c r="CD8" s="389"/>
      <c r="CE8" s="389"/>
      <c r="CF8" s="389"/>
      <c r="CG8" s="389"/>
      <c r="CH8" s="389"/>
      <c r="CI8" s="389"/>
      <c r="CJ8" s="389"/>
      <c r="CK8" s="389"/>
      <c r="CL8" s="389"/>
      <c r="CM8" s="389"/>
      <c r="CN8" s="389"/>
      <c r="CO8" s="389"/>
      <c r="CP8" s="389"/>
      <c r="CQ8" s="389"/>
      <c r="CR8" s="389"/>
      <c r="CS8" s="389"/>
      <c r="CT8" s="389"/>
      <c r="CU8" s="389"/>
      <c r="CV8" s="389"/>
      <c r="CW8" s="389"/>
      <c r="CX8" s="389"/>
      <c r="CY8" s="389"/>
      <c r="CZ8" s="389"/>
      <c r="DA8" s="389"/>
      <c r="DB8" s="389"/>
      <c r="DC8" s="389"/>
      <c r="DD8" s="389"/>
      <c r="DE8" s="389"/>
      <c r="DF8" s="389"/>
      <c r="DG8" s="389"/>
      <c r="DH8" s="389"/>
      <c r="DI8" s="389"/>
      <c r="DJ8" s="389"/>
      <c r="DK8" s="389"/>
      <c r="DL8" s="389"/>
      <c r="DM8" s="389"/>
      <c r="DN8" s="389"/>
      <c r="DO8" s="389"/>
      <c r="DP8" s="389"/>
      <c r="DQ8" s="389"/>
      <c r="DR8" s="389"/>
      <c r="DS8" s="389"/>
      <c r="DT8" s="389"/>
      <c r="DU8" s="389"/>
      <c r="DV8" s="389"/>
      <c r="DW8" s="389"/>
      <c r="DX8" s="389"/>
      <c r="DY8" s="389"/>
      <c r="DZ8" s="389"/>
      <c r="EA8" s="389"/>
    </row>
    <row r="9" spans="1:145" s="390" customFormat="1">
      <c r="A9" s="389"/>
      <c r="B9" s="389"/>
      <c r="C9" s="389"/>
      <c r="D9" s="389" t="s">
        <v>106</v>
      </c>
      <c r="E9" s="879"/>
      <c r="F9" s="879"/>
      <c r="G9" s="879"/>
      <c r="H9" s="879"/>
      <c r="I9" s="395">
        <v>0.08</v>
      </c>
      <c r="J9" s="395">
        <v>0.9</v>
      </c>
      <c r="K9" s="396">
        <f>1-J9</f>
        <v>9.9999999999999978E-2</v>
      </c>
      <c r="L9" s="395">
        <v>0</v>
      </c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  <c r="AM9" s="389"/>
      <c r="AN9" s="389"/>
      <c r="AO9" s="389"/>
      <c r="AP9" s="389"/>
      <c r="AQ9" s="389"/>
      <c r="AR9" s="389"/>
      <c r="AS9" s="389"/>
      <c r="AT9" s="389"/>
      <c r="AU9" s="389"/>
      <c r="AV9" s="389"/>
      <c r="AW9" s="389"/>
      <c r="AX9" s="389"/>
      <c r="AY9" s="389"/>
      <c r="AZ9" s="389"/>
      <c r="BA9" s="389"/>
      <c r="BB9" s="389"/>
      <c r="BC9" s="389"/>
      <c r="BD9" s="389"/>
      <c r="BE9" s="389"/>
      <c r="BF9" s="389"/>
      <c r="BG9" s="389"/>
      <c r="BH9" s="389"/>
      <c r="BI9" s="389"/>
      <c r="BJ9" s="389"/>
      <c r="BK9" s="389"/>
      <c r="BL9" s="389"/>
      <c r="BM9" s="389"/>
      <c r="BN9" s="389"/>
      <c r="BO9" s="389"/>
      <c r="BP9" s="389"/>
      <c r="BQ9" s="389"/>
      <c r="BR9" s="389"/>
      <c r="BS9" s="389"/>
      <c r="BT9" s="389"/>
      <c r="BU9" s="389"/>
      <c r="BV9" s="389"/>
      <c r="BW9" s="389"/>
      <c r="BX9" s="389"/>
      <c r="BY9" s="389"/>
      <c r="BZ9" s="389"/>
      <c r="CA9" s="389"/>
      <c r="CB9" s="389"/>
      <c r="CC9" s="389"/>
      <c r="CD9" s="389"/>
      <c r="CE9" s="389"/>
      <c r="CF9" s="389"/>
      <c r="CG9" s="389"/>
      <c r="CH9" s="389"/>
      <c r="CI9" s="389"/>
      <c r="CJ9" s="389"/>
      <c r="CK9" s="389"/>
      <c r="CL9" s="389"/>
      <c r="CM9" s="389"/>
      <c r="CN9" s="389"/>
      <c r="CO9" s="389"/>
      <c r="CP9" s="389"/>
      <c r="CQ9" s="389"/>
      <c r="CR9" s="389"/>
      <c r="CS9" s="389"/>
      <c r="CT9" s="389"/>
      <c r="CU9" s="389"/>
      <c r="CV9" s="389"/>
      <c r="CW9" s="389"/>
      <c r="CX9" s="389"/>
      <c r="CY9" s="389"/>
      <c r="CZ9" s="389"/>
      <c r="DA9" s="389"/>
      <c r="DB9" s="389"/>
      <c r="DC9" s="389"/>
      <c r="DD9" s="389"/>
      <c r="DE9" s="389"/>
      <c r="DF9" s="389"/>
      <c r="DG9" s="389"/>
      <c r="DH9" s="389"/>
      <c r="DI9" s="389"/>
      <c r="DJ9" s="389"/>
      <c r="DK9" s="389"/>
      <c r="DL9" s="389"/>
      <c r="DM9" s="389"/>
      <c r="DN9" s="389"/>
      <c r="DO9" s="389"/>
      <c r="DP9" s="389"/>
      <c r="DQ9" s="389"/>
      <c r="DR9" s="389"/>
      <c r="DS9" s="389"/>
      <c r="DT9" s="389"/>
      <c r="DU9" s="389"/>
      <c r="DV9" s="389"/>
      <c r="DW9" s="389"/>
      <c r="DX9" s="389"/>
      <c r="DY9" s="389"/>
      <c r="DZ9" s="389"/>
      <c r="EA9" s="389"/>
    </row>
    <row r="10" spans="1:145">
      <c r="A10" s="389"/>
      <c r="B10" s="389"/>
      <c r="C10" s="389"/>
      <c r="D10" s="389" t="s">
        <v>107</v>
      </c>
      <c r="E10" s="879"/>
      <c r="F10" s="879"/>
      <c r="G10" s="879"/>
      <c r="H10" s="879"/>
      <c r="I10" s="395">
        <v>0.12</v>
      </c>
      <c r="J10" s="396">
        <f t="shared" ref="J10:K12" si="0">(1-$L10)*J$9</f>
        <v>0.72000000000000008</v>
      </c>
      <c r="K10" s="396">
        <f t="shared" si="0"/>
        <v>7.9999999999999988E-2</v>
      </c>
      <c r="L10" s="395">
        <v>0.2</v>
      </c>
      <c r="M10" s="389"/>
      <c r="N10" s="397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389"/>
      <c r="AU10" s="389"/>
      <c r="AV10" s="389"/>
      <c r="AW10" s="389"/>
      <c r="AX10" s="389"/>
      <c r="AY10" s="389"/>
      <c r="AZ10" s="389"/>
      <c r="BA10" s="389"/>
      <c r="BB10" s="389"/>
      <c r="BC10" s="389"/>
      <c r="BD10" s="389"/>
      <c r="BE10" s="389"/>
      <c r="BF10" s="389"/>
      <c r="BG10" s="389"/>
      <c r="BH10" s="389"/>
      <c r="BI10" s="389"/>
      <c r="BJ10" s="389"/>
      <c r="BK10" s="389"/>
      <c r="BL10" s="389"/>
      <c r="BM10" s="389"/>
      <c r="BN10" s="389"/>
      <c r="BO10" s="389"/>
      <c r="BP10" s="389"/>
      <c r="BQ10" s="389"/>
      <c r="BR10" s="389"/>
      <c r="BS10" s="389"/>
      <c r="BT10" s="389"/>
      <c r="BU10" s="389"/>
      <c r="BV10" s="389"/>
      <c r="BW10" s="389"/>
      <c r="BX10" s="389"/>
      <c r="BY10" s="389"/>
      <c r="BZ10" s="389"/>
      <c r="CA10" s="389"/>
      <c r="CB10" s="389"/>
      <c r="CC10" s="389"/>
      <c r="CD10" s="389"/>
      <c r="CE10" s="389"/>
      <c r="CF10" s="389"/>
      <c r="CG10" s="389"/>
      <c r="CH10" s="389"/>
      <c r="CI10" s="389"/>
      <c r="CJ10" s="389"/>
      <c r="CK10" s="389"/>
      <c r="CL10" s="389"/>
      <c r="CM10" s="389"/>
      <c r="CN10" s="389"/>
      <c r="CO10" s="389"/>
      <c r="CP10" s="389"/>
      <c r="CQ10" s="389"/>
      <c r="CR10" s="389"/>
      <c r="CS10" s="389"/>
      <c r="CT10" s="389"/>
      <c r="CU10" s="389"/>
      <c r="CV10" s="389"/>
      <c r="CW10" s="389"/>
      <c r="CX10" s="389"/>
      <c r="CY10" s="389"/>
      <c r="CZ10" s="389"/>
      <c r="DA10" s="389"/>
      <c r="DB10" s="389"/>
      <c r="DC10" s="389"/>
      <c r="DD10" s="389"/>
      <c r="DE10" s="389"/>
      <c r="DF10" s="389"/>
      <c r="DG10" s="389"/>
      <c r="DH10" s="389"/>
      <c r="DI10" s="389"/>
      <c r="DJ10" s="389"/>
      <c r="DK10" s="389"/>
      <c r="DL10" s="389"/>
      <c r="DM10" s="389"/>
      <c r="DN10" s="389"/>
      <c r="DO10" s="389"/>
      <c r="DP10" s="389"/>
      <c r="DQ10" s="389"/>
      <c r="DR10" s="389"/>
      <c r="DS10" s="389"/>
      <c r="DT10" s="389"/>
      <c r="DU10" s="389"/>
      <c r="DV10" s="389"/>
      <c r="DW10" s="389"/>
      <c r="DX10" s="389"/>
      <c r="DY10" s="389"/>
      <c r="DZ10" s="389"/>
      <c r="EA10" s="389"/>
      <c r="EB10" s="390"/>
      <c r="EC10" s="390"/>
      <c r="ED10" s="390"/>
      <c r="EE10" s="390"/>
      <c r="EF10" s="390"/>
      <c r="EG10" s="390"/>
      <c r="EH10" s="390"/>
      <c r="EI10" s="390"/>
      <c r="EJ10" s="390"/>
      <c r="EK10" s="390"/>
      <c r="EL10" s="390"/>
      <c r="EM10" s="390"/>
      <c r="EN10" s="390"/>
      <c r="EO10" s="390"/>
    </row>
    <row r="11" spans="1:145">
      <c r="A11" s="389"/>
      <c r="B11" s="389"/>
      <c r="C11" s="389"/>
      <c r="D11" s="389" t="s">
        <v>108</v>
      </c>
      <c r="E11" s="879"/>
      <c r="F11" s="879"/>
      <c r="G11" s="879"/>
      <c r="H11" s="879"/>
      <c r="I11" s="395">
        <v>0.15</v>
      </c>
      <c r="J11" s="396">
        <f t="shared" si="0"/>
        <v>0.63</v>
      </c>
      <c r="K11" s="396">
        <f t="shared" si="0"/>
        <v>6.9999999999999979E-2</v>
      </c>
      <c r="L11" s="395">
        <v>0.3</v>
      </c>
      <c r="M11" s="389"/>
      <c r="N11" s="389"/>
      <c r="O11" s="397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  <c r="AM11" s="389"/>
      <c r="AN11" s="389"/>
      <c r="AO11" s="389"/>
      <c r="AP11" s="389"/>
      <c r="AQ11" s="389"/>
      <c r="AR11" s="389"/>
      <c r="AS11" s="389"/>
      <c r="AT11" s="389"/>
      <c r="AU11" s="389"/>
      <c r="AV11" s="389"/>
      <c r="AW11" s="389"/>
      <c r="AX11" s="389"/>
      <c r="AY11" s="389"/>
      <c r="AZ11" s="389"/>
      <c r="BA11" s="389"/>
      <c r="BB11" s="389"/>
      <c r="BC11" s="389"/>
      <c r="BD11" s="389"/>
      <c r="BE11" s="389"/>
      <c r="BF11" s="389"/>
      <c r="BG11" s="389"/>
      <c r="BH11" s="389"/>
      <c r="BI11" s="389"/>
      <c r="BJ11" s="389"/>
      <c r="BK11" s="389"/>
      <c r="BL11" s="389"/>
      <c r="BM11" s="389"/>
      <c r="BN11" s="389"/>
      <c r="BO11" s="389"/>
      <c r="BP11" s="389"/>
      <c r="BQ11" s="389"/>
      <c r="BR11" s="389"/>
      <c r="BS11" s="389"/>
      <c r="BT11" s="389"/>
      <c r="BU11" s="389"/>
      <c r="BV11" s="389"/>
      <c r="BW11" s="389"/>
      <c r="BX11" s="389"/>
      <c r="BY11" s="389"/>
      <c r="BZ11" s="389"/>
      <c r="CA11" s="389"/>
      <c r="CB11" s="389"/>
      <c r="CC11" s="389"/>
      <c r="CD11" s="389"/>
      <c r="CE11" s="389"/>
      <c r="CF11" s="389"/>
      <c r="CG11" s="389"/>
      <c r="CH11" s="389"/>
      <c r="CI11" s="389"/>
      <c r="CJ11" s="389"/>
      <c r="CK11" s="389"/>
      <c r="CL11" s="389"/>
      <c r="CM11" s="389"/>
      <c r="CN11" s="389"/>
      <c r="CO11" s="389"/>
      <c r="CP11" s="389"/>
      <c r="CQ11" s="389"/>
      <c r="CR11" s="389"/>
      <c r="CS11" s="389"/>
      <c r="CT11" s="389"/>
      <c r="CU11" s="389"/>
      <c r="CV11" s="389"/>
      <c r="CW11" s="389"/>
      <c r="CX11" s="389"/>
      <c r="CY11" s="389"/>
      <c r="CZ11" s="389"/>
      <c r="DA11" s="389"/>
      <c r="DB11" s="389"/>
      <c r="DC11" s="389"/>
      <c r="DD11" s="389"/>
      <c r="DE11" s="389"/>
      <c r="DF11" s="389"/>
      <c r="DG11" s="389"/>
      <c r="DH11" s="389"/>
      <c r="DI11" s="389"/>
      <c r="DJ11" s="389"/>
      <c r="DK11" s="389"/>
      <c r="DL11" s="389"/>
      <c r="DM11" s="389"/>
      <c r="DN11" s="389"/>
      <c r="DO11" s="389"/>
      <c r="DP11" s="389"/>
      <c r="DQ11" s="389"/>
      <c r="DR11" s="389"/>
      <c r="DS11" s="389"/>
      <c r="DT11" s="389"/>
      <c r="DU11" s="389"/>
      <c r="DV11" s="389"/>
      <c r="DW11" s="389"/>
      <c r="DX11" s="389"/>
      <c r="DY11" s="389"/>
      <c r="DZ11" s="389"/>
      <c r="EA11" s="389"/>
      <c r="EB11" s="390"/>
      <c r="EC11" s="390"/>
      <c r="ED11" s="390"/>
      <c r="EE11" s="390"/>
      <c r="EF11" s="390"/>
      <c r="EG11" s="390"/>
      <c r="EH11" s="390"/>
      <c r="EI11" s="390"/>
      <c r="EJ11" s="390"/>
      <c r="EK11" s="390"/>
      <c r="EL11" s="390"/>
      <c r="EM11" s="390"/>
      <c r="EN11" s="390"/>
      <c r="EO11" s="390"/>
    </row>
    <row r="12" spans="1:145">
      <c r="A12" s="389"/>
      <c r="B12" s="389"/>
      <c r="C12" s="389"/>
      <c r="D12" s="389" t="s">
        <v>109</v>
      </c>
      <c r="E12" s="879"/>
      <c r="F12" s="879"/>
      <c r="G12" s="879"/>
      <c r="H12" s="879"/>
      <c r="I12" s="398"/>
      <c r="J12" s="399">
        <f t="shared" si="0"/>
        <v>0.5625</v>
      </c>
      <c r="K12" s="399">
        <f t="shared" si="0"/>
        <v>6.2499999999999986E-2</v>
      </c>
      <c r="L12" s="400">
        <v>0.375</v>
      </c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  <c r="AM12" s="389"/>
      <c r="AN12" s="389"/>
      <c r="AO12" s="389"/>
      <c r="AP12" s="389"/>
      <c r="AQ12" s="389"/>
      <c r="AR12" s="389"/>
      <c r="AS12" s="389"/>
      <c r="AT12" s="389"/>
      <c r="AU12" s="389"/>
      <c r="AV12" s="389"/>
      <c r="AW12" s="389"/>
      <c r="AX12" s="389"/>
      <c r="AY12" s="389"/>
      <c r="AZ12" s="389"/>
      <c r="BA12" s="389"/>
      <c r="BB12" s="389"/>
      <c r="BC12" s="389"/>
      <c r="BD12" s="389"/>
      <c r="BE12" s="389"/>
      <c r="BF12" s="389"/>
      <c r="BG12" s="389"/>
      <c r="BH12" s="389"/>
      <c r="BI12" s="389"/>
      <c r="BJ12" s="389"/>
      <c r="BK12" s="389"/>
      <c r="BL12" s="389"/>
      <c r="BM12" s="389"/>
      <c r="BN12" s="389"/>
      <c r="BO12" s="389"/>
      <c r="BP12" s="389"/>
      <c r="BQ12" s="389"/>
      <c r="BR12" s="389"/>
      <c r="BS12" s="389"/>
      <c r="BT12" s="389"/>
      <c r="BU12" s="389"/>
      <c r="BV12" s="389"/>
      <c r="BW12" s="389"/>
      <c r="BX12" s="389"/>
      <c r="BY12" s="389"/>
      <c r="BZ12" s="389"/>
      <c r="CA12" s="389"/>
      <c r="CB12" s="389"/>
      <c r="CC12" s="389"/>
      <c r="CD12" s="389"/>
      <c r="CE12" s="389"/>
      <c r="CF12" s="389"/>
      <c r="CG12" s="389"/>
      <c r="CH12" s="389"/>
      <c r="CI12" s="389"/>
      <c r="CJ12" s="389"/>
      <c r="CK12" s="389"/>
      <c r="CL12" s="389"/>
      <c r="CM12" s="389"/>
      <c r="CN12" s="389"/>
      <c r="CO12" s="389"/>
      <c r="CP12" s="389"/>
      <c r="CQ12" s="389"/>
      <c r="CR12" s="389"/>
      <c r="CS12" s="389"/>
      <c r="CT12" s="389"/>
      <c r="CU12" s="389"/>
      <c r="CV12" s="389"/>
      <c r="CW12" s="389"/>
      <c r="CX12" s="389"/>
      <c r="CY12" s="389"/>
      <c r="CZ12" s="389"/>
      <c r="DA12" s="389"/>
      <c r="DB12" s="389"/>
      <c r="DC12" s="389"/>
      <c r="DD12" s="389"/>
      <c r="DE12" s="389"/>
      <c r="DF12" s="389"/>
      <c r="DG12" s="389"/>
      <c r="DH12" s="389"/>
      <c r="DI12" s="389"/>
      <c r="DJ12" s="389"/>
      <c r="DK12" s="389"/>
      <c r="DL12" s="389"/>
      <c r="DM12" s="389"/>
      <c r="DN12" s="389"/>
      <c r="DO12" s="389"/>
      <c r="DP12" s="389"/>
      <c r="DQ12" s="389"/>
      <c r="DR12" s="389"/>
      <c r="DS12" s="389"/>
      <c r="DT12" s="389"/>
      <c r="DU12" s="389"/>
      <c r="DV12" s="389"/>
      <c r="DW12" s="389"/>
      <c r="DX12" s="389"/>
      <c r="DY12" s="389"/>
      <c r="DZ12" s="389"/>
      <c r="EA12" s="389"/>
      <c r="EB12" s="390"/>
      <c r="EC12" s="390"/>
      <c r="ED12" s="390"/>
      <c r="EE12" s="390"/>
      <c r="EF12" s="390"/>
      <c r="EG12" s="390"/>
      <c r="EH12" s="390"/>
      <c r="EI12" s="390"/>
      <c r="EJ12" s="390"/>
      <c r="EK12" s="390"/>
      <c r="EL12" s="390"/>
      <c r="EM12" s="390"/>
      <c r="EN12" s="390"/>
      <c r="EO12" s="390"/>
    </row>
    <row r="13" spans="1:145" ht="15">
      <c r="A13" s="389"/>
      <c r="B13" s="389"/>
      <c r="C13" s="392"/>
      <c r="D13" s="392"/>
      <c r="E13" s="392"/>
      <c r="F13" s="392"/>
      <c r="G13" s="392"/>
      <c r="H13" s="392"/>
      <c r="I13" s="392"/>
      <c r="J13" s="392"/>
      <c r="K13" s="392"/>
      <c r="L13" s="392"/>
      <c r="M13" s="389"/>
      <c r="N13" s="389"/>
      <c r="O13" s="389"/>
      <c r="P13" s="389"/>
      <c r="Q13" s="392"/>
      <c r="R13" s="392"/>
      <c r="S13" s="392"/>
      <c r="T13" s="392"/>
      <c r="U13" s="389"/>
      <c r="V13" s="76"/>
      <c r="W13" s="76"/>
      <c r="X13" s="602"/>
      <c r="Y13" s="603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AL13" s="389"/>
      <c r="AM13" s="389"/>
      <c r="AN13" s="389"/>
      <c r="AO13" s="389"/>
      <c r="AP13" s="389"/>
      <c r="AQ13" s="389"/>
      <c r="AR13" s="389"/>
      <c r="AS13" s="389"/>
      <c r="AT13" s="389"/>
      <c r="AU13" s="389"/>
      <c r="AV13" s="389"/>
      <c r="AW13" s="389"/>
      <c r="AX13" s="389"/>
      <c r="AY13" s="389"/>
      <c r="AZ13" s="389"/>
      <c r="BA13" s="389"/>
      <c r="BB13" s="389"/>
      <c r="BC13" s="389"/>
      <c r="BD13" s="389"/>
      <c r="BE13" s="389"/>
      <c r="BF13" s="389"/>
      <c r="BG13" s="389"/>
      <c r="BH13" s="389"/>
      <c r="BI13" s="389"/>
      <c r="BJ13" s="389"/>
      <c r="BK13" s="389"/>
      <c r="BL13" s="389"/>
      <c r="BM13" s="389"/>
      <c r="BN13" s="389"/>
      <c r="BO13" s="389"/>
      <c r="BP13" s="389"/>
      <c r="BQ13" s="389"/>
      <c r="BR13" s="389"/>
      <c r="BS13" s="389"/>
      <c r="BT13" s="389"/>
      <c r="BU13" s="389"/>
      <c r="BV13" s="389"/>
      <c r="BW13" s="389"/>
      <c r="BX13" s="389"/>
      <c r="BY13" s="389"/>
      <c r="BZ13" s="389"/>
      <c r="CA13" s="389"/>
      <c r="CB13" s="389"/>
      <c r="CC13" s="389"/>
      <c r="CD13" s="389"/>
      <c r="CE13" s="389"/>
      <c r="CF13" s="389"/>
      <c r="CG13" s="389"/>
      <c r="CH13" s="389"/>
      <c r="CI13" s="389"/>
      <c r="CJ13" s="389"/>
      <c r="CK13" s="389"/>
      <c r="CL13" s="389"/>
      <c r="CM13" s="389"/>
      <c r="CN13" s="389"/>
      <c r="CO13" s="389"/>
      <c r="CP13" s="389"/>
      <c r="CQ13" s="389"/>
      <c r="CR13" s="389"/>
      <c r="CS13" s="389"/>
      <c r="CT13" s="389"/>
      <c r="CU13" s="389"/>
      <c r="CV13" s="389"/>
      <c r="CW13" s="389"/>
      <c r="CX13" s="389"/>
      <c r="CY13" s="389"/>
      <c r="CZ13" s="389"/>
      <c r="DA13" s="389"/>
      <c r="DB13" s="389"/>
      <c r="DC13" s="389"/>
      <c r="DD13" s="389"/>
      <c r="DE13" s="389"/>
      <c r="DF13" s="389"/>
      <c r="DG13" s="389"/>
      <c r="DH13" s="389"/>
      <c r="DI13" s="389"/>
      <c r="DJ13" s="389"/>
      <c r="DK13" s="389"/>
      <c r="DL13" s="389"/>
      <c r="DM13" s="389"/>
      <c r="DN13" s="389"/>
      <c r="DO13" s="389"/>
      <c r="DP13" s="389"/>
      <c r="DQ13" s="389"/>
      <c r="DR13" s="389"/>
      <c r="DS13" s="389"/>
      <c r="DT13" s="389"/>
      <c r="DU13" s="389"/>
      <c r="DV13" s="389"/>
      <c r="DW13" s="389"/>
      <c r="DX13" s="389"/>
      <c r="DY13" s="389"/>
      <c r="DZ13" s="389"/>
      <c r="EA13" s="389"/>
      <c r="EB13" s="390"/>
      <c r="EC13" s="390"/>
      <c r="ED13" s="390"/>
      <c r="EE13" s="390"/>
      <c r="EF13" s="390"/>
      <c r="EG13" s="390"/>
      <c r="EH13" s="390"/>
      <c r="EI13" s="390"/>
      <c r="EJ13" s="390"/>
      <c r="EK13" s="390"/>
      <c r="EL13" s="390"/>
      <c r="EM13" s="390"/>
      <c r="EN13" s="390"/>
      <c r="EO13" s="390"/>
    </row>
    <row r="14" spans="1:145" s="390" customFormat="1">
      <c r="A14" s="389"/>
      <c r="B14" s="389"/>
      <c r="C14" s="389"/>
      <c r="D14" s="389"/>
      <c r="E14" s="389"/>
      <c r="F14" s="389"/>
      <c r="G14" s="389"/>
      <c r="H14" s="389"/>
      <c r="I14" s="698"/>
      <c r="J14" s="880">
        <f>'Monthly-CF'!L8</f>
        <v>45107</v>
      </c>
      <c r="K14" s="698">
        <f>EOMONTH(J14,1)</f>
        <v>45138</v>
      </c>
      <c r="L14" s="698">
        <f t="shared" ref="L14:BW14" si="1">EOMONTH(K14,1)</f>
        <v>45169</v>
      </c>
      <c r="M14" s="698">
        <f t="shared" si="1"/>
        <v>45199</v>
      </c>
      <c r="N14" s="698">
        <f t="shared" si="1"/>
        <v>45230</v>
      </c>
      <c r="O14" s="698">
        <f t="shared" si="1"/>
        <v>45260</v>
      </c>
      <c r="P14" s="698">
        <f t="shared" si="1"/>
        <v>45291</v>
      </c>
      <c r="Q14" s="698">
        <f t="shared" si="1"/>
        <v>45322</v>
      </c>
      <c r="R14" s="698">
        <f t="shared" si="1"/>
        <v>45351</v>
      </c>
      <c r="S14" s="698">
        <f t="shared" si="1"/>
        <v>45382</v>
      </c>
      <c r="T14" s="698">
        <f t="shared" si="1"/>
        <v>45412</v>
      </c>
      <c r="U14" s="698">
        <f t="shared" si="1"/>
        <v>45443</v>
      </c>
      <c r="V14" s="698">
        <f t="shared" si="1"/>
        <v>45473</v>
      </c>
      <c r="W14" s="698">
        <f t="shared" si="1"/>
        <v>45504</v>
      </c>
      <c r="X14" s="698">
        <f t="shared" si="1"/>
        <v>45535</v>
      </c>
      <c r="Y14" s="698">
        <f t="shared" si="1"/>
        <v>45565</v>
      </c>
      <c r="Z14" s="698">
        <f t="shared" si="1"/>
        <v>45596</v>
      </c>
      <c r="AA14" s="698">
        <f t="shared" si="1"/>
        <v>45626</v>
      </c>
      <c r="AB14" s="698">
        <f t="shared" si="1"/>
        <v>45657</v>
      </c>
      <c r="AC14" s="698">
        <f t="shared" si="1"/>
        <v>45688</v>
      </c>
      <c r="AD14" s="698">
        <f t="shared" si="1"/>
        <v>45716</v>
      </c>
      <c r="AE14" s="698">
        <f t="shared" si="1"/>
        <v>45747</v>
      </c>
      <c r="AF14" s="698">
        <f t="shared" si="1"/>
        <v>45777</v>
      </c>
      <c r="AG14" s="698">
        <f t="shared" si="1"/>
        <v>45808</v>
      </c>
      <c r="AH14" s="698">
        <f t="shared" si="1"/>
        <v>45838</v>
      </c>
      <c r="AI14" s="698">
        <f t="shared" si="1"/>
        <v>45869</v>
      </c>
      <c r="AJ14" s="698">
        <f t="shared" si="1"/>
        <v>45900</v>
      </c>
      <c r="AK14" s="698">
        <f t="shared" si="1"/>
        <v>45930</v>
      </c>
      <c r="AL14" s="698">
        <f t="shared" si="1"/>
        <v>45961</v>
      </c>
      <c r="AM14" s="698">
        <f t="shared" si="1"/>
        <v>45991</v>
      </c>
      <c r="AN14" s="698">
        <f t="shared" si="1"/>
        <v>46022</v>
      </c>
      <c r="AO14" s="698">
        <f t="shared" si="1"/>
        <v>46053</v>
      </c>
      <c r="AP14" s="698">
        <f t="shared" si="1"/>
        <v>46081</v>
      </c>
      <c r="AQ14" s="698">
        <f t="shared" si="1"/>
        <v>46112</v>
      </c>
      <c r="AR14" s="698">
        <f t="shared" si="1"/>
        <v>46142</v>
      </c>
      <c r="AS14" s="698">
        <f t="shared" si="1"/>
        <v>46173</v>
      </c>
      <c r="AT14" s="698">
        <f t="shared" si="1"/>
        <v>46203</v>
      </c>
      <c r="AU14" s="698">
        <f t="shared" si="1"/>
        <v>46234</v>
      </c>
      <c r="AV14" s="698">
        <f t="shared" si="1"/>
        <v>46265</v>
      </c>
      <c r="AW14" s="698">
        <f t="shared" si="1"/>
        <v>46295</v>
      </c>
      <c r="AX14" s="698">
        <f t="shared" si="1"/>
        <v>46326</v>
      </c>
      <c r="AY14" s="698">
        <f t="shared" si="1"/>
        <v>46356</v>
      </c>
      <c r="AZ14" s="698">
        <f t="shared" si="1"/>
        <v>46387</v>
      </c>
      <c r="BA14" s="698">
        <f t="shared" si="1"/>
        <v>46418</v>
      </c>
      <c r="BB14" s="698">
        <f t="shared" si="1"/>
        <v>46446</v>
      </c>
      <c r="BC14" s="698">
        <f t="shared" si="1"/>
        <v>46477</v>
      </c>
      <c r="BD14" s="698">
        <f t="shared" si="1"/>
        <v>46507</v>
      </c>
      <c r="BE14" s="698">
        <f t="shared" si="1"/>
        <v>46538</v>
      </c>
      <c r="BF14" s="698">
        <f t="shared" si="1"/>
        <v>46568</v>
      </c>
      <c r="BG14" s="698">
        <f t="shared" si="1"/>
        <v>46599</v>
      </c>
      <c r="BH14" s="698">
        <f t="shared" si="1"/>
        <v>46630</v>
      </c>
      <c r="BI14" s="698">
        <f t="shared" si="1"/>
        <v>46660</v>
      </c>
      <c r="BJ14" s="698">
        <f t="shared" si="1"/>
        <v>46691</v>
      </c>
      <c r="BK14" s="698">
        <f t="shared" si="1"/>
        <v>46721</v>
      </c>
      <c r="BL14" s="698">
        <f t="shared" si="1"/>
        <v>46752</v>
      </c>
      <c r="BM14" s="698">
        <f t="shared" si="1"/>
        <v>46783</v>
      </c>
      <c r="BN14" s="698">
        <f t="shared" si="1"/>
        <v>46812</v>
      </c>
      <c r="BO14" s="698">
        <f t="shared" si="1"/>
        <v>46843</v>
      </c>
      <c r="BP14" s="698">
        <f t="shared" si="1"/>
        <v>46873</v>
      </c>
      <c r="BQ14" s="698">
        <f t="shared" si="1"/>
        <v>46904</v>
      </c>
      <c r="BR14" s="698">
        <f t="shared" si="1"/>
        <v>46934</v>
      </c>
      <c r="BS14" s="698">
        <f t="shared" si="1"/>
        <v>46965</v>
      </c>
      <c r="BT14" s="698">
        <f t="shared" si="1"/>
        <v>46996</v>
      </c>
      <c r="BU14" s="698">
        <f t="shared" si="1"/>
        <v>47026</v>
      </c>
      <c r="BV14" s="698">
        <f t="shared" si="1"/>
        <v>47057</v>
      </c>
      <c r="BW14" s="698">
        <f t="shared" si="1"/>
        <v>47087</v>
      </c>
      <c r="BX14" s="698">
        <f t="shared" ref="BX14:DY14" si="2">EOMONTH(BW14,1)</f>
        <v>47118</v>
      </c>
      <c r="BY14" s="698">
        <f t="shared" si="2"/>
        <v>47149</v>
      </c>
      <c r="BZ14" s="698">
        <f t="shared" si="2"/>
        <v>47177</v>
      </c>
      <c r="CA14" s="698">
        <f t="shared" si="2"/>
        <v>47208</v>
      </c>
      <c r="CB14" s="698">
        <f t="shared" si="2"/>
        <v>47238</v>
      </c>
      <c r="CC14" s="698">
        <f t="shared" si="2"/>
        <v>47269</v>
      </c>
      <c r="CD14" s="698">
        <f t="shared" si="2"/>
        <v>47299</v>
      </c>
      <c r="CE14" s="698">
        <f t="shared" si="2"/>
        <v>47330</v>
      </c>
      <c r="CF14" s="698">
        <f t="shared" si="2"/>
        <v>47361</v>
      </c>
      <c r="CG14" s="698">
        <f t="shared" si="2"/>
        <v>47391</v>
      </c>
      <c r="CH14" s="698">
        <f t="shared" si="2"/>
        <v>47422</v>
      </c>
      <c r="CI14" s="698">
        <f t="shared" si="2"/>
        <v>47452</v>
      </c>
      <c r="CJ14" s="698">
        <f t="shared" si="2"/>
        <v>47483</v>
      </c>
      <c r="CK14" s="698">
        <f t="shared" si="2"/>
        <v>47514</v>
      </c>
      <c r="CL14" s="698">
        <f t="shared" si="2"/>
        <v>47542</v>
      </c>
      <c r="CM14" s="698">
        <f t="shared" si="2"/>
        <v>47573</v>
      </c>
      <c r="CN14" s="698">
        <f t="shared" si="2"/>
        <v>47603</v>
      </c>
      <c r="CO14" s="698">
        <f t="shared" si="2"/>
        <v>47634</v>
      </c>
      <c r="CP14" s="698">
        <f t="shared" si="2"/>
        <v>47664</v>
      </c>
      <c r="CQ14" s="698">
        <f t="shared" si="2"/>
        <v>47695</v>
      </c>
      <c r="CR14" s="698">
        <f t="shared" si="2"/>
        <v>47726</v>
      </c>
      <c r="CS14" s="698">
        <f t="shared" si="2"/>
        <v>47756</v>
      </c>
      <c r="CT14" s="698">
        <f t="shared" si="2"/>
        <v>47787</v>
      </c>
      <c r="CU14" s="698">
        <f t="shared" si="2"/>
        <v>47817</v>
      </c>
      <c r="CV14" s="698">
        <f t="shared" si="2"/>
        <v>47848</v>
      </c>
      <c r="CW14" s="698">
        <f t="shared" si="2"/>
        <v>47879</v>
      </c>
      <c r="CX14" s="698">
        <f t="shared" si="2"/>
        <v>47907</v>
      </c>
      <c r="CY14" s="698">
        <f t="shared" si="2"/>
        <v>47938</v>
      </c>
      <c r="CZ14" s="698">
        <f t="shared" si="2"/>
        <v>47968</v>
      </c>
      <c r="DA14" s="698">
        <f t="shared" si="2"/>
        <v>47999</v>
      </c>
      <c r="DB14" s="698">
        <f t="shared" si="2"/>
        <v>48029</v>
      </c>
      <c r="DC14" s="698">
        <f t="shared" si="2"/>
        <v>48060</v>
      </c>
      <c r="DD14" s="698">
        <f t="shared" si="2"/>
        <v>48091</v>
      </c>
      <c r="DE14" s="698">
        <f t="shared" si="2"/>
        <v>48121</v>
      </c>
      <c r="DF14" s="698">
        <f t="shared" si="2"/>
        <v>48152</v>
      </c>
      <c r="DG14" s="698">
        <f t="shared" si="2"/>
        <v>48182</v>
      </c>
      <c r="DH14" s="698">
        <f t="shared" si="2"/>
        <v>48213</v>
      </c>
      <c r="DI14" s="698">
        <f t="shared" si="2"/>
        <v>48244</v>
      </c>
      <c r="DJ14" s="698">
        <f t="shared" si="2"/>
        <v>48273</v>
      </c>
      <c r="DK14" s="698">
        <f t="shared" si="2"/>
        <v>48304</v>
      </c>
      <c r="DL14" s="698">
        <f t="shared" si="2"/>
        <v>48334</v>
      </c>
      <c r="DM14" s="698">
        <f t="shared" si="2"/>
        <v>48365</v>
      </c>
      <c r="DN14" s="698">
        <f t="shared" si="2"/>
        <v>48395</v>
      </c>
      <c r="DO14" s="698">
        <f t="shared" si="2"/>
        <v>48426</v>
      </c>
      <c r="DP14" s="698">
        <f t="shared" si="2"/>
        <v>48457</v>
      </c>
      <c r="DQ14" s="698">
        <f t="shared" si="2"/>
        <v>48487</v>
      </c>
      <c r="DR14" s="698">
        <f t="shared" si="2"/>
        <v>48518</v>
      </c>
      <c r="DS14" s="698">
        <f t="shared" si="2"/>
        <v>48548</v>
      </c>
      <c r="DT14" s="698">
        <f t="shared" si="2"/>
        <v>48579</v>
      </c>
      <c r="DU14" s="698">
        <f t="shared" si="2"/>
        <v>48610</v>
      </c>
      <c r="DV14" s="698">
        <f t="shared" si="2"/>
        <v>48638</v>
      </c>
      <c r="DW14" s="698">
        <f t="shared" si="2"/>
        <v>48669</v>
      </c>
      <c r="DX14" s="698">
        <f t="shared" si="2"/>
        <v>48699</v>
      </c>
      <c r="DY14" s="698">
        <f t="shared" si="2"/>
        <v>48730</v>
      </c>
      <c r="DZ14" s="389"/>
      <c r="EA14" s="389"/>
    </row>
    <row r="15" spans="1:145" s="390" customFormat="1">
      <c r="A15" s="389"/>
      <c r="B15" s="389"/>
      <c r="C15" s="389"/>
      <c r="D15" s="389"/>
      <c r="E15" s="389"/>
      <c r="F15" s="389"/>
      <c r="G15" s="389"/>
      <c r="H15" s="389"/>
      <c r="I15" s="389"/>
      <c r="J15" s="881">
        <f>ROUNDUP(J16/12,0)</f>
        <v>1</v>
      </c>
      <c r="K15" s="881">
        <f t="shared" ref="K15:BV15" si="3">ROUNDUP(K16/12,0)</f>
        <v>1</v>
      </c>
      <c r="L15" s="881">
        <f t="shared" si="3"/>
        <v>1</v>
      </c>
      <c r="M15" s="881">
        <f t="shared" si="3"/>
        <v>1</v>
      </c>
      <c r="N15" s="881">
        <f t="shared" si="3"/>
        <v>1</v>
      </c>
      <c r="O15" s="881">
        <f t="shared" si="3"/>
        <v>1</v>
      </c>
      <c r="P15" s="881">
        <f t="shared" si="3"/>
        <v>1</v>
      </c>
      <c r="Q15" s="881">
        <f t="shared" si="3"/>
        <v>1</v>
      </c>
      <c r="R15" s="881">
        <f t="shared" si="3"/>
        <v>1</v>
      </c>
      <c r="S15" s="881">
        <f t="shared" si="3"/>
        <v>1</v>
      </c>
      <c r="T15" s="881">
        <f t="shared" si="3"/>
        <v>1</v>
      </c>
      <c r="U15" s="881">
        <f t="shared" si="3"/>
        <v>1</v>
      </c>
      <c r="V15" s="881">
        <f t="shared" si="3"/>
        <v>2</v>
      </c>
      <c r="W15" s="881">
        <f t="shared" si="3"/>
        <v>2</v>
      </c>
      <c r="X15" s="881">
        <f t="shared" si="3"/>
        <v>2</v>
      </c>
      <c r="Y15" s="881">
        <f t="shared" si="3"/>
        <v>2</v>
      </c>
      <c r="Z15" s="881">
        <f t="shared" si="3"/>
        <v>2</v>
      </c>
      <c r="AA15" s="881">
        <f t="shared" si="3"/>
        <v>2</v>
      </c>
      <c r="AB15" s="881">
        <f t="shared" si="3"/>
        <v>2</v>
      </c>
      <c r="AC15" s="881">
        <f t="shared" si="3"/>
        <v>2</v>
      </c>
      <c r="AD15" s="881">
        <f t="shared" si="3"/>
        <v>2</v>
      </c>
      <c r="AE15" s="881">
        <f t="shared" si="3"/>
        <v>2</v>
      </c>
      <c r="AF15" s="881">
        <f t="shared" si="3"/>
        <v>2</v>
      </c>
      <c r="AG15" s="881">
        <f t="shared" si="3"/>
        <v>2</v>
      </c>
      <c r="AH15" s="881">
        <f t="shared" si="3"/>
        <v>3</v>
      </c>
      <c r="AI15" s="881">
        <f t="shared" si="3"/>
        <v>3</v>
      </c>
      <c r="AJ15" s="881">
        <f t="shared" si="3"/>
        <v>3</v>
      </c>
      <c r="AK15" s="881">
        <f t="shared" si="3"/>
        <v>3</v>
      </c>
      <c r="AL15" s="881">
        <f t="shared" si="3"/>
        <v>3</v>
      </c>
      <c r="AM15" s="881">
        <f t="shared" si="3"/>
        <v>3</v>
      </c>
      <c r="AN15" s="881">
        <f t="shared" si="3"/>
        <v>3</v>
      </c>
      <c r="AO15" s="881">
        <f t="shared" si="3"/>
        <v>3</v>
      </c>
      <c r="AP15" s="881">
        <f t="shared" si="3"/>
        <v>3</v>
      </c>
      <c r="AQ15" s="881">
        <f t="shared" si="3"/>
        <v>3</v>
      </c>
      <c r="AR15" s="881">
        <f t="shared" si="3"/>
        <v>3</v>
      </c>
      <c r="AS15" s="881">
        <f t="shared" si="3"/>
        <v>3</v>
      </c>
      <c r="AT15" s="881">
        <f t="shared" si="3"/>
        <v>4</v>
      </c>
      <c r="AU15" s="881">
        <f t="shared" si="3"/>
        <v>4</v>
      </c>
      <c r="AV15" s="881">
        <f t="shared" si="3"/>
        <v>4</v>
      </c>
      <c r="AW15" s="881">
        <f t="shared" si="3"/>
        <v>4</v>
      </c>
      <c r="AX15" s="881">
        <f t="shared" si="3"/>
        <v>4</v>
      </c>
      <c r="AY15" s="881">
        <f t="shared" si="3"/>
        <v>4</v>
      </c>
      <c r="AZ15" s="881">
        <f t="shared" si="3"/>
        <v>4</v>
      </c>
      <c r="BA15" s="881">
        <f t="shared" si="3"/>
        <v>4</v>
      </c>
      <c r="BB15" s="881">
        <f t="shared" si="3"/>
        <v>4</v>
      </c>
      <c r="BC15" s="881">
        <f t="shared" si="3"/>
        <v>4</v>
      </c>
      <c r="BD15" s="881">
        <f t="shared" si="3"/>
        <v>4</v>
      </c>
      <c r="BE15" s="881">
        <f t="shared" si="3"/>
        <v>4</v>
      </c>
      <c r="BF15" s="881">
        <f t="shared" si="3"/>
        <v>5</v>
      </c>
      <c r="BG15" s="881">
        <f t="shared" si="3"/>
        <v>5</v>
      </c>
      <c r="BH15" s="881">
        <f t="shared" si="3"/>
        <v>5</v>
      </c>
      <c r="BI15" s="881">
        <f t="shared" si="3"/>
        <v>5</v>
      </c>
      <c r="BJ15" s="881">
        <f t="shared" si="3"/>
        <v>5</v>
      </c>
      <c r="BK15" s="881">
        <f t="shared" si="3"/>
        <v>5</v>
      </c>
      <c r="BL15" s="881">
        <f t="shared" si="3"/>
        <v>5</v>
      </c>
      <c r="BM15" s="881">
        <f t="shared" si="3"/>
        <v>5</v>
      </c>
      <c r="BN15" s="881">
        <f t="shared" si="3"/>
        <v>5</v>
      </c>
      <c r="BO15" s="881">
        <f t="shared" si="3"/>
        <v>5</v>
      </c>
      <c r="BP15" s="881">
        <f t="shared" si="3"/>
        <v>5</v>
      </c>
      <c r="BQ15" s="881">
        <f t="shared" si="3"/>
        <v>5</v>
      </c>
      <c r="BR15" s="881">
        <f t="shared" si="3"/>
        <v>6</v>
      </c>
      <c r="BS15" s="881">
        <f t="shared" si="3"/>
        <v>6</v>
      </c>
      <c r="BT15" s="881">
        <f t="shared" si="3"/>
        <v>6</v>
      </c>
      <c r="BU15" s="881">
        <f t="shared" si="3"/>
        <v>6</v>
      </c>
      <c r="BV15" s="881">
        <f t="shared" si="3"/>
        <v>6</v>
      </c>
      <c r="BW15" s="881">
        <f t="shared" ref="BW15:DY15" si="4">ROUNDUP(BW16/12,0)</f>
        <v>6</v>
      </c>
      <c r="BX15" s="881">
        <f t="shared" si="4"/>
        <v>6</v>
      </c>
      <c r="BY15" s="881">
        <f t="shared" si="4"/>
        <v>6</v>
      </c>
      <c r="BZ15" s="881">
        <f t="shared" si="4"/>
        <v>6</v>
      </c>
      <c r="CA15" s="881">
        <f t="shared" si="4"/>
        <v>6</v>
      </c>
      <c r="CB15" s="881">
        <f t="shared" si="4"/>
        <v>6</v>
      </c>
      <c r="CC15" s="881">
        <f t="shared" si="4"/>
        <v>6</v>
      </c>
      <c r="CD15" s="881">
        <f t="shared" si="4"/>
        <v>7</v>
      </c>
      <c r="CE15" s="881">
        <f t="shared" si="4"/>
        <v>7</v>
      </c>
      <c r="CF15" s="881">
        <f t="shared" si="4"/>
        <v>7</v>
      </c>
      <c r="CG15" s="881">
        <f t="shared" si="4"/>
        <v>7</v>
      </c>
      <c r="CH15" s="881">
        <f t="shared" si="4"/>
        <v>7</v>
      </c>
      <c r="CI15" s="881">
        <f t="shared" si="4"/>
        <v>7</v>
      </c>
      <c r="CJ15" s="881">
        <f t="shared" si="4"/>
        <v>7</v>
      </c>
      <c r="CK15" s="881">
        <f t="shared" si="4"/>
        <v>7</v>
      </c>
      <c r="CL15" s="881">
        <f t="shared" si="4"/>
        <v>7</v>
      </c>
      <c r="CM15" s="881">
        <f t="shared" si="4"/>
        <v>7</v>
      </c>
      <c r="CN15" s="881">
        <f t="shared" si="4"/>
        <v>7</v>
      </c>
      <c r="CO15" s="881">
        <f t="shared" si="4"/>
        <v>7</v>
      </c>
      <c r="CP15" s="881">
        <f t="shared" si="4"/>
        <v>8</v>
      </c>
      <c r="CQ15" s="881">
        <f t="shared" si="4"/>
        <v>8</v>
      </c>
      <c r="CR15" s="881">
        <f t="shared" si="4"/>
        <v>8</v>
      </c>
      <c r="CS15" s="881">
        <f t="shared" si="4"/>
        <v>8</v>
      </c>
      <c r="CT15" s="881">
        <f t="shared" si="4"/>
        <v>8</v>
      </c>
      <c r="CU15" s="881">
        <f t="shared" si="4"/>
        <v>8</v>
      </c>
      <c r="CV15" s="881">
        <f t="shared" si="4"/>
        <v>8</v>
      </c>
      <c r="CW15" s="881">
        <f t="shared" si="4"/>
        <v>8</v>
      </c>
      <c r="CX15" s="881">
        <f t="shared" si="4"/>
        <v>8</v>
      </c>
      <c r="CY15" s="881">
        <f t="shared" si="4"/>
        <v>8</v>
      </c>
      <c r="CZ15" s="881">
        <f t="shared" si="4"/>
        <v>8</v>
      </c>
      <c r="DA15" s="881">
        <f t="shared" si="4"/>
        <v>8</v>
      </c>
      <c r="DB15" s="881">
        <f t="shared" si="4"/>
        <v>9</v>
      </c>
      <c r="DC15" s="881">
        <f t="shared" si="4"/>
        <v>9</v>
      </c>
      <c r="DD15" s="881">
        <f t="shared" si="4"/>
        <v>9</v>
      </c>
      <c r="DE15" s="881">
        <f t="shared" si="4"/>
        <v>9</v>
      </c>
      <c r="DF15" s="881">
        <f t="shared" si="4"/>
        <v>9</v>
      </c>
      <c r="DG15" s="881">
        <f t="shared" si="4"/>
        <v>9</v>
      </c>
      <c r="DH15" s="881">
        <f t="shared" si="4"/>
        <v>9</v>
      </c>
      <c r="DI15" s="881">
        <f t="shared" si="4"/>
        <v>9</v>
      </c>
      <c r="DJ15" s="881">
        <f t="shared" si="4"/>
        <v>9</v>
      </c>
      <c r="DK15" s="881">
        <f t="shared" si="4"/>
        <v>9</v>
      </c>
      <c r="DL15" s="881">
        <f t="shared" si="4"/>
        <v>9</v>
      </c>
      <c r="DM15" s="881">
        <f t="shared" si="4"/>
        <v>9</v>
      </c>
      <c r="DN15" s="881">
        <f t="shared" si="4"/>
        <v>10</v>
      </c>
      <c r="DO15" s="881">
        <f t="shared" si="4"/>
        <v>10</v>
      </c>
      <c r="DP15" s="881">
        <f t="shared" si="4"/>
        <v>10</v>
      </c>
      <c r="DQ15" s="881">
        <f t="shared" si="4"/>
        <v>10</v>
      </c>
      <c r="DR15" s="881">
        <f t="shared" si="4"/>
        <v>10</v>
      </c>
      <c r="DS15" s="881">
        <f t="shared" si="4"/>
        <v>10</v>
      </c>
      <c r="DT15" s="881">
        <f t="shared" si="4"/>
        <v>10</v>
      </c>
      <c r="DU15" s="881">
        <f t="shared" si="4"/>
        <v>10</v>
      </c>
      <c r="DV15" s="881">
        <f t="shared" si="4"/>
        <v>10</v>
      </c>
      <c r="DW15" s="881">
        <f t="shared" si="4"/>
        <v>10</v>
      </c>
      <c r="DX15" s="881">
        <f t="shared" si="4"/>
        <v>10</v>
      </c>
      <c r="DY15" s="881">
        <f t="shared" si="4"/>
        <v>10</v>
      </c>
      <c r="DZ15" s="389"/>
      <c r="EA15" s="389"/>
    </row>
    <row r="16" spans="1:145" s="390" customFormat="1">
      <c r="A16" s="389"/>
      <c r="B16" s="389"/>
      <c r="C16" s="389"/>
      <c r="D16" s="389"/>
      <c r="E16" s="389"/>
      <c r="F16" s="389"/>
      <c r="G16" s="815" t="s">
        <v>11</v>
      </c>
      <c r="H16" s="699"/>
      <c r="I16" s="401" t="s">
        <v>110</v>
      </c>
      <c r="J16" s="401">
        <v>1</v>
      </c>
      <c r="K16" s="401">
        <f>J16+1</f>
        <v>2</v>
      </c>
      <c r="L16" s="401">
        <f t="shared" ref="L16:BW16" si="5">K16+1</f>
        <v>3</v>
      </c>
      <c r="M16" s="401">
        <f t="shared" si="5"/>
        <v>4</v>
      </c>
      <c r="N16" s="401">
        <f t="shared" si="5"/>
        <v>5</v>
      </c>
      <c r="O16" s="401">
        <f t="shared" si="5"/>
        <v>6</v>
      </c>
      <c r="P16" s="401">
        <f t="shared" si="5"/>
        <v>7</v>
      </c>
      <c r="Q16" s="401">
        <f t="shared" si="5"/>
        <v>8</v>
      </c>
      <c r="R16" s="401">
        <f t="shared" si="5"/>
        <v>9</v>
      </c>
      <c r="S16" s="401">
        <f t="shared" si="5"/>
        <v>10</v>
      </c>
      <c r="T16" s="401">
        <f t="shared" si="5"/>
        <v>11</v>
      </c>
      <c r="U16" s="401">
        <f t="shared" si="5"/>
        <v>12</v>
      </c>
      <c r="V16" s="401">
        <f t="shared" si="5"/>
        <v>13</v>
      </c>
      <c r="W16" s="401">
        <f t="shared" si="5"/>
        <v>14</v>
      </c>
      <c r="X16" s="401">
        <f t="shared" si="5"/>
        <v>15</v>
      </c>
      <c r="Y16" s="401">
        <f t="shared" si="5"/>
        <v>16</v>
      </c>
      <c r="Z16" s="401">
        <f t="shared" si="5"/>
        <v>17</v>
      </c>
      <c r="AA16" s="401">
        <f t="shared" si="5"/>
        <v>18</v>
      </c>
      <c r="AB16" s="401">
        <f t="shared" si="5"/>
        <v>19</v>
      </c>
      <c r="AC16" s="401">
        <f t="shared" si="5"/>
        <v>20</v>
      </c>
      <c r="AD16" s="401">
        <f t="shared" si="5"/>
        <v>21</v>
      </c>
      <c r="AE16" s="401">
        <f t="shared" si="5"/>
        <v>22</v>
      </c>
      <c r="AF16" s="401">
        <f t="shared" si="5"/>
        <v>23</v>
      </c>
      <c r="AG16" s="401">
        <f t="shared" si="5"/>
        <v>24</v>
      </c>
      <c r="AH16" s="401">
        <f t="shared" si="5"/>
        <v>25</v>
      </c>
      <c r="AI16" s="401">
        <f t="shared" si="5"/>
        <v>26</v>
      </c>
      <c r="AJ16" s="401">
        <f t="shared" si="5"/>
        <v>27</v>
      </c>
      <c r="AK16" s="401">
        <f t="shared" si="5"/>
        <v>28</v>
      </c>
      <c r="AL16" s="401">
        <f t="shared" si="5"/>
        <v>29</v>
      </c>
      <c r="AM16" s="401">
        <f t="shared" si="5"/>
        <v>30</v>
      </c>
      <c r="AN16" s="401">
        <f t="shared" si="5"/>
        <v>31</v>
      </c>
      <c r="AO16" s="401">
        <f t="shared" si="5"/>
        <v>32</v>
      </c>
      <c r="AP16" s="401">
        <f t="shared" si="5"/>
        <v>33</v>
      </c>
      <c r="AQ16" s="401">
        <f t="shared" si="5"/>
        <v>34</v>
      </c>
      <c r="AR16" s="401">
        <f t="shared" si="5"/>
        <v>35</v>
      </c>
      <c r="AS16" s="401">
        <f t="shared" si="5"/>
        <v>36</v>
      </c>
      <c r="AT16" s="401">
        <f t="shared" si="5"/>
        <v>37</v>
      </c>
      <c r="AU16" s="401">
        <f t="shared" si="5"/>
        <v>38</v>
      </c>
      <c r="AV16" s="401">
        <f t="shared" si="5"/>
        <v>39</v>
      </c>
      <c r="AW16" s="401">
        <f t="shared" si="5"/>
        <v>40</v>
      </c>
      <c r="AX16" s="401">
        <f t="shared" si="5"/>
        <v>41</v>
      </c>
      <c r="AY16" s="401">
        <f t="shared" si="5"/>
        <v>42</v>
      </c>
      <c r="AZ16" s="401">
        <f t="shared" si="5"/>
        <v>43</v>
      </c>
      <c r="BA16" s="401">
        <f t="shared" si="5"/>
        <v>44</v>
      </c>
      <c r="BB16" s="401">
        <f t="shared" si="5"/>
        <v>45</v>
      </c>
      <c r="BC16" s="401">
        <f t="shared" si="5"/>
        <v>46</v>
      </c>
      <c r="BD16" s="401">
        <f t="shared" si="5"/>
        <v>47</v>
      </c>
      <c r="BE16" s="401">
        <f t="shared" si="5"/>
        <v>48</v>
      </c>
      <c r="BF16" s="401">
        <f t="shared" si="5"/>
        <v>49</v>
      </c>
      <c r="BG16" s="401">
        <f t="shared" si="5"/>
        <v>50</v>
      </c>
      <c r="BH16" s="401">
        <f t="shared" si="5"/>
        <v>51</v>
      </c>
      <c r="BI16" s="401">
        <f t="shared" si="5"/>
        <v>52</v>
      </c>
      <c r="BJ16" s="401">
        <f t="shared" si="5"/>
        <v>53</v>
      </c>
      <c r="BK16" s="401">
        <f t="shared" si="5"/>
        <v>54</v>
      </c>
      <c r="BL16" s="401">
        <f t="shared" si="5"/>
        <v>55</v>
      </c>
      <c r="BM16" s="401">
        <f t="shared" si="5"/>
        <v>56</v>
      </c>
      <c r="BN16" s="401">
        <f t="shared" si="5"/>
        <v>57</v>
      </c>
      <c r="BO16" s="401">
        <f t="shared" si="5"/>
        <v>58</v>
      </c>
      <c r="BP16" s="401">
        <f t="shared" si="5"/>
        <v>59</v>
      </c>
      <c r="BQ16" s="401">
        <f t="shared" si="5"/>
        <v>60</v>
      </c>
      <c r="BR16" s="401">
        <f t="shared" si="5"/>
        <v>61</v>
      </c>
      <c r="BS16" s="401">
        <f t="shared" si="5"/>
        <v>62</v>
      </c>
      <c r="BT16" s="401">
        <f t="shared" si="5"/>
        <v>63</v>
      </c>
      <c r="BU16" s="401">
        <f t="shared" si="5"/>
        <v>64</v>
      </c>
      <c r="BV16" s="401">
        <f t="shared" si="5"/>
        <v>65</v>
      </c>
      <c r="BW16" s="401">
        <f t="shared" si="5"/>
        <v>66</v>
      </c>
      <c r="BX16" s="401">
        <f t="shared" ref="BX16:DY16" si="6">BW16+1</f>
        <v>67</v>
      </c>
      <c r="BY16" s="401">
        <f t="shared" si="6"/>
        <v>68</v>
      </c>
      <c r="BZ16" s="401">
        <f t="shared" si="6"/>
        <v>69</v>
      </c>
      <c r="CA16" s="401">
        <f t="shared" si="6"/>
        <v>70</v>
      </c>
      <c r="CB16" s="401">
        <f t="shared" si="6"/>
        <v>71</v>
      </c>
      <c r="CC16" s="401">
        <f t="shared" si="6"/>
        <v>72</v>
      </c>
      <c r="CD16" s="401">
        <f t="shared" si="6"/>
        <v>73</v>
      </c>
      <c r="CE16" s="401">
        <f t="shared" si="6"/>
        <v>74</v>
      </c>
      <c r="CF16" s="401">
        <f t="shared" si="6"/>
        <v>75</v>
      </c>
      <c r="CG16" s="401">
        <f t="shared" si="6"/>
        <v>76</v>
      </c>
      <c r="CH16" s="401">
        <f t="shared" si="6"/>
        <v>77</v>
      </c>
      <c r="CI16" s="401">
        <f t="shared" si="6"/>
        <v>78</v>
      </c>
      <c r="CJ16" s="401">
        <f t="shared" si="6"/>
        <v>79</v>
      </c>
      <c r="CK16" s="401">
        <f t="shared" si="6"/>
        <v>80</v>
      </c>
      <c r="CL16" s="401">
        <f t="shared" si="6"/>
        <v>81</v>
      </c>
      <c r="CM16" s="401">
        <f t="shared" si="6"/>
        <v>82</v>
      </c>
      <c r="CN16" s="401">
        <f t="shared" si="6"/>
        <v>83</v>
      </c>
      <c r="CO16" s="401">
        <f t="shared" si="6"/>
        <v>84</v>
      </c>
      <c r="CP16" s="401">
        <f t="shared" si="6"/>
        <v>85</v>
      </c>
      <c r="CQ16" s="401">
        <f t="shared" si="6"/>
        <v>86</v>
      </c>
      <c r="CR16" s="401">
        <f t="shared" si="6"/>
        <v>87</v>
      </c>
      <c r="CS16" s="401">
        <f t="shared" si="6"/>
        <v>88</v>
      </c>
      <c r="CT16" s="401">
        <f t="shared" si="6"/>
        <v>89</v>
      </c>
      <c r="CU16" s="401">
        <f t="shared" si="6"/>
        <v>90</v>
      </c>
      <c r="CV16" s="401">
        <f t="shared" si="6"/>
        <v>91</v>
      </c>
      <c r="CW16" s="401">
        <f t="shared" si="6"/>
        <v>92</v>
      </c>
      <c r="CX16" s="401">
        <f t="shared" si="6"/>
        <v>93</v>
      </c>
      <c r="CY16" s="401">
        <f t="shared" si="6"/>
        <v>94</v>
      </c>
      <c r="CZ16" s="401">
        <f t="shared" si="6"/>
        <v>95</v>
      </c>
      <c r="DA16" s="401">
        <f t="shared" si="6"/>
        <v>96</v>
      </c>
      <c r="DB16" s="401">
        <f t="shared" si="6"/>
        <v>97</v>
      </c>
      <c r="DC16" s="401">
        <f t="shared" si="6"/>
        <v>98</v>
      </c>
      <c r="DD16" s="401">
        <f t="shared" si="6"/>
        <v>99</v>
      </c>
      <c r="DE16" s="401">
        <f t="shared" si="6"/>
        <v>100</v>
      </c>
      <c r="DF16" s="401">
        <f t="shared" si="6"/>
        <v>101</v>
      </c>
      <c r="DG16" s="401">
        <f t="shared" si="6"/>
        <v>102</v>
      </c>
      <c r="DH16" s="401">
        <f t="shared" si="6"/>
        <v>103</v>
      </c>
      <c r="DI16" s="401">
        <f t="shared" si="6"/>
        <v>104</v>
      </c>
      <c r="DJ16" s="401">
        <f t="shared" si="6"/>
        <v>105</v>
      </c>
      <c r="DK16" s="401">
        <f t="shared" si="6"/>
        <v>106</v>
      </c>
      <c r="DL16" s="401">
        <f t="shared" si="6"/>
        <v>107</v>
      </c>
      <c r="DM16" s="401">
        <f t="shared" si="6"/>
        <v>108</v>
      </c>
      <c r="DN16" s="401">
        <f t="shared" si="6"/>
        <v>109</v>
      </c>
      <c r="DO16" s="401">
        <f t="shared" si="6"/>
        <v>110</v>
      </c>
      <c r="DP16" s="401">
        <f t="shared" si="6"/>
        <v>111</v>
      </c>
      <c r="DQ16" s="401">
        <f t="shared" si="6"/>
        <v>112</v>
      </c>
      <c r="DR16" s="401">
        <f t="shared" si="6"/>
        <v>113</v>
      </c>
      <c r="DS16" s="401">
        <f t="shared" si="6"/>
        <v>114</v>
      </c>
      <c r="DT16" s="401">
        <f t="shared" si="6"/>
        <v>115</v>
      </c>
      <c r="DU16" s="401">
        <f t="shared" si="6"/>
        <v>116</v>
      </c>
      <c r="DV16" s="401">
        <f t="shared" si="6"/>
        <v>117</v>
      </c>
      <c r="DW16" s="401">
        <f t="shared" si="6"/>
        <v>118</v>
      </c>
      <c r="DX16" s="401">
        <f t="shared" si="6"/>
        <v>119</v>
      </c>
      <c r="DY16" s="401">
        <f t="shared" si="6"/>
        <v>120</v>
      </c>
      <c r="DZ16" s="402"/>
      <c r="EA16" s="389"/>
    </row>
    <row r="17" spans="1:131" s="390" customFormat="1">
      <c r="A17" s="389"/>
      <c r="B17" s="389"/>
      <c r="C17" s="389"/>
      <c r="D17" s="389"/>
      <c r="E17" s="457"/>
      <c r="F17" s="389"/>
      <c r="G17" s="795"/>
      <c r="H17" s="829"/>
      <c r="I17" s="389"/>
      <c r="J17" s="703"/>
      <c r="K17" s="703"/>
      <c r="L17" s="703"/>
      <c r="M17" s="703"/>
      <c r="N17" s="703"/>
      <c r="O17" s="703"/>
      <c r="P17" s="703"/>
      <c r="Q17" s="703"/>
      <c r="R17" s="703"/>
      <c r="S17" s="703"/>
      <c r="T17" s="703"/>
      <c r="U17" s="703"/>
      <c r="V17" s="703"/>
      <c r="W17" s="703"/>
      <c r="X17" s="703"/>
      <c r="Y17" s="703"/>
      <c r="Z17" s="703"/>
      <c r="AA17" s="703"/>
      <c r="AB17" s="703"/>
      <c r="AC17" s="703"/>
      <c r="AD17" s="703"/>
      <c r="AE17" s="703"/>
      <c r="AF17" s="703"/>
      <c r="AG17" s="703"/>
      <c r="AH17" s="703"/>
      <c r="AI17" s="703"/>
      <c r="AJ17" s="703"/>
      <c r="AK17" s="703"/>
      <c r="AL17" s="703"/>
      <c r="AM17" s="703"/>
      <c r="AN17" s="703"/>
      <c r="AO17" s="703"/>
      <c r="AP17" s="703"/>
      <c r="AQ17" s="703"/>
      <c r="AR17" s="703"/>
      <c r="AS17" s="703"/>
      <c r="AT17" s="703"/>
      <c r="AU17" s="703"/>
      <c r="AV17" s="703"/>
      <c r="AW17" s="703"/>
      <c r="AX17" s="703"/>
      <c r="AY17" s="703"/>
      <c r="AZ17" s="703"/>
      <c r="BA17" s="703"/>
      <c r="BB17" s="703"/>
      <c r="BC17" s="703"/>
      <c r="BD17" s="703"/>
      <c r="BE17" s="703"/>
      <c r="BF17" s="703"/>
      <c r="BG17" s="703"/>
      <c r="BH17" s="703"/>
      <c r="BI17" s="703"/>
      <c r="BJ17" s="703"/>
      <c r="BK17" s="703"/>
      <c r="BL17" s="703"/>
      <c r="BM17" s="703"/>
      <c r="BN17" s="703"/>
      <c r="BO17" s="703"/>
      <c r="BP17" s="703"/>
      <c r="BQ17" s="703"/>
      <c r="BR17" s="703"/>
      <c r="BS17" s="703"/>
      <c r="BT17" s="703"/>
      <c r="BU17" s="703"/>
      <c r="BV17" s="703"/>
      <c r="BW17" s="703"/>
      <c r="BX17" s="703"/>
      <c r="BY17" s="703"/>
      <c r="BZ17" s="703"/>
      <c r="CA17" s="703"/>
      <c r="CB17" s="703"/>
      <c r="CC17" s="703"/>
      <c r="CD17" s="703"/>
      <c r="CE17" s="703"/>
      <c r="CF17" s="703"/>
      <c r="CG17" s="703"/>
      <c r="CH17" s="703"/>
      <c r="CI17" s="703"/>
      <c r="CJ17" s="703"/>
      <c r="CK17" s="703"/>
      <c r="CL17" s="703"/>
      <c r="CM17" s="703"/>
      <c r="CN17" s="703"/>
      <c r="CO17" s="703"/>
      <c r="CP17" s="703"/>
      <c r="CQ17" s="703"/>
      <c r="CR17" s="703"/>
      <c r="CS17" s="703"/>
      <c r="CT17" s="703"/>
      <c r="CU17" s="703"/>
      <c r="CV17" s="703"/>
      <c r="CW17" s="703"/>
      <c r="CX17" s="703"/>
      <c r="CY17" s="703"/>
      <c r="CZ17" s="703"/>
      <c r="DA17" s="703"/>
      <c r="DB17" s="703"/>
      <c r="DC17" s="703"/>
      <c r="DD17" s="703"/>
      <c r="DE17" s="703"/>
      <c r="DF17" s="703"/>
      <c r="DG17" s="703"/>
      <c r="DH17" s="703"/>
      <c r="DI17" s="703"/>
      <c r="DJ17" s="703"/>
      <c r="DK17" s="703"/>
      <c r="DL17" s="703"/>
      <c r="DM17" s="703"/>
      <c r="DN17" s="703"/>
      <c r="DO17" s="703"/>
      <c r="DP17" s="703"/>
      <c r="DQ17" s="703"/>
      <c r="DR17" s="703"/>
      <c r="DS17" s="703"/>
      <c r="DT17" s="703"/>
      <c r="DU17" s="703"/>
      <c r="DV17" s="703"/>
      <c r="DW17" s="703"/>
      <c r="DX17" s="703"/>
      <c r="DY17" s="703"/>
      <c r="DZ17" s="389"/>
      <c r="EA17" s="389"/>
    </row>
    <row r="18" spans="1:131" s="390" customFormat="1">
      <c r="A18" s="389"/>
      <c r="B18" s="847">
        <f ca="1">G18-'Monthly-CF'!I129</f>
        <v>0</v>
      </c>
      <c r="C18" s="389"/>
      <c r="D18" s="423" t="s">
        <v>530</v>
      </c>
      <c r="F18" s="431"/>
      <c r="G18" s="806">
        <f ca="1">SUM(I18:DY18)</f>
        <v>49098975.72215797</v>
      </c>
      <c r="H18" s="830"/>
      <c r="I18" s="751"/>
      <c r="J18" s="937">
        <f ca="1">'Monthly-CF'!L138</f>
        <v>-5200000</v>
      </c>
      <c r="K18" s="937">
        <f ca="1">'Monthly-CF'!M138</f>
        <v>-391153.00715178321</v>
      </c>
      <c r="L18" s="937">
        <f ca="1">'Monthly-CF'!N138</f>
        <v>-2750737.3328289636</v>
      </c>
      <c r="M18" s="937">
        <f ca="1">'Monthly-CF'!O138</f>
        <v>-2750737.3328289636</v>
      </c>
      <c r="N18" s="937">
        <f ca="1">'Monthly-CF'!P138</f>
        <v>-2750737.3328289636</v>
      </c>
      <c r="O18" s="937">
        <f ca="1">'Monthly-CF'!Q138</f>
        <v>-2750737.3328289636</v>
      </c>
      <c r="P18" s="937">
        <f ca="1">'Monthly-CF'!R138</f>
        <v>-2750737.3328289636</v>
      </c>
      <c r="Q18" s="937">
        <f ca="1">'Monthly-CF'!S138</f>
        <v>-2648862.4467854165</v>
      </c>
      <c r="R18" s="937">
        <f ca="1">'Monthly-CF'!T138</f>
        <v>0</v>
      </c>
      <c r="S18" s="937">
        <f ca="1">'Monthly-CF'!U138</f>
        <v>0</v>
      </c>
      <c r="T18" s="937">
        <f ca="1">'Monthly-CF'!V138</f>
        <v>0</v>
      </c>
      <c r="U18" s="937">
        <f ca="1">'Monthly-CF'!W138</f>
        <v>0</v>
      </c>
      <c r="V18" s="937">
        <f ca="1">'Monthly-CF'!X138</f>
        <v>0</v>
      </c>
      <c r="W18" s="937">
        <f ca="1">'Monthly-CF'!Y138</f>
        <v>0</v>
      </c>
      <c r="X18" s="937">
        <f ca="1">'Monthly-CF'!Z138</f>
        <v>0</v>
      </c>
      <c r="Y18" s="937">
        <f ca="1">'Monthly-CF'!AA138</f>
        <v>0</v>
      </c>
      <c r="Z18" s="937">
        <f ca="1">'Monthly-CF'!AB138</f>
        <v>0</v>
      </c>
      <c r="AA18" s="937">
        <f ca="1">'Monthly-CF'!AC138</f>
        <v>0</v>
      </c>
      <c r="AB18" s="937">
        <f ca="1">'Monthly-CF'!AD138</f>
        <v>0</v>
      </c>
      <c r="AC18" s="937">
        <f ca="1">'Monthly-CF'!AE138</f>
        <v>0</v>
      </c>
      <c r="AD18" s="937">
        <f ca="1">'Monthly-CF'!AF138</f>
        <v>0</v>
      </c>
      <c r="AE18" s="937">
        <f ca="1">'Monthly-CF'!AG138</f>
        <v>0</v>
      </c>
      <c r="AF18" s="937">
        <f ca="1">'Monthly-CF'!AH138</f>
        <v>0</v>
      </c>
      <c r="AG18" s="937">
        <f ca="1">'Monthly-CF'!AI138</f>
        <v>0</v>
      </c>
      <c r="AH18" s="937">
        <f ca="1">'Monthly-CF'!AJ138</f>
        <v>0</v>
      </c>
      <c r="AI18" s="937">
        <f ca="1">'Monthly-CF'!AK138</f>
        <v>9202913.1141238827</v>
      </c>
      <c r="AJ18" s="937">
        <f ca="1">'Monthly-CF'!AL138</f>
        <v>0</v>
      </c>
      <c r="AK18" s="937">
        <f ca="1">'Monthly-CF'!AM138</f>
        <v>8733.0279499195749</v>
      </c>
      <c r="AL18" s="937">
        <f ca="1">'Monthly-CF'!AN138</f>
        <v>121282.88700700144</v>
      </c>
      <c r="AM18" s="937">
        <f ca="1">'Monthly-CF'!AO138</f>
        <v>7251.7013281394029</v>
      </c>
      <c r="AN18" s="937">
        <f ca="1">'Monthly-CF'!AP138</f>
        <v>0</v>
      </c>
      <c r="AO18" s="937">
        <f ca="1">'Monthly-CF'!AQ138</f>
        <v>0</v>
      </c>
      <c r="AP18" s="937">
        <f ca="1">'Monthly-CF'!AR138</f>
        <v>0</v>
      </c>
      <c r="AQ18" s="937">
        <f ca="1">'Monthly-CF'!AS138</f>
        <v>0</v>
      </c>
      <c r="AR18" s="937">
        <f ca="1">'Monthly-CF'!AT138</f>
        <v>65414.922054211376</v>
      </c>
      <c r="AS18" s="937">
        <f ca="1">'Monthly-CF'!AU138</f>
        <v>155324.10182380991</v>
      </c>
      <c r="AT18" s="937">
        <f ca="1">'Monthly-CF'!AV138</f>
        <v>177521.84196787979</v>
      </c>
      <c r="AU18" s="937">
        <f ca="1">'Monthly-CF'!AW138</f>
        <v>99732.883186023217</v>
      </c>
      <c r="AV18" s="937">
        <f ca="1">'Monthly-CF'!AX138</f>
        <v>96873.106623567059</v>
      </c>
      <c r="AW18" s="937">
        <f ca="1">'Monthly-CF'!AY138</f>
        <v>137172.6144919974</v>
      </c>
      <c r="AX18" s="937">
        <f ca="1">'Monthly-CF'!AZ138</f>
        <v>238658.39378987963</v>
      </c>
      <c r="AY18" s="937">
        <f ca="1">'Monthly-CF'!BA138</f>
        <v>85491.1456797102</v>
      </c>
      <c r="AZ18" s="937">
        <f ca="1">'Monthly-CF'!BB138</f>
        <v>0</v>
      </c>
      <c r="BA18" s="937">
        <f ca="1">'Monthly-CF'!BC138</f>
        <v>0</v>
      </c>
      <c r="BB18" s="937">
        <f ca="1">'Monthly-CF'!BD138</f>
        <v>0</v>
      </c>
      <c r="BC18" s="937">
        <f ca="1">'Monthly-CF'!BE138</f>
        <v>105937.21031223715</v>
      </c>
      <c r="BD18" s="937">
        <f ca="1">'Monthly-CF'!BF138</f>
        <v>156201.66153444024</v>
      </c>
      <c r="BE18" s="937">
        <f ca="1">'Monthly-CF'!BG138</f>
        <v>169453.90276853612</v>
      </c>
      <c r="BF18" s="937">
        <f ca="1">'Monthly-CF'!BH138</f>
        <v>178748.9011730362</v>
      </c>
      <c r="BG18" s="937">
        <f ca="1">'Monthly-CF'!BI138</f>
        <v>99721.875262605958</v>
      </c>
      <c r="BH18" s="937">
        <f ca="1">'Monthly-CF'!BJ138</f>
        <v>96826.063886152464</v>
      </c>
      <c r="BI18" s="937">
        <f ca="1">'Monthly-CF'!BK138</f>
        <v>137764.18214132264</v>
      </c>
      <c r="BJ18" s="937">
        <f ca="1">'Monthly-CF'!BL138</f>
        <v>240811.75259696436</v>
      </c>
      <c r="BK18" s="937">
        <f ca="1">'Monthly-CF'!BM138</f>
        <v>85302.743708306225</v>
      </c>
      <c r="BL18" s="937">
        <f ca="1">'Monthly-CF'!BN138</f>
        <v>0</v>
      </c>
      <c r="BM18" s="937">
        <f ca="1">'Monthly-CF'!BO138</f>
        <v>0</v>
      </c>
      <c r="BN18" s="937">
        <f ca="1">'Monthly-CF'!BP138</f>
        <v>0</v>
      </c>
      <c r="BO18" s="937">
        <f ca="1">'Monthly-CF'!BQ138</f>
        <v>127940.10206172825</v>
      </c>
      <c r="BP18" s="937">
        <f ca="1">'Monthly-CF'!BR138</f>
        <v>160159.78975891008</v>
      </c>
      <c r="BQ18" s="937">
        <f ca="1">'Monthly-CF'!BS138</f>
        <v>173600.5900882578</v>
      </c>
      <c r="BR18" s="937">
        <f ca="1">'Monthly-CF'!BT138</f>
        <v>183061.13629277598</v>
      </c>
      <c r="BS18" s="937">
        <f ca="1">'Monthly-CF'!BU138</f>
        <v>102791.76928896154</v>
      </c>
      <c r="BT18" s="937">
        <f ca="1">'Monthly-CF'!BV138</f>
        <v>99860.334808576619</v>
      </c>
      <c r="BU18" s="937">
        <f ca="1">'Monthly-CF'!BW138</f>
        <v>141439.11051660962</v>
      </c>
      <c r="BV18" s="937">
        <f ca="1">'Monthly-CF'!BX138</f>
        <v>246050.84239810857</v>
      </c>
      <c r="BW18" s="937">
        <f ca="1">'Monthly-CF'!BY138</f>
        <v>88197.417607551324</v>
      </c>
      <c r="BX18" s="937">
        <f ca="1">'Monthly-CF'!BZ138</f>
        <v>0</v>
      </c>
      <c r="BY18" s="937">
        <f ca="1">'Monthly-CF'!CA138</f>
        <v>0</v>
      </c>
      <c r="BZ18" s="937">
        <f ca="1">'Monthly-CF'!CB138</f>
        <v>0</v>
      </c>
      <c r="CA18" s="937">
        <f ca="1">'Monthly-CF'!CC138</f>
        <v>118449.99058258953</v>
      </c>
      <c r="CB18" s="937">
        <f ca="1">'Monthly-CF'!CD138</f>
        <v>163959.39898035233</v>
      </c>
      <c r="CC18" s="937">
        <f ca="1">'Monthly-CF'!CE138</f>
        <v>177588.14493355679</v>
      </c>
      <c r="CD18" s="937">
        <f ca="1">'Monthly-CF'!CF138</f>
        <v>187215.67703480471</v>
      </c>
      <c r="CE18" s="937">
        <f ca="1">'Monthly-CF'!CG138</f>
        <v>105700.55279532238</v>
      </c>
      <c r="CF18" s="937">
        <f ca="1">'Monthly-CF'!CH138</f>
        <v>102733.9640550093</v>
      </c>
      <c r="CG18" s="937">
        <f ca="1">'Monthly-CF'!CI138</f>
        <v>144954.99235664727</v>
      </c>
      <c r="CH18" s="937">
        <f ca="1">'Monthly-CF'!CJ138</f>
        <v>251131.99253614433</v>
      </c>
      <c r="CI18" s="937">
        <f ca="1">'Monthly-CF'!CK138</f>
        <v>90933.444997574203</v>
      </c>
      <c r="CJ18" s="937">
        <f ca="1">'Monthly-CF'!CL138</f>
        <v>0</v>
      </c>
      <c r="CK18" s="937">
        <f ca="1">'Monthly-CF'!CM138</f>
        <v>0</v>
      </c>
      <c r="CL18" s="937">
        <f ca="1">'Monthly-CF'!CN138</f>
        <v>0</v>
      </c>
      <c r="CM18" s="937">
        <f ca="1">'Monthly-CF'!CO138</f>
        <v>125341.39145291294</v>
      </c>
      <c r="CN18" s="937">
        <f ca="1">'Monthly-CF'!CP138</f>
        <v>167587.28647045814</v>
      </c>
      <c r="CO18" s="937">
        <f ca="1">'Monthly-CF'!CQ138</f>
        <v>181403.15806465398</v>
      </c>
      <c r="CP18" s="937">
        <f ca="1">'Monthly-CF'!CR138</f>
        <v>194138.413022722</v>
      </c>
      <c r="CQ18" s="937">
        <f ca="1">'Monthly-CF'!CS138</f>
        <v>111375.02854373492</v>
      </c>
      <c r="CR18" s="937">
        <f ca="1">'Monthly-CF'!CT138</f>
        <v>108373.81457893027</v>
      </c>
      <c r="CS18" s="937">
        <f ca="1">'Monthly-CF'!CU138</f>
        <v>151238.2097316524</v>
      </c>
      <c r="CT18" s="937">
        <f ca="1">'Monthly-CF'!CV138</f>
        <v>258980.24374833447</v>
      </c>
      <c r="CU18" s="937">
        <f ca="1">'Monthly-CF'!CW138</f>
        <v>96437.934179181932</v>
      </c>
      <c r="CV18" s="937">
        <f ca="1">'Monthly-CF'!CX138</f>
        <v>0</v>
      </c>
      <c r="CW18" s="937">
        <f ca="1">'Monthly-CF'!CY138</f>
        <v>0</v>
      </c>
      <c r="CX18" s="937">
        <f ca="1">'Monthly-CF'!CZ138</f>
        <v>0</v>
      </c>
      <c r="CY18" s="937">
        <f ca="1">'Monthly-CF'!DA138</f>
        <v>168320.99938580988</v>
      </c>
      <c r="CZ18" s="937">
        <f ca="1">'Monthly-CF'!DB138</f>
        <v>184256.39470534038</v>
      </c>
      <c r="DA18" s="937">
        <f ca="1">'Monthly-CF'!DC138</f>
        <v>198486.74244736205</v>
      </c>
      <c r="DB18" s="937">
        <f ca="1">'Monthly-CF'!DD138</f>
        <v>186046.72208652296</v>
      </c>
      <c r="DC18" s="937">
        <f ca="1">'Monthly-CF'!DE138</f>
        <v>100800.43607316667</v>
      </c>
      <c r="DD18" s="937">
        <f ca="1">'Monthly-CF'!DF138</f>
        <v>97709.185689417995</v>
      </c>
      <c r="DE18" s="937">
        <f ca="1">'Monthly-CF'!DG138</f>
        <v>141859.51269672159</v>
      </c>
      <c r="DF18" s="937">
        <f ca="1">'Monthly-CF'!DH138</f>
        <v>252833.80773390399</v>
      </c>
      <c r="DG18" s="937">
        <f ca="1">'Monthly-CF'!DI138</f>
        <v>85415.228877676884</v>
      </c>
      <c r="DH18" s="937">
        <f ca="1">'Monthly-CF'!DJ138</f>
        <v>0</v>
      </c>
      <c r="DI18" s="937">
        <f ca="1">'Monthly-CF'!DK138</f>
        <v>0</v>
      </c>
      <c r="DJ18" s="937">
        <f ca="1">'Monthly-CF'!DL138</f>
        <v>0</v>
      </c>
      <c r="DK18" s="937">
        <f ca="1">'Monthly-CF'!DM138</f>
        <v>136310.52398167783</v>
      </c>
      <c r="DL18" s="937">
        <f ca="1">'Monthly-CF'!DN138</f>
        <v>175868.24321961985</v>
      </c>
      <c r="DM18" s="937">
        <f ca="1">'Monthly-CF'!DO138</f>
        <v>190525.50139390258</v>
      </c>
      <c r="DN18" s="937">
        <f ca="1">'Monthly-CF'!DP138</f>
        <v>199237.96802111238</v>
      </c>
      <c r="DO18" s="937">
        <f ca="1">'Monthly-CF'!DQ138</f>
        <v>111434.29342735547</v>
      </c>
      <c r="DP18" s="937">
        <f ca="1">'Monthly-CF'!DR138</f>
        <v>108250.30553209397</v>
      </c>
      <c r="DQ18" s="937">
        <f ca="1">'Monthly-CF'!DS138</f>
        <v>153725.14234961709</v>
      </c>
      <c r="DR18" s="937">
        <f ca="1">'Monthly-CF'!DT138</f>
        <v>268028.66623791517</v>
      </c>
      <c r="DS18" s="937">
        <f ca="1">'Monthly-CF'!DU138</f>
        <v>95587.530016001081</v>
      </c>
      <c r="DT18" s="937">
        <f ca="1">'Monthly-CF'!DV138</f>
        <v>0</v>
      </c>
      <c r="DU18" s="937">
        <f ca="1">'Monthly-CF'!DW138</f>
        <v>0</v>
      </c>
      <c r="DV18" s="937">
        <f ca="1">'Monthly-CF'!DX138</f>
        <v>0</v>
      </c>
      <c r="DW18" s="937">
        <f ca="1">'Monthly-CF'!DY138</f>
        <v>151677.85082963295</v>
      </c>
      <c r="DX18" s="937">
        <f ca="1">'Monthly-CF'!DZ138</f>
        <v>188754.13478820259</v>
      </c>
      <c r="DY18" s="937">
        <f ca="1">'Monthly-CF'!EA138</f>
        <v>52169765.886451244</v>
      </c>
      <c r="DZ18" s="882"/>
      <c r="EA18" s="389"/>
    </row>
    <row r="19" spans="1:131" s="390" customFormat="1">
      <c r="A19" s="389"/>
      <c r="B19" s="389"/>
      <c r="C19" s="389"/>
      <c r="D19" s="869" t="s">
        <v>347</v>
      </c>
      <c r="E19" s="870">
        <f ca="1">XIRR(J18:DY18,J14:DY14)</f>
        <v>0.17306911349296569</v>
      </c>
      <c r="F19" s="397"/>
      <c r="G19" s="796"/>
      <c r="H19" s="831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  <c r="AM19" s="389"/>
      <c r="AN19" s="389"/>
      <c r="AO19" s="389"/>
      <c r="AP19" s="389"/>
      <c r="AQ19" s="389"/>
      <c r="AR19" s="389"/>
      <c r="AS19" s="389"/>
      <c r="AT19" s="389"/>
      <c r="AU19" s="389"/>
      <c r="AV19" s="389"/>
      <c r="AW19" s="389"/>
      <c r="AX19" s="389"/>
      <c r="AY19" s="389"/>
      <c r="AZ19" s="389"/>
      <c r="BA19" s="389"/>
      <c r="BB19" s="389"/>
      <c r="BC19" s="389"/>
      <c r="BD19" s="389"/>
      <c r="BE19" s="389"/>
      <c r="BF19" s="389"/>
      <c r="BG19" s="389"/>
      <c r="BH19" s="389"/>
      <c r="BI19" s="389"/>
      <c r="BJ19" s="389"/>
      <c r="BK19" s="389"/>
      <c r="BL19" s="389"/>
      <c r="BM19" s="389"/>
      <c r="BN19" s="389"/>
      <c r="BO19" s="389"/>
      <c r="BP19" s="389"/>
      <c r="BQ19" s="389"/>
      <c r="BR19" s="389"/>
      <c r="BS19" s="389"/>
      <c r="BT19" s="389"/>
      <c r="BU19" s="389"/>
      <c r="BV19" s="389"/>
      <c r="BW19" s="389"/>
      <c r="BX19" s="389"/>
      <c r="BY19" s="389"/>
      <c r="BZ19" s="389"/>
      <c r="CA19" s="389"/>
      <c r="CB19" s="389"/>
      <c r="CC19" s="389"/>
      <c r="CD19" s="389"/>
      <c r="CE19" s="389"/>
      <c r="CF19" s="389"/>
      <c r="CG19" s="389"/>
      <c r="CH19" s="389"/>
      <c r="CI19" s="389"/>
      <c r="CJ19" s="389"/>
      <c r="CK19" s="389"/>
      <c r="CL19" s="389"/>
      <c r="CM19" s="389"/>
      <c r="CN19" s="389"/>
      <c r="CO19" s="389"/>
      <c r="CP19" s="389"/>
      <c r="CQ19" s="389"/>
      <c r="CR19" s="389"/>
      <c r="CS19" s="389"/>
      <c r="CT19" s="389"/>
      <c r="CU19" s="389"/>
      <c r="CV19" s="389"/>
      <c r="CW19" s="389"/>
      <c r="CX19" s="389"/>
      <c r="CY19" s="389"/>
      <c r="CZ19" s="389"/>
      <c r="DA19" s="389"/>
      <c r="DB19" s="389"/>
      <c r="DC19" s="389"/>
      <c r="DD19" s="389"/>
      <c r="DE19" s="389"/>
      <c r="DF19" s="389"/>
      <c r="DG19" s="389"/>
      <c r="DH19" s="389"/>
      <c r="DI19" s="389"/>
      <c r="DJ19" s="389"/>
      <c r="DK19" s="389"/>
      <c r="DL19" s="389"/>
      <c r="DM19" s="389"/>
      <c r="DN19" s="389"/>
      <c r="DO19" s="389"/>
      <c r="DP19" s="389"/>
      <c r="DQ19" s="389"/>
      <c r="DR19" s="389"/>
      <c r="DS19" s="389"/>
      <c r="DT19" s="389"/>
      <c r="DU19" s="389"/>
      <c r="DV19" s="389"/>
      <c r="DW19" s="389"/>
      <c r="DX19" s="389"/>
      <c r="DY19" s="389"/>
      <c r="DZ19" s="882"/>
      <c r="EA19" s="389"/>
    </row>
    <row r="20" spans="1:131" s="390" customFormat="1">
      <c r="A20" s="389"/>
      <c r="B20" s="389"/>
      <c r="C20" s="389"/>
      <c r="D20" s="389"/>
      <c r="G20" s="796"/>
      <c r="H20" s="832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  <c r="AM20" s="389"/>
      <c r="AN20" s="389"/>
      <c r="AO20" s="389"/>
      <c r="AP20" s="389"/>
      <c r="AQ20" s="389"/>
      <c r="AR20" s="389"/>
      <c r="AS20" s="389"/>
      <c r="AT20" s="389"/>
      <c r="AU20" s="389"/>
      <c r="AV20" s="389"/>
      <c r="AW20" s="389"/>
      <c r="AX20" s="389"/>
      <c r="AY20" s="389"/>
      <c r="AZ20" s="389"/>
      <c r="BA20" s="389"/>
      <c r="BB20" s="389"/>
      <c r="BC20" s="389"/>
      <c r="BD20" s="389"/>
      <c r="BE20" s="389"/>
      <c r="BF20" s="389"/>
      <c r="BG20" s="389"/>
      <c r="BH20" s="389"/>
      <c r="BI20" s="389"/>
      <c r="BJ20" s="389"/>
      <c r="BK20" s="389"/>
      <c r="BL20" s="389"/>
      <c r="BM20" s="389"/>
      <c r="BN20" s="389"/>
      <c r="BO20" s="389"/>
      <c r="BP20" s="389"/>
      <c r="BQ20" s="389"/>
      <c r="BR20" s="389"/>
      <c r="BS20" s="389"/>
      <c r="BT20" s="389"/>
      <c r="BU20" s="389"/>
      <c r="BV20" s="389"/>
      <c r="BW20" s="389"/>
      <c r="BX20" s="389"/>
      <c r="BY20" s="389"/>
      <c r="BZ20" s="389"/>
      <c r="CA20" s="389"/>
      <c r="CB20" s="389"/>
      <c r="CC20" s="389"/>
      <c r="CD20" s="389"/>
      <c r="CE20" s="389"/>
      <c r="CF20" s="389"/>
      <c r="CG20" s="389"/>
      <c r="CH20" s="389"/>
      <c r="CI20" s="389"/>
      <c r="CJ20" s="389"/>
      <c r="CK20" s="389"/>
      <c r="CL20" s="389"/>
      <c r="CM20" s="389"/>
      <c r="CN20" s="389"/>
      <c r="CO20" s="389"/>
      <c r="CP20" s="389"/>
      <c r="CQ20" s="389"/>
      <c r="CR20" s="389"/>
      <c r="CS20" s="389"/>
      <c r="CT20" s="389"/>
      <c r="CU20" s="389"/>
      <c r="CV20" s="389"/>
      <c r="CW20" s="389"/>
      <c r="CX20" s="389"/>
      <c r="CY20" s="389"/>
      <c r="CZ20" s="389"/>
      <c r="DA20" s="389"/>
      <c r="DB20" s="389"/>
      <c r="DC20" s="389"/>
      <c r="DD20" s="389"/>
      <c r="DE20" s="389"/>
      <c r="DF20" s="389"/>
      <c r="DG20" s="389"/>
      <c r="DH20" s="389"/>
      <c r="DI20" s="389"/>
      <c r="DJ20" s="389"/>
      <c r="DK20" s="389"/>
      <c r="DL20" s="389"/>
      <c r="DM20" s="389"/>
      <c r="DN20" s="389"/>
      <c r="DO20" s="389"/>
      <c r="DP20" s="389"/>
      <c r="DQ20" s="389"/>
      <c r="DR20" s="389"/>
      <c r="DS20" s="389"/>
      <c r="DT20" s="389"/>
      <c r="DU20" s="389"/>
      <c r="DV20" s="389"/>
      <c r="DW20" s="389"/>
      <c r="DX20" s="389"/>
      <c r="DY20" s="389"/>
      <c r="DZ20" s="389"/>
      <c r="EA20" s="389"/>
    </row>
    <row r="21" spans="1:131" s="390" customFormat="1">
      <c r="A21" s="389"/>
      <c r="B21" s="433"/>
      <c r="C21" s="389"/>
      <c r="D21" s="433" t="s">
        <v>112</v>
      </c>
      <c r="E21" s="389"/>
      <c r="F21" s="389"/>
      <c r="G21" s="796"/>
      <c r="H21" s="82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  <c r="AM21" s="389"/>
      <c r="AN21" s="389"/>
      <c r="AO21" s="389"/>
      <c r="AP21" s="389"/>
      <c r="AQ21" s="389"/>
      <c r="AR21" s="389"/>
      <c r="AS21" s="389"/>
      <c r="AT21" s="389"/>
      <c r="AU21" s="389"/>
      <c r="AV21" s="389"/>
      <c r="AW21" s="389"/>
      <c r="AX21" s="389"/>
      <c r="AY21" s="389"/>
      <c r="AZ21" s="389"/>
      <c r="BA21" s="389"/>
      <c r="BB21" s="389"/>
      <c r="BC21" s="389"/>
      <c r="BD21" s="389"/>
      <c r="BE21" s="389"/>
      <c r="BF21" s="389"/>
      <c r="BG21" s="389"/>
      <c r="BH21" s="389"/>
      <c r="BI21" s="389"/>
      <c r="BJ21" s="389"/>
      <c r="BK21" s="389"/>
      <c r="BL21" s="389"/>
      <c r="BM21" s="389"/>
      <c r="BN21" s="389"/>
      <c r="BO21" s="389"/>
      <c r="BP21" s="389"/>
      <c r="BQ21" s="389"/>
      <c r="BR21" s="389"/>
      <c r="BS21" s="389"/>
      <c r="BT21" s="389"/>
      <c r="BU21" s="389"/>
      <c r="BV21" s="389"/>
      <c r="BW21" s="389"/>
      <c r="BX21" s="389"/>
      <c r="BY21" s="389"/>
      <c r="BZ21" s="389"/>
      <c r="CA21" s="389"/>
      <c r="CB21" s="389"/>
      <c r="CC21" s="389"/>
      <c r="CD21" s="389"/>
      <c r="CE21" s="389"/>
      <c r="CF21" s="389"/>
      <c r="CG21" s="389"/>
      <c r="CH21" s="389"/>
      <c r="CI21" s="389"/>
      <c r="CJ21" s="389"/>
      <c r="CK21" s="389"/>
      <c r="CL21" s="389"/>
      <c r="CM21" s="389"/>
      <c r="CN21" s="389"/>
      <c r="CO21" s="389"/>
      <c r="CP21" s="389"/>
      <c r="CQ21" s="389"/>
      <c r="CR21" s="389"/>
      <c r="CS21" s="389"/>
      <c r="CT21" s="389"/>
      <c r="CU21" s="389"/>
      <c r="CV21" s="389"/>
      <c r="CW21" s="389"/>
      <c r="CX21" s="389"/>
      <c r="CY21" s="389"/>
      <c r="CZ21" s="389"/>
      <c r="DA21" s="389"/>
      <c r="DB21" s="389"/>
      <c r="DC21" s="389"/>
      <c r="DD21" s="389"/>
      <c r="DE21" s="389"/>
      <c r="DF21" s="389"/>
      <c r="DG21" s="389"/>
      <c r="DH21" s="389"/>
      <c r="DI21" s="389"/>
      <c r="DJ21" s="389"/>
      <c r="DK21" s="389"/>
      <c r="DL21" s="389"/>
      <c r="DM21" s="389"/>
      <c r="DN21" s="389"/>
      <c r="DO21" s="389"/>
      <c r="DP21" s="389"/>
      <c r="DQ21" s="389"/>
      <c r="DR21" s="389"/>
      <c r="DS21" s="389"/>
      <c r="DT21" s="389"/>
      <c r="DU21" s="389"/>
      <c r="DV21" s="389"/>
      <c r="DW21" s="389"/>
      <c r="DX21" s="389"/>
      <c r="DY21" s="389"/>
      <c r="DZ21" s="389"/>
      <c r="EA21" s="389"/>
    </row>
    <row r="22" spans="1:131" s="390" customFormat="1">
      <c r="A22" s="389"/>
      <c r="B22" s="389"/>
      <c r="C22" s="389"/>
      <c r="D22" s="389" t="str">
        <f>J7</f>
        <v>Outside Investor</v>
      </c>
      <c r="E22" s="434">
        <f>J9</f>
        <v>0.9</v>
      </c>
      <c r="F22" s="434"/>
      <c r="G22" s="816">
        <f ca="1">SUM(I22:DY22)</f>
        <v>-19794331.906273816</v>
      </c>
      <c r="H22" s="833"/>
      <c r="I22" s="703">
        <f>$I$18*E22</f>
        <v>0</v>
      </c>
      <c r="J22" s="703">
        <f t="shared" ref="J22:AO22" ca="1" si="7">IF(J18&lt;0,J18*$J$9,0)</f>
        <v>-4680000</v>
      </c>
      <c r="K22" s="703">
        <f t="shared" ca="1" si="7"/>
        <v>-352037.7064366049</v>
      </c>
      <c r="L22" s="703">
        <f t="shared" ca="1" si="7"/>
        <v>-2475663.5995460674</v>
      </c>
      <c r="M22" s="703">
        <f t="shared" ca="1" si="7"/>
        <v>-2475663.5995460674</v>
      </c>
      <c r="N22" s="703">
        <f t="shared" ca="1" si="7"/>
        <v>-2475663.5995460674</v>
      </c>
      <c r="O22" s="703">
        <f t="shared" ca="1" si="7"/>
        <v>-2475663.5995460674</v>
      </c>
      <c r="P22" s="703">
        <f t="shared" ca="1" si="7"/>
        <v>-2475663.5995460674</v>
      </c>
      <c r="Q22" s="703">
        <f t="shared" ca="1" si="7"/>
        <v>-2383976.2021068749</v>
      </c>
      <c r="R22" s="703">
        <f t="shared" ca="1" si="7"/>
        <v>0</v>
      </c>
      <c r="S22" s="703">
        <f t="shared" ca="1" si="7"/>
        <v>0</v>
      </c>
      <c r="T22" s="703">
        <f t="shared" ca="1" si="7"/>
        <v>0</v>
      </c>
      <c r="U22" s="703">
        <f t="shared" ca="1" si="7"/>
        <v>0</v>
      </c>
      <c r="V22" s="703">
        <f t="shared" ca="1" si="7"/>
        <v>0</v>
      </c>
      <c r="W22" s="703">
        <f t="shared" ca="1" si="7"/>
        <v>0</v>
      </c>
      <c r="X22" s="703">
        <f t="shared" ca="1" si="7"/>
        <v>0</v>
      </c>
      <c r="Y22" s="703">
        <f t="shared" ca="1" si="7"/>
        <v>0</v>
      </c>
      <c r="Z22" s="703">
        <f t="shared" ca="1" si="7"/>
        <v>0</v>
      </c>
      <c r="AA22" s="703">
        <f t="shared" ca="1" si="7"/>
        <v>0</v>
      </c>
      <c r="AB22" s="703">
        <f t="shared" ca="1" si="7"/>
        <v>0</v>
      </c>
      <c r="AC22" s="703">
        <f t="shared" ca="1" si="7"/>
        <v>0</v>
      </c>
      <c r="AD22" s="703">
        <f t="shared" ca="1" si="7"/>
        <v>0</v>
      </c>
      <c r="AE22" s="703">
        <f t="shared" ca="1" si="7"/>
        <v>0</v>
      </c>
      <c r="AF22" s="703">
        <f t="shared" ca="1" si="7"/>
        <v>0</v>
      </c>
      <c r="AG22" s="703">
        <f t="shared" ca="1" si="7"/>
        <v>0</v>
      </c>
      <c r="AH22" s="703">
        <f t="shared" ca="1" si="7"/>
        <v>0</v>
      </c>
      <c r="AI22" s="703">
        <f t="shared" ca="1" si="7"/>
        <v>0</v>
      </c>
      <c r="AJ22" s="703">
        <f t="shared" ca="1" si="7"/>
        <v>0</v>
      </c>
      <c r="AK22" s="703">
        <f t="shared" ca="1" si="7"/>
        <v>0</v>
      </c>
      <c r="AL22" s="703">
        <f t="shared" ca="1" si="7"/>
        <v>0</v>
      </c>
      <c r="AM22" s="703">
        <f t="shared" ca="1" si="7"/>
        <v>0</v>
      </c>
      <c r="AN22" s="703">
        <f t="shared" ca="1" si="7"/>
        <v>0</v>
      </c>
      <c r="AO22" s="703">
        <f t="shared" ca="1" si="7"/>
        <v>0</v>
      </c>
      <c r="AP22" s="703">
        <f t="shared" ref="AP22:BU22" ca="1" si="8">IF(AP18&lt;0,AP18*$J$9,0)</f>
        <v>0</v>
      </c>
      <c r="AQ22" s="703">
        <f t="shared" ca="1" si="8"/>
        <v>0</v>
      </c>
      <c r="AR22" s="703">
        <f t="shared" ca="1" si="8"/>
        <v>0</v>
      </c>
      <c r="AS22" s="703">
        <f t="shared" ca="1" si="8"/>
        <v>0</v>
      </c>
      <c r="AT22" s="703">
        <f t="shared" ca="1" si="8"/>
        <v>0</v>
      </c>
      <c r="AU22" s="703">
        <f t="shared" ca="1" si="8"/>
        <v>0</v>
      </c>
      <c r="AV22" s="703">
        <f t="shared" ca="1" si="8"/>
        <v>0</v>
      </c>
      <c r="AW22" s="703">
        <f t="shared" ca="1" si="8"/>
        <v>0</v>
      </c>
      <c r="AX22" s="703">
        <f t="shared" ca="1" si="8"/>
        <v>0</v>
      </c>
      <c r="AY22" s="703">
        <f t="shared" ca="1" si="8"/>
        <v>0</v>
      </c>
      <c r="AZ22" s="703">
        <f t="shared" ca="1" si="8"/>
        <v>0</v>
      </c>
      <c r="BA22" s="703">
        <f t="shared" ca="1" si="8"/>
        <v>0</v>
      </c>
      <c r="BB22" s="703">
        <f t="shared" ca="1" si="8"/>
        <v>0</v>
      </c>
      <c r="BC22" s="703">
        <f t="shared" ca="1" si="8"/>
        <v>0</v>
      </c>
      <c r="BD22" s="703">
        <f t="shared" ca="1" si="8"/>
        <v>0</v>
      </c>
      <c r="BE22" s="703">
        <f t="shared" ca="1" si="8"/>
        <v>0</v>
      </c>
      <c r="BF22" s="703">
        <f t="shared" ca="1" si="8"/>
        <v>0</v>
      </c>
      <c r="BG22" s="703">
        <f t="shared" ca="1" si="8"/>
        <v>0</v>
      </c>
      <c r="BH22" s="703">
        <f t="shared" ca="1" si="8"/>
        <v>0</v>
      </c>
      <c r="BI22" s="703">
        <f t="shared" ca="1" si="8"/>
        <v>0</v>
      </c>
      <c r="BJ22" s="703">
        <f t="shared" ca="1" si="8"/>
        <v>0</v>
      </c>
      <c r="BK22" s="703">
        <f t="shared" ca="1" si="8"/>
        <v>0</v>
      </c>
      <c r="BL22" s="703">
        <f t="shared" ca="1" si="8"/>
        <v>0</v>
      </c>
      <c r="BM22" s="703">
        <f t="shared" ca="1" si="8"/>
        <v>0</v>
      </c>
      <c r="BN22" s="703">
        <f t="shared" ca="1" si="8"/>
        <v>0</v>
      </c>
      <c r="BO22" s="703">
        <f t="shared" ca="1" si="8"/>
        <v>0</v>
      </c>
      <c r="BP22" s="703">
        <f t="shared" ca="1" si="8"/>
        <v>0</v>
      </c>
      <c r="BQ22" s="703">
        <f t="shared" ca="1" si="8"/>
        <v>0</v>
      </c>
      <c r="BR22" s="703">
        <f t="shared" ca="1" si="8"/>
        <v>0</v>
      </c>
      <c r="BS22" s="703">
        <f t="shared" ca="1" si="8"/>
        <v>0</v>
      </c>
      <c r="BT22" s="703">
        <f t="shared" ca="1" si="8"/>
        <v>0</v>
      </c>
      <c r="BU22" s="703">
        <f t="shared" ca="1" si="8"/>
        <v>0</v>
      </c>
      <c r="BV22" s="703">
        <f t="shared" ref="BV22:DA22" ca="1" si="9">IF(BV18&lt;0,BV18*$J$9,0)</f>
        <v>0</v>
      </c>
      <c r="BW22" s="703">
        <f t="shared" ca="1" si="9"/>
        <v>0</v>
      </c>
      <c r="BX22" s="703">
        <f t="shared" ca="1" si="9"/>
        <v>0</v>
      </c>
      <c r="BY22" s="703">
        <f t="shared" ca="1" si="9"/>
        <v>0</v>
      </c>
      <c r="BZ22" s="703">
        <f t="shared" ca="1" si="9"/>
        <v>0</v>
      </c>
      <c r="CA22" s="703">
        <f t="shared" ca="1" si="9"/>
        <v>0</v>
      </c>
      <c r="CB22" s="703">
        <f t="shared" ca="1" si="9"/>
        <v>0</v>
      </c>
      <c r="CC22" s="703">
        <f t="shared" ca="1" si="9"/>
        <v>0</v>
      </c>
      <c r="CD22" s="703">
        <f t="shared" ca="1" si="9"/>
        <v>0</v>
      </c>
      <c r="CE22" s="703">
        <f t="shared" ca="1" si="9"/>
        <v>0</v>
      </c>
      <c r="CF22" s="703">
        <f t="shared" ca="1" si="9"/>
        <v>0</v>
      </c>
      <c r="CG22" s="703">
        <f t="shared" ca="1" si="9"/>
        <v>0</v>
      </c>
      <c r="CH22" s="703">
        <f t="shared" ca="1" si="9"/>
        <v>0</v>
      </c>
      <c r="CI22" s="703">
        <f t="shared" ca="1" si="9"/>
        <v>0</v>
      </c>
      <c r="CJ22" s="703">
        <f t="shared" ca="1" si="9"/>
        <v>0</v>
      </c>
      <c r="CK22" s="703">
        <f t="shared" ca="1" si="9"/>
        <v>0</v>
      </c>
      <c r="CL22" s="703">
        <f t="shared" ca="1" si="9"/>
        <v>0</v>
      </c>
      <c r="CM22" s="703">
        <f t="shared" ca="1" si="9"/>
        <v>0</v>
      </c>
      <c r="CN22" s="703">
        <f t="shared" ca="1" si="9"/>
        <v>0</v>
      </c>
      <c r="CO22" s="703">
        <f t="shared" ca="1" si="9"/>
        <v>0</v>
      </c>
      <c r="CP22" s="703">
        <f t="shared" ca="1" si="9"/>
        <v>0</v>
      </c>
      <c r="CQ22" s="703">
        <f t="shared" ca="1" si="9"/>
        <v>0</v>
      </c>
      <c r="CR22" s="703">
        <f t="shared" ca="1" si="9"/>
        <v>0</v>
      </c>
      <c r="CS22" s="703">
        <f t="shared" ca="1" si="9"/>
        <v>0</v>
      </c>
      <c r="CT22" s="703">
        <f t="shared" ca="1" si="9"/>
        <v>0</v>
      </c>
      <c r="CU22" s="703">
        <f t="shared" ca="1" si="9"/>
        <v>0</v>
      </c>
      <c r="CV22" s="703">
        <f t="shared" ca="1" si="9"/>
        <v>0</v>
      </c>
      <c r="CW22" s="703">
        <f t="shared" ca="1" si="9"/>
        <v>0</v>
      </c>
      <c r="CX22" s="703">
        <f t="shared" ca="1" si="9"/>
        <v>0</v>
      </c>
      <c r="CY22" s="703">
        <f t="shared" ca="1" si="9"/>
        <v>0</v>
      </c>
      <c r="CZ22" s="703">
        <f t="shared" ca="1" si="9"/>
        <v>0</v>
      </c>
      <c r="DA22" s="703">
        <f t="shared" ca="1" si="9"/>
        <v>0</v>
      </c>
      <c r="DB22" s="703">
        <f t="shared" ref="DB22:DY22" ca="1" si="10">IF(DB18&lt;0,DB18*$J$9,0)</f>
        <v>0</v>
      </c>
      <c r="DC22" s="703">
        <f t="shared" ca="1" si="10"/>
        <v>0</v>
      </c>
      <c r="DD22" s="703">
        <f t="shared" ca="1" si="10"/>
        <v>0</v>
      </c>
      <c r="DE22" s="703">
        <f t="shared" ca="1" si="10"/>
        <v>0</v>
      </c>
      <c r="DF22" s="703">
        <f t="shared" ca="1" si="10"/>
        <v>0</v>
      </c>
      <c r="DG22" s="703">
        <f t="shared" ca="1" si="10"/>
        <v>0</v>
      </c>
      <c r="DH22" s="703">
        <f t="shared" ca="1" si="10"/>
        <v>0</v>
      </c>
      <c r="DI22" s="703">
        <f t="shared" ca="1" si="10"/>
        <v>0</v>
      </c>
      <c r="DJ22" s="703">
        <f t="shared" ca="1" si="10"/>
        <v>0</v>
      </c>
      <c r="DK22" s="703">
        <f t="shared" ca="1" si="10"/>
        <v>0</v>
      </c>
      <c r="DL22" s="703">
        <f t="shared" ca="1" si="10"/>
        <v>0</v>
      </c>
      <c r="DM22" s="703">
        <f t="shared" ca="1" si="10"/>
        <v>0</v>
      </c>
      <c r="DN22" s="703">
        <f t="shared" ca="1" si="10"/>
        <v>0</v>
      </c>
      <c r="DO22" s="703">
        <f t="shared" ca="1" si="10"/>
        <v>0</v>
      </c>
      <c r="DP22" s="703">
        <f t="shared" ca="1" si="10"/>
        <v>0</v>
      </c>
      <c r="DQ22" s="703">
        <f t="shared" ca="1" si="10"/>
        <v>0</v>
      </c>
      <c r="DR22" s="703">
        <f t="shared" ca="1" si="10"/>
        <v>0</v>
      </c>
      <c r="DS22" s="703">
        <f t="shared" ca="1" si="10"/>
        <v>0</v>
      </c>
      <c r="DT22" s="703">
        <f t="shared" ca="1" si="10"/>
        <v>0</v>
      </c>
      <c r="DU22" s="703">
        <f t="shared" ca="1" si="10"/>
        <v>0</v>
      </c>
      <c r="DV22" s="703">
        <f t="shared" ca="1" si="10"/>
        <v>0</v>
      </c>
      <c r="DW22" s="703">
        <f t="shared" ca="1" si="10"/>
        <v>0</v>
      </c>
      <c r="DX22" s="703">
        <f t="shared" ca="1" si="10"/>
        <v>0</v>
      </c>
      <c r="DY22" s="703">
        <f t="shared" ca="1" si="10"/>
        <v>0</v>
      </c>
      <c r="DZ22" s="879"/>
      <c r="EA22" s="879"/>
    </row>
    <row r="23" spans="1:131" s="390" customFormat="1">
      <c r="A23" s="389"/>
      <c r="B23" s="389"/>
      <c r="C23" s="389"/>
      <c r="D23" s="389" t="str">
        <f>K7</f>
        <v>Sponsor Investors</v>
      </c>
      <c r="E23" s="434">
        <f>1-E22</f>
        <v>9.9999999999999978E-2</v>
      </c>
      <c r="F23" s="434"/>
      <c r="G23" s="817">
        <f t="shared" ref="G23:G24" ca="1" si="11">SUM(I23:DY23)</f>
        <v>-2199370.2118082009</v>
      </c>
      <c r="H23" s="833"/>
      <c r="I23" s="713">
        <f>$I$18*E23</f>
        <v>0</v>
      </c>
      <c r="J23" s="713">
        <f t="shared" ref="J23:AO23" ca="1" si="12">IF(J18&lt;0,J18*$K$9,0)</f>
        <v>-519999.99999999988</v>
      </c>
      <c r="K23" s="713">
        <f t="shared" ca="1" si="12"/>
        <v>-39115.300715178309</v>
      </c>
      <c r="L23" s="713">
        <f t="shared" ca="1" si="12"/>
        <v>-275073.73328289628</v>
      </c>
      <c r="M23" s="713">
        <f t="shared" ca="1" si="12"/>
        <v>-275073.73328289628</v>
      </c>
      <c r="N23" s="713">
        <f t="shared" ca="1" si="12"/>
        <v>-275073.73328289628</v>
      </c>
      <c r="O23" s="713">
        <f t="shared" ca="1" si="12"/>
        <v>-275073.73328289628</v>
      </c>
      <c r="P23" s="713">
        <f t="shared" ca="1" si="12"/>
        <v>-275073.73328289628</v>
      </c>
      <c r="Q23" s="713">
        <f t="shared" ca="1" si="12"/>
        <v>-264886.24467854161</v>
      </c>
      <c r="R23" s="713">
        <f t="shared" ca="1" si="12"/>
        <v>0</v>
      </c>
      <c r="S23" s="713">
        <f t="shared" ca="1" si="12"/>
        <v>0</v>
      </c>
      <c r="T23" s="713">
        <f t="shared" ca="1" si="12"/>
        <v>0</v>
      </c>
      <c r="U23" s="713">
        <f t="shared" ca="1" si="12"/>
        <v>0</v>
      </c>
      <c r="V23" s="713">
        <f t="shared" ca="1" si="12"/>
        <v>0</v>
      </c>
      <c r="W23" s="713">
        <f t="shared" ca="1" si="12"/>
        <v>0</v>
      </c>
      <c r="X23" s="713">
        <f t="shared" ca="1" si="12"/>
        <v>0</v>
      </c>
      <c r="Y23" s="713">
        <f t="shared" ca="1" si="12"/>
        <v>0</v>
      </c>
      <c r="Z23" s="713">
        <f t="shared" ca="1" si="12"/>
        <v>0</v>
      </c>
      <c r="AA23" s="713">
        <f t="shared" ca="1" si="12"/>
        <v>0</v>
      </c>
      <c r="AB23" s="713">
        <f t="shared" ca="1" si="12"/>
        <v>0</v>
      </c>
      <c r="AC23" s="713">
        <f t="shared" ca="1" si="12"/>
        <v>0</v>
      </c>
      <c r="AD23" s="713">
        <f t="shared" ca="1" si="12"/>
        <v>0</v>
      </c>
      <c r="AE23" s="713">
        <f t="shared" ca="1" si="12"/>
        <v>0</v>
      </c>
      <c r="AF23" s="713">
        <f t="shared" ca="1" si="12"/>
        <v>0</v>
      </c>
      <c r="AG23" s="713">
        <f t="shared" ca="1" si="12"/>
        <v>0</v>
      </c>
      <c r="AH23" s="713">
        <f t="shared" ca="1" si="12"/>
        <v>0</v>
      </c>
      <c r="AI23" s="713">
        <f t="shared" ca="1" si="12"/>
        <v>0</v>
      </c>
      <c r="AJ23" s="713">
        <f t="shared" ca="1" si="12"/>
        <v>0</v>
      </c>
      <c r="AK23" s="713">
        <f t="shared" ca="1" si="12"/>
        <v>0</v>
      </c>
      <c r="AL23" s="713">
        <f t="shared" ca="1" si="12"/>
        <v>0</v>
      </c>
      <c r="AM23" s="713">
        <f t="shared" ca="1" si="12"/>
        <v>0</v>
      </c>
      <c r="AN23" s="713">
        <f t="shared" ca="1" si="12"/>
        <v>0</v>
      </c>
      <c r="AO23" s="713">
        <f t="shared" ca="1" si="12"/>
        <v>0</v>
      </c>
      <c r="AP23" s="713">
        <f t="shared" ref="AP23:BU23" ca="1" si="13">IF(AP18&lt;0,AP18*$K$9,0)</f>
        <v>0</v>
      </c>
      <c r="AQ23" s="713">
        <f t="shared" ca="1" si="13"/>
        <v>0</v>
      </c>
      <c r="AR23" s="713">
        <f t="shared" ca="1" si="13"/>
        <v>0</v>
      </c>
      <c r="AS23" s="713">
        <f t="shared" ca="1" si="13"/>
        <v>0</v>
      </c>
      <c r="AT23" s="713">
        <f t="shared" ca="1" si="13"/>
        <v>0</v>
      </c>
      <c r="AU23" s="713">
        <f t="shared" ca="1" si="13"/>
        <v>0</v>
      </c>
      <c r="AV23" s="713">
        <f t="shared" ca="1" si="13"/>
        <v>0</v>
      </c>
      <c r="AW23" s="713">
        <f t="shared" ca="1" si="13"/>
        <v>0</v>
      </c>
      <c r="AX23" s="713">
        <f t="shared" ca="1" si="13"/>
        <v>0</v>
      </c>
      <c r="AY23" s="713">
        <f t="shared" ca="1" si="13"/>
        <v>0</v>
      </c>
      <c r="AZ23" s="713">
        <f t="shared" ca="1" si="13"/>
        <v>0</v>
      </c>
      <c r="BA23" s="713">
        <f t="shared" ca="1" si="13"/>
        <v>0</v>
      </c>
      <c r="BB23" s="713">
        <f t="shared" ca="1" si="13"/>
        <v>0</v>
      </c>
      <c r="BC23" s="713">
        <f t="shared" ca="1" si="13"/>
        <v>0</v>
      </c>
      <c r="BD23" s="713">
        <f t="shared" ca="1" si="13"/>
        <v>0</v>
      </c>
      <c r="BE23" s="713">
        <f t="shared" ca="1" si="13"/>
        <v>0</v>
      </c>
      <c r="BF23" s="713">
        <f t="shared" ca="1" si="13"/>
        <v>0</v>
      </c>
      <c r="BG23" s="713">
        <f t="shared" ca="1" si="13"/>
        <v>0</v>
      </c>
      <c r="BH23" s="713">
        <f t="shared" ca="1" si="13"/>
        <v>0</v>
      </c>
      <c r="BI23" s="713">
        <f t="shared" ca="1" si="13"/>
        <v>0</v>
      </c>
      <c r="BJ23" s="713">
        <f t="shared" ca="1" si="13"/>
        <v>0</v>
      </c>
      <c r="BK23" s="713">
        <f t="shared" ca="1" si="13"/>
        <v>0</v>
      </c>
      <c r="BL23" s="713">
        <f t="shared" ca="1" si="13"/>
        <v>0</v>
      </c>
      <c r="BM23" s="713">
        <f t="shared" ca="1" si="13"/>
        <v>0</v>
      </c>
      <c r="BN23" s="713">
        <f t="shared" ca="1" si="13"/>
        <v>0</v>
      </c>
      <c r="BO23" s="713">
        <f t="shared" ca="1" si="13"/>
        <v>0</v>
      </c>
      <c r="BP23" s="713">
        <f t="shared" ca="1" si="13"/>
        <v>0</v>
      </c>
      <c r="BQ23" s="713">
        <f t="shared" ca="1" si="13"/>
        <v>0</v>
      </c>
      <c r="BR23" s="713">
        <f t="shared" ca="1" si="13"/>
        <v>0</v>
      </c>
      <c r="BS23" s="713">
        <f t="shared" ca="1" si="13"/>
        <v>0</v>
      </c>
      <c r="BT23" s="713">
        <f t="shared" ca="1" si="13"/>
        <v>0</v>
      </c>
      <c r="BU23" s="713">
        <f t="shared" ca="1" si="13"/>
        <v>0</v>
      </c>
      <c r="BV23" s="713">
        <f t="shared" ref="BV23:DA23" ca="1" si="14">IF(BV18&lt;0,BV18*$K$9,0)</f>
        <v>0</v>
      </c>
      <c r="BW23" s="713">
        <f t="shared" ca="1" si="14"/>
        <v>0</v>
      </c>
      <c r="BX23" s="713">
        <f t="shared" ca="1" si="14"/>
        <v>0</v>
      </c>
      <c r="BY23" s="713">
        <f t="shared" ca="1" si="14"/>
        <v>0</v>
      </c>
      <c r="BZ23" s="713">
        <f t="shared" ca="1" si="14"/>
        <v>0</v>
      </c>
      <c r="CA23" s="713">
        <f t="shared" ca="1" si="14"/>
        <v>0</v>
      </c>
      <c r="CB23" s="713">
        <f t="shared" ca="1" si="14"/>
        <v>0</v>
      </c>
      <c r="CC23" s="713">
        <f t="shared" ca="1" si="14"/>
        <v>0</v>
      </c>
      <c r="CD23" s="713">
        <f t="shared" ca="1" si="14"/>
        <v>0</v>
      </c>
      <c r="CE23" s="713">
        <f t="shared" ca="1" si="14"/>
        <v>0</v>
      </c>
      <c r="CF23" s="713">
        <f t="shared" ca="1" si="14"/>
        <v>0</v>
      </c>
      <c r="CG23" s="713">
        <f t="shared" ca="1" si="14"/>
        <v>0</v>
      </c>
      <c r="CH23" s="713">
        <f t="shared" ca="1" si="14"/>
        <v>0</v>
      </c>
      <c r="CI23" s="713">
        <f t="shared" ca="1" si="14"/>
        <v>0</v>
      </c>
      <c r="CJ23" s="713">
        <f t="shared" ca="1" si="14"/>
        <v>0</v>
      </c>
      <c r="CK23" s="713">
        <f t="shared" ca="1" si="14"/>
        <v>0</v>
      </c>
      <c r="CL23" s="713">
        <f t="shared" ca="1" si="14"/>
        <v>0</v>
      </c>
      <c r="CM23" s="713">
        <f t="shared" ca="1" si="14"/>
        <v>0</v>
      </c>
      <c r="CN23" s="713">
        <f t="shared" ca="1" si="14"/>
        <v>0</v>
      </c>
      <c r="CO23" s="713">
        <f t="shared" ca="1" si="14"/>
        <v>0</v>
      </c>
      <c r="CP23" s="713">
        <f t="shared" ca="1" si="14"/>
        <v>0</v>
      </c>
      <c r="CQ23" s="713">
        <f t="shared" ca="1" si="14"/>
        <v>0</v>
      </c>
      <c r="CR23" s="713">
        <f t="shared" ca="1" si="14"/>
        <v>0</v>
      </c>
      <c r="CS23" s="713">
        <f t="shared" ca="1" si="14"/>
        <v>0</v>
      </c>
      <c r="CT23" s="713">
        <f t="shared" ca="1" si="14"/>
        <v>0</v>
      </c>
      <c r="CU23" s="713">
        <f t="shared" ca="1" si="14"/>
        <v>0</v>
      </c>
      <c r="CV23" s="713">
        <f t="shared" ca="1" si="14"/>
        <v>0</v>
      </c>
      <c r="CW23" s="713">
        <f t="shared" ca="1" si="14"/>
        <v>0</v>
      </c>
      <c r="CX23" s="713">
        <f t="shared" ca="1" si="14"/>
        <v>0</v>
      </c>
      <c r="CY23" s="713">
        <f t="shared" ca="1" si="14"/>
        <v>0</v>
      </c>
      <c r="CZ23" s="713">
        <f t="shared" ca="1" si="14"/>
        <v>0</v>
      </c>
      <c r="DA23" s="713">
        <f t="shared" ca="1" si="14"/>
        <v>0</v>
      </c>
      <c r="DB23" s="713">
        <f t="shared" ref="DB23:DY23" ca="1" si="15">IF(DB18&lt;0,DB18*$K$9,0)</f>
        <v>0</v>
      </c>
      <c r="DC23" s="713">
        <f t="shared" ca="1" si="15"/>
        <v>0</v>
      </c>
      <c r="DD23" s="713">
        <f t="shared" ca="1" si="15"/>
        <v>0</v>
      </c>
      <c r="DE23" s="713">
        <f t="shared" ca="1" si="15"/>
        <v>0</v>
      </c>
      <c r="DF23" s="713">
        <f t="shared" ca="1" si="15"/>
        <v>0</v>
      </c>
      <c r="DG23" s="713">
        <f t="shared" ca="1" si="15"/>
        <v>0</v>
      </c>
      <c r="DH23" s="713">
        <f t="shared" ca="1" si="15"/>
        <v>0</v>
      </c>
      <c r="DI23" s="713">
        <f t="shared" ca="1" si="15"/>
        <v>0</v>
      </c>
      <c r="DJ23" s="713">
        <f t="shared" ca="1" si="15"/>
        <v>0</v>
      </c>
      <c r="DK23" s="713">
        <f t="shared" ca="1" si="15"/>
        <v>0</v>
      </c>
      <c r="DL23" s="713">
        <f t="shared" ca="1" si="15"/>
        <v>0</v>
      </c>
      <c r="DM23" s="713">
        <f t="shared" ca="1" si="15"/>
        <v>0</v>
      </c>
      <c r="DN23" s="713">
        <f t="shared" ca="1" si="15"/>
        <v>0</v>
      </c>
      <c r="DO23" s="713">
        <f t="shared" ca="1" si="15"/>
        <v>0</v>
      </c>
      <c r="DP23" s="713">
        <f t="shared" ca="1" si="15"/>
        <v>0</v>
      </c>
      <c r="DQ23" s="713">
        <f t="shared" ca="1" si="15"/>
        <v>0</v>
      </c>
      <c r="DR23" s="713">
        <f t="shared" ca="1" si="15"/>
        <v>0</v>
      </c>
      <c r="DS23" s="713">
        <f t="shared" ca="1" si="15"/>
        <v>0</v>
      </c>
      <c r="DT23" s="713">
        <f t="shared" ca="1" si="15"/>
        <v>0</v>
      </c>
      <c r="DU23" s="713">
        <f t="shared" ca="1" si="15"/>
        <v>0</v>
      </c>
      <c r="DV23" s="713">
        <f t="shared" ca="1" si="15"/>
        <v>0</v>
      </c>
      <c r="DW23" s="713">
        <f t="shared" ca="1" si="15"/>
        <v>0</v>
      </c>
      <c r="DX23" s="713">
        <f t="shared" ca="1" si="15"/>
        <v>0</v>
      </c>
      <c r="DY23" s="713">
        <f t="shared" ca="1" si="15"/>
        <v>0</v>
      </c>
      <c r="DZ23" s="879"/>
      <c r="EA23" s="879"/>
    </row>
    <row r="24" spans="1:131" s="390" customFormat="1">
      <c r="A24" s="389"/>
      <c r="B24" s="389"/>
      <c r="C24" s="389"/>
      <c r="D24" s="389" t="s">
        <v>11</v>
      </c>
      <c r="E24" s="879">
        <f ca="1">G24+Dashboard!D43</f>
        <v>0</v>
      </c>
      <c r="F24" s="879"/>
      <c r="G24" s="816">
        <f t="shared" ca="1" si="11"/>
        <v>-21993702.118082017</v>
      </c>
      <c r="H24" s="834"/>
      <c r="I24" s="703">
        <f t="shared" ref="I24:J24" si="16">SUM(I22:I23)</f>
        <v>0</v>
      </c>
      <c r="J24" s="703">
        <f t="shared" ca="1" si="16"/>
        <v>-5200000</v>
      </c>
      <c r="K24" s="703">
        <f t="shared" ref="K24:BV24" ca="1" si="17">SUM(K22:K23)</f>
        <v>-391153.00715178321</v>
      </c>
      <c r="L24" s="703">
        <f t="shared" ca="1" si="17"/>
        <v>-2750737.3328289636</v>
      </c>
      <c r="M24" s="703">
        <f t="shared" ca="1" si="17"/>
        <v>-2750737.3328289636</v>
      </c>
      <c r="N24" s="703">
        <f t="shared" ca="1" si="17"/>
        <v>-2750737.3328289636</v>
      </c>
      <c r="O24" s="703">
        <f t="shared" ca="1" si="17"/>
        <v>-2750737.3328289636</v>
      </c>
      <c r="P24" s="703">
        <f t="shared" ca="1" si="17"/>
        <v>-2750737.3328289636</v>
      </c>
      <c r="Q24" s="703">
        <f t="shared" ca="1" si="17"/>
        <v>-2648862.4467854165</v>
      </c>
      <c r="R24" s="703">
        <f t="shared" ca="1" si="17"/>
        <v>0</v>
      </c>
      <c r="S24" s="703">
        <f t="shared" ca="1" si="17"/>
        <v>0</v>
      </c>
      <c r="T24" s="703">
        <f t="shared" ca="1" si="17"/>
        <v>0</v>
      </c>
      <c r="U24" s="703">
        <f t="shared" ca="1" si="17"/>
        <v>0</v>
      </c>
      <c r="V24" s="703">
        <f t="shared" ca="1" si="17"/>
        <v>0</v>
      </c>
      <c r="W24" s="703">
        <f t="shared" ca="1" si="17"/>
        <v>0</v>
      </c>
      <c r="X24" s="703">
        <f t="shared" ca="1" si="17"/>
        <v>0</v>
      </c>
      <c r="Y24" s="703">
        <f t="shared" ca="1" si="17"/>
        <v>0</v>
      </c>
      <c r="Z24" s="703">
        <f t="shared" ca="1" si="17"/>
        <v>0</v>
      </c>
      <c r="AA24" s="703">
        <f t="shared" ca="1" si="17"/>
        <v>0</v>
      </c>
      <c r="AB24" s="703">
        <f t="shared" ca="1" si="17"/>
        <v>0</v>
      </c>
      <c r="AC24" s="703">
        <f t="shared" ca="1" si="17"/>
        <v>0</v>
      </c>
      <c r="AD24" s="703">
        <f t="shared" ca="1" si="17"/>
        <v>0</v>
      </c>
      <c r="AE24" s="703">
        <f t="shared" ca="1" si="17"/>
        <v>0</v>
      </c>
      <c r="AF24" s="703">
        <f t="shared" ca="1" si="17"/>
        <v>0</v>
      </c>
      <c r="AG24" s="703">
        <f t="shared" ca="1" si="17"/>
        <v>0</v>
      </c>
      <c r="AH24" s="703">
        <f t="shared" ca="1" si="17"/>
        <v>0</v>
      </c>
      <c r="AI24" s="703">
        <f t="shared" ca="1" si="17"/>
        <v>0</v>
      </c>
      <c r="AJ24" s="703">
        <f t="shared" ca="1" si="17"/>
        <v>0</v>
      </c>
      <c r="AK24" s="703">
        <f t="shared" ca="1" si="17"/>
        <v>0</v>
      </c>
      <c r="AL24" s="703">
        <f t="shared" ca="1" si="17"/>
        <v>0</v>
      </c>
      <c r="AM24" s="703">
        <f t="shared" ca="1" si="17"/>
        <v>0</v>
      </c>
      <c r="AN24" s="703">
        <f t="shared" ca="1" si="17"/>
        <v>0</v>
      </c>
      <c r="AO24" s="703">
        <f t="shared" ca="1" si="17"/>
        <v>0</v>
      </c>
      <c r="AP24" s="703">
        <f t="shared" ca="1" si="17"/>
        <v>0</v>
      </c>
      <c r="AQ24" s="703">
        <f t="shared" ca="1" si="17"/>
        <v>0</v>
      </c>
      <c r="AR24" s="703">
        <f t="shared" ca="1" si="17"/>
        <v>0</v>
      </c>
      <c r="AS24" s="703">
        <f t="shared" ca="1" si="17"/>
        <v>0</v>
      </c>
      <c r="AT24" s="703">
        <f t="shared" ca="1" si="17"/>
        <v>0</v>
      </c>
      <c r="AU24" s="703">
        <f t="shared" ca="1" si="17"/>
        <v>0</v>
      </c>
      <c r="AV24" s="703">
        <f t="shared" ca="1" si="17"/>
        <v>0</v>
      </c>
      <c r="AW24" s="703">
        <f t="shared" ca="1" si="17"/>
        <v>0</v>
      </c>
      <c r="AX24" s="703">
        <f t="shared" ca="1" si="17"/>
        <v>0</v>
      </c>
      <c r="AY24" s="703">
        <f t="shared" ca="1" si="17"/>
        <v>0</v>
      </c>
      <c r="AZ24" s="703">
        <f t="shared" ca="1" si="17"/>
        <v>0</v>
      </c>
      <c r="BA24" s="703">
        <f t="shared" ca="1" si="17"/>
        <v>0</v>
      </c>
      <c r="BB24" s="703">
        <f t="shared" ca="1" si="17"/>
        <v>0</v>
      </c>
      <c r="BC24" s="703">
        <f t="shared" ca="1" si="17"/>
        <v>0</v>
      </c>
      <c r="BD24" s="703">
        <f t="shared" ca="1" si="17"/>
        <v>0</v>
      </c>
      <c r="BE24" s="703">
        <f t="shared" ca="1" si="17"/>
        <v>0</v>
      </c>
      <c r="BF24" s="703">
        <f t="shared" ca="1" si="17"/>
        <v>0</v>
      </c>
      <c r="BG24" s="703">
        <f t="shared" ca="1" si="17"/>
        <v>0</v>
      </c>
      <c r="BH24" s="703">
        <f t="shared" ca="1" si="17"/>
        <v>0</v>
      </c>
      <c r="BI24" s="703">
        <f t="shared" ca="1" si="17"/>
        <v>0</v>
      </c>
      <c r="BJ24" s="703">
        <f t="shared" ca="1" si="17"/>
        <v>0</v>
      </c>
      <c r="BK24" s="703">
        <f t="shared" ca="1" si="17"/>
        <v>0</v>
      </c>
      <c r="BL24" s="703">
        <f t="shared" ca="1" si="17"/>
        <v>0</v>
      </c>
      <c r="BM24" s="703">
        <f t="shared" ca="1" si="17"/>
        <v>0</v>
      </c>
      <c r="BN24" s="703">
        <f t="shared" ca="1" si="17"/>
        <v>0</v>
      </c>
      <c r="BO24" s="703">
        <f t="shared" ca="1" si="17"/>
        <v>0</v>
      </c>
      <c r="BP24" s="703">
        <f t="shared" ca="1" si="17"/>
        <v>0</v>
      </c>
      <c r="BQ24" s="703">
        <f t="shared" ca="1" si="17"/>
        <v>0</v>
      </c>
      <c r="BR24" s="703">
        <f t="shared" ca="1" si="17"/>
        <v>0</v>
      </c>
      <c r="BS24" s="703">
        <f t="shared" ca="1" si="17"/>
        <v>0</v>
      </c>
      <c r="BT24" s="703">
        <f t="shared" ca="1" si="17"/>
        <v>0</v>
      </c>
      <c r="BU24" s="703">
        <f t="shared" ca="1" si="17"/>
        <v>0</v>
      </c>
      <c r="BV24" s="703">
        <f t="shared" ca="1" si="17"/>
        <v>0</v>
      </c>
      <c r="BW24" s="703">
        <f t="shared" ref="BW24:DY24" ca="1" si="18">SUM(BW22:BW23)</f>
        <v>0</v>
      </c>
      <c r="BX24" s="703">
        <f t="shared" ca="1" si="18"/>
        <v>0</v>
      </c>
      <c r="BY24" s="703">
        <f t="shared" ca="1" si="18"/>
        <v>0</v>
      </c>
      <c r="BZ24" s="703">
        <f t="shared" ca="1" si="18"/>
        <v>0</v>
      </c>
      <c r="CA24" s="703">
        <f t="shared" ca="1" si="18"/>
        <v>0</v>
      </c>
      <c r="CB24" s="703">
        <f t="shared" ca="1" si="18"/>
        <v>0</v>
      </c>
      <c r="CC24" s="703">
        <f t="shared" ca="1" si="18"/>
        <v>0</v>
      </c>
      <c r="CD24" s="703">
        <f t="shared" ca="1" si="18"/>
        <v>0</v>
      </c>
      <c r="CE24" s="703">
        <f t="shared" ca="1" si="18"/>
        <v>0</v>
      </c>
      <c r="CF24" s="703">
        <f t="shared" ca="1" si="18"/>
        <v>0</v>
      </c>
      <c r="CG24" s="703">
        <f t="shared" ca="1" si="18"/>
        <v>0</v>
      </c>
      <c r="CH24" s="703">
        <f t="shared" ca="1" si="18"/>
        <v>0</v>
      </c>
      <c r="CI24" s="703">
        <f t="shared" ca="1" si="18"/>
        <v>0</v>
      </c>
      <c r="CJ24" s="703">
        <f t="shared" ca="1" si="18"/>
        <v>0</v>
      </c>
      <c r="CK24" s="703">
        <f t="shared" ca="1" si="18"/>
        <v>0</v>
      </c>
      <c r="CL24" s="703">
        <f t="shared" ca="1" si="18"/>
        <v>0</v>
      </c>
      <c r="CM24" s="703">
        <f t="shared" ca="1" si="18"/>
        <v>0</v>
      </c>
      <c r="CN24" s="703">
        <f t="shared" ca="1" si="18"/>
        <v>0</v>
      </c>
      <c r="CO24" s="703">
        <f t="shared" ca="1" si="18"/>
        <v>0</v>
      </c>
      <c r="CP24" s="703">
        <f t="shared" ca="1" si="18"/>
        <v>0</v>
      </c>
      <c r="CQ24" s="703">
        <f t="shared" ca="1" si="18"/>
        <v>0</v>
      </c>
      <c r="CR24" s="703">
        <f t="shared" ca="1" si="18"/>
        <v>0</v>
      </c>
      <c r="CS24" s="703">
        <f t="shared" ca="1" si="18"/>
        <v>0</v>
      </c>
      <c r="CT24" s="703">
        <f t="shared" ca="1" si="18"/>
        <v>0</v>
      </c>
      <c r="CU24" s="703">
        <f t="shared" ca="1" si="18"/>
        <v>0</v>
      </c>
      <c r="CV24" s="703">
        <f t="shared" ca="1" si="18"/>
        <v>0</v>
      </c>
      <c r="CW24" s="703">
        <f t="shared" ca="1" si="18"/>
        <v>0</v>
      </c>
      <c r="CX24" s="703">
        <f t="shared" ca="1" si="18"/>
        <v>0</v>
      </c>
      <c r="CY24" s="703">
        <f t="shared" ca="1" si="18"/>
        <v>0</v>
      </c>
      <c r="CZ24" s="703">
        <f t="shared" ca="1" si="18"/>
        <v>0</v>
      </c>
      <c r="DA24" s="703">
        <f t="shared" ca="1" si="18"/>
        <v>0</v>
      </c>
      <c r="DB24" s="703">
        <f t="shared" ca="1" si="18"/>
        <v>0</v>
      </c>
      <c r="DC24" s="703">
        <f t="shared" ca="1" si="18"/>
        <v>0</v>
      </c>
      <c r="DD24" s="703">
        <f t="shared" ca="1" si="18"/>
        <v>0</v>
      </c>
      <c r="DE24" s="703">
        <f t="shared" ca="1" si="18"/>
        <v>0</v>
      </c>
      <c r="DF24" s="703">
        <f t="shared" ca="1" si="18"/>
        <v>0</v>
      </c>
      <c r="DG24" s="703">
        <f t="shared" ca="1" si="18"/>
        <v>0</v>
      </c>
      <c r="DH24" s="703">
        <f t="shared" ca="1" si="18"/>
        <v>0</v>
      </c>
      <c r="DI24" s="703">
        <f t="shared" ca="1" si="18"/>
        <v>0</v>
      </c>
      <c r="DJ24" s="703">
        <f t="shared" ca="1" si="18"/>
        <v>0</v>
      </c>
      <c r="DK24" s="703">
        <f t="shared" ca="1" si="18"/>
        <v>0</v>
      </c>
      <c r="DL24" s="703">
        <f t="shared" ca="1" si="18"/>
        <v>0</v>
      </c>
      <c r="DM24" s="703">
        <f t="shared" ca="1" si="18"/>
        <v>0</v>
      </c>
      <c r="DN24" s="703">
        <f t="shared" ca="1" si="18"/>
        <v>0</v>
      </c>
      <c r="DO24" s="703">
        <f t="shared" ca="1" si="18"/>
        <v>0</v>
      </c>
      <c r="DP24" s="703">
        <f t="shared" ca="1" si="18"/>
        <v>0</v>
      </c>
      <c r="DQ24" s="703">
        <f t="shared" ca="1" si="18"/>
        <v>0</v>
      </c>
      <c r="DR24" s="703">
        <f t="shared" ca="1" si="18"/>
        <v>0</v>
      </c>
      <c r="DS24" s="703">
        <f t="shared" ca="1" si="18"/>
        <v>0</v>
      </c>
      <c r="DT24" s="703">
        <f t="shared" ca="1" si="18"/>
        <v>0</v>
      </c>
      <c r="DU24" s="703">
        <f t="shared" ca="1" si="18"/>
        <v>0</v>
      </c>
      <c r="DV24" s="703">
        <f t="shared" ca="1" si="18"/>
        <v>0</v>
      </c>
      <c r="DW24" s="703">
        <f t="shared" ca="1" si="18"/>
        <v>0</v>
      </c>
      <c r="DX24" s="703">
        <f t="shared" ca="1" si="18"/>
        <v>0</v>
      </c>
      <c r="DY24" s="703">
        <f t="shared" ca="1" si="18"/>
        <v>0</v>
      </c>
      <c r="DZ24" s="879"/>
      <c r="EA24" s="879"/>
    </row>
    <row r="25" spans="1:131" s="390" customFormat="1">
      <c r="A25" s="389"/>
      <c r="B25" s="389"/>
      <c r="C25" s="389"/>
      <c r="D25" s="389"/>
      <c r="E25" s="879"/>
      <c r="F25" s="879"/>
      <c r="G25" s="816"/>
      <c r="H25" s="834"/>
      <c r="I25" s="703"/>
      <c r="J25" s="703">
        <f t="shared" ref="J25:AA25" ca="1" si="19">J24-J18</f>
        <v>0</v>
      </c>
      <c r="K25" s="703">
        <f t="shared" ca="1" si="19"/>
        <v>0</v>
      </c>
      <c r="L25" s="703">
        <f t="shared" ca="1" si="19"/>
        <v>0</v>
      </c>
      <c r="M25" s="703">
        <f t="shared" ca="1" si="19"/>
        <v>0</v>
      </c>
      <c r="N25" s="703">
        <f t="shared" ca="1" si="19"/>
        <v>0</v>
      </c>
      <c r="O25" s="703">
        <f t="shared" ca="1" si="19"/>
        <v>0</v>
      </c>
      <c r="P25" s="703">
        <f t="shared" ca="1" si="19"/>
        <v>0</v>
      </c>
      <c r="Q25" s="703">
        <f t="shared" ca="1" si="19"/>
        <v>0</v>
      </c>
      <c r="R25" s="703">
        <f t="shared" ca="1" si="19"/>
        <v>0</v>
      </c>
      <c r="S25" s="703">
        <f t="shared" ca="1" si="19"/>
        <v>0</v>
      </c>
      <c r="T25" s="703">
        <f t="shared" ca="1" si="19"/>
        <v>0</v>
      </c>
      <c r="U25" s="703">
        <f t="shared" ca="1" si="19"/>
        <v>0</v>
      </c>
      <c r="V25" s="703">
        <f t="shared" ca="1" si="19"/>
        <v>0</v>
      </c>
      <c r="W25" s="703">
        <f t="shared" ca="1" si="19"/>
        <v>0</v>
      </c>
      <c r="X25" s="703">
        <f t="shared" ca="1" si="19"/>
        <v>0</v>
      </c>
      <c r="Y25" s="703">
        <f t="shared" ca="1" si="19"/>
        <v>0</v>
      </c>
      <c r="Z25" s="703">
        <f t="shared" ca="1" si="19"/>
        <v>0</v>
      </c>
      <c r="AA25" s="703">
        <f t="shared" ca="1" si="19"/>
        <v>0</v>
      </c>
      <c r="AB25" s="703"/>
      <c r="AC25" s="703"/>
      <c r="AD25" s="703"/>
      <c r="AE25" s="703"/>
      <c r="AF25" s="703"/>
      <c r="AG25" s="703"/>
      <c r="AH25" s="703"/>
      <c r="AI25" s="703"/>
      <c r="AJ25" s="703"/>
      <c r="AK25" s="703"/>
      <c r="AL25" s="703"/>
      <c r="AM25" s="703"/>
      <c r="AN25" s="703"/>
      <c r="AO25" s="703"/>
      <c r="AP25" s="703"/>
      <c r="AQ25" s="703"/>
      <c r="AR25" s="703"/>
      <c r="AS25" s="703"/>
      <c r="AT25" s="703"/>
      <c r="AU25" s="703"/>
      <c r="AV25" s="703"/>
      <c r="AW25" s="703"/>
      <c r="AX25" s="703"/>
      <c r="AY25" s="703"/>
      <c r="AZ25" s="703"/>
      <c r="BA25" s="703"/>
      <c r="BB25" s="703"/>
      <c r="BC25" s="703"/>
      <c r="BD25" s="703"/>
      <c r="BE25" s="703"/>
      <c r="BF25" s="703"/>
      <c r="BG25" s="703"/>
      <c r="BH25" s="703"/>
      <c r="BI25" s="703"/>
      <c r="BJ25" s="703"/>
      <c r="BK25" s="703"/>
      <c r="BL25" s="703"/>
      <c r="BM25" s="703"/>
      <c r="BN25" s="703"/>
      <c r="BO25" s="703"/>
      <c r="BP25" s="703"/>
      <c r="BQ25" s="703"/>
      <c r="BR25" s="703"/>
      <c r="BS25" s="703"/>
      <c r="BT25" s="703"/>
      <c r="BU25" s="703"/>
      <c r="BV25" s="703"/>
      <c r="BW25" s="703"/>
      <c r="BX25" s="703"/>
      <c r="BY25" s="703"/>
      <c r="BZ25" s="703"/>
      <c r="CA25" s="703"/>
      <c r="CB25" s="703"/>
      <c r="CC25" s="703"/>
      <c r="CD25" s="703"/>
      <c r="CE25" s="703"/>
      <c r="CF25" s="703"/>
      <c r="CG25" s="703"/>
      <c r="CH25" s="703"/>
      <c r="CI25" s="703"/>
      <c r="CJ25" s="703"/>
      <c r="CK25" s="703"/>
      <c r="CL25" s="703"/>
      <c r="CM25" s="703"/>
      <c r="CN25" s="703"/>
      <c r="CO25" s="703"/>
      <c r="CP25" s="703"/>
      <c r="CQ25" s="703"/>
      <c r="CR25" s="703"/>
      <c r="CS25" s="703"/>
      <c r="CT25" s="703"/>
      <c r="CU25" s="703"/>
      <c r="CV25" s="703"/>
      <c r="CW25" s="703"/>
      <c r="CX25" s="703"/>
      <c r="CY25" s="703"/>
      <c r="CZ25" s="703"/>
      <c r="DA25" s="703"/>
      <c r="DB25" s="703"/>
      <c r="DC25" s="703"/>
      <c r="DD25" s="703"/>
      <c r="DE25" s="703"/>
      <c r="DF25" s="703"/>
      <c r="DG25" s="703"/>
      <c r="DH25" s="703"/>
      <c r="DI25" s="703"/>
      <c r="DJ25" s="703"/>
      <c r="DK25" s="703"/>
      <c r="DL25" s="703"/>
      <c r="DM25" s="703"/>
      <c r="DN25" s="703"/>
      <c r="DO25" s="703"/>
      <c r="DP25" s="703"/>
      <c r="DQ25" s="703"/>
      <c r="DR25" s="703"/>
      <c r="DS25" s="703"/>
      <c r="DT25" s="703"/>
      <c r="DU25" s="703"/>
      <c r="DV25" s="703"/>
      <c r="DW25" s="703"/>
      <c r="DX25" s="703"/>
      <c r="DY25" s="703"/>
      <c r="DZ25" s="879"/>
      <c r="EA25" s="879"/>
    </row>
    <row r="26" spans="1:131" s="390" customFormat="1">
      <c r="A26" s="389"/>
      <c r="B26" s="433"/>
      <c r="C26" s="389"/>
      <c r="D26" s="433" t="s">
        <v>106</v>
      </c>
      <c r="E26" s="389"/>
      <c r="F26" s="389"/>
      <c r="G26" s="796"/>
      <c r="H26" s="829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703"/>
      <c r="AB26" s="703"/>
      <c r="AC26" s="703"/>
      <c r="AD26" s="703"/>
      <c r="AE26" s="703"/>
      <c r="AF26" s="703"/>
      <c r="AG26" s="703"/>
      <c r="AH26" s="703"/>
      <c r="AI26" s="703"/>
      <c r="AJ26" s="703"/>
      <c r="AK26" s="703"/>
      <c r="AL26" s="703"/>
      <c r="AM26" s="703"/>
      <c r="AN26" s="703"/>
      <c r="AO26" s="703"/>
      <c r="AP26" s="703"/>
      <c r="AQ26" s="703"/>
      <c r="AR26" s="703"/>
      <c r="AS26" s="703"/>
      <c r="AT26" s="703"/>
      <c r="AU26" s="703"/>
      <c r="AV26" s="703"/>
      <c r="AW26" s="703"/>
      <c r="AX26" s="703"/>
      <c r="AY26" s="703"/>
      <c r="AZ26" s="703"/>
      <c r="BA26" s="703"/>
      <c r="BB26" s="703"/>
      <c r="BC26" s="703"/>
      <c r="BD26" s="703"/>
      <c r="BE26" s="703"/>
      <c r="BF26" s="703"/>
      <c r="BG26" s="703"/>
      <c r="BH26" s="703"/>
      <c r="BI26" s="703"/>
      <c r="BJ26" s="703"/>
      <c r="BK26" s="703"/>
      <c r="BL26" s="703"/>
      <c r="BM26" s="703"/>
      <c r="BN26" s="703"/>
      <c r="BO26" s="703"/>
      <c r="BP26" s="703"/>
      <c r="BQ26" s="703"/>
      <c r="BR26" s="703"/>
      <c r="BS26" s="703"/>
      <c r="BT26" s="703"/>
      <c r="BU26" s="703"/>
      <c r="BV26" s="703"/>
      <c r="BW26" s="703"/>
      <c r="BX26" s="703"/>
      <c r="BY26" s="703"/>
      <c r="BZ26" s="703"/>
      <c r="CA26" s="703"/>
      <c r="CB26" s="703"/>
      <c r="CC26" s="703"/>
      <c r="CD26" s="703"/>
      <c r="CE26" s="703"/>
      <c r="CF26" s="703"/>
      <c r="CG26" s="703"/>
      <c r="CH26" s="703"/>
      <c r="CI26" s="703"/>
      <c r="CJ26" s="703"/>
      <c r="CK26" s="703"/>
      <c r="CL26" s="703"/>
      <c r="CM26" s="703"/>
      <c r="CN26" s="703"/>
      <c r="CO26" s="703"/>
      <c r="CP26" s="703"/>
      <c r="CQ26" s="703"/>
      <c r="CR26" s="703"/>
      <c r="CS26" s="703"/>
      <c r="CT26" s="703"/>
      <c r="CU26" s="703"/>
      <c r="CV26" s="703"/>
      <c r="CW26" s="703"/>
      <c r="CX26" s="703"/>
      <c r="CY26" s="703"/>
      <c r="CZ26" s="703"/>
      <c r="DA26" s="703"/>
      <c r="DB26" s="703"/>
      <c r="DC26" s="703"/>
      <c r="DD26" s="703"/>
      <c r="DE26" s="703"/>
      <c r="DF26" s="703"/>
      <c r="DG26" s="703"/>
      <c r="DH26" s="703"/>
      <c r="DI26" s="703"/>
      <c r="DJ26" s="703"/>
      <c r="DK26" s="703"/>
      <c r="DL26" s="703"/>
      <c r="DM26" s="703"/>
      <c r="DN26" s="703"/>
      <c r="DO26" s="703"/>
      <c r="DP26" s="703"/>
      <c r="DQ26" s="703"/>
      <c r="DR26" s="703"/>
      <c r="DS26" s="703"/>
      <c r="DT26" s="703"/>
      <c r="DU26" s="703"/>
      <c r="DV26" s="703"/>
      <c r="DW26" s="703"/>
      <c r="DX26" s="703"/>
      <c r="DY26" s="703"/>
      <c r="DZ26" s="389"/>
      <c r="EA26" s="389"/>
    </row>
    <row r="27" spans="1:131" s="390" customFormat="1">
      <c r="A27" s="389"/>
      <c r="B27" s="389"/>
      <c r="C27" s="389"/>
      <c r="D27" s="389" t="str">
        <f>CONCATENATE($J$7&amp;" (Pro Rata)")</f>
        <v>Outside Investor (Pro Rata)</v>
      </c>
      <c r="E27" s="434">
        <f ca="1">SUM(I27:DY27)/SUM(I$29:DY$29)</f>
        <v>0.90000000000000013</v>
      </c>
      <c r="F27" s="434"/>
      <c r="G27" s="816">
        <f t="shared" ref="G27:G29" ca="1" si="20">SUM(I27:DY27)</f>
        <v>31781817.649785563</v>
      </c>
      <c r="H27" s="833"/>
      <c r="I27" s="703">
        <f t="shared" ref="I27:BT27" si="21">I77</f>
        <v>0</v>
      </c>
      <c r="J27" s="703">
        <f ca="1">J77</f>
        <v>0</v>
      </c>
      <c r="K27" s="703">
        <f t="shared" ca="1" si="21"/>
        <v>0</v>
      </c>
      <c r="L27" s="703">
        <f t="shared" ca="1" si="21"/>
        <v>0</v>
      </c>
      <c r="M27" s="703">
        <f t="shared" ca="1" si="21"/>
        <v>0</v>
      </c>
      <c r="N27" s="703">
        <f t="shared" ca="1" si="21"/>
        <v>0</v>
      </c>
      <c r="O27" s="703">
        <f t="shared" ca="1" si="21"/>
        <v>0</v>
      </c>
      <c r="P27" s="703">
        <f t="shared" ca="1" si="21"/>
        <v>0</v>
      </c>
      <c r="Q27" s="703">
        <f t="shared" ca="1" si="21"/>
        <v>0</v>
      </c>
      <c r="R27" s="703">
        <f t="shared" ca="1" si="21"/>
        <v>0</v>
      </c>
      <c r="S27" s="703">
        <f t="shared" ca="1" si="21"/>
        <v>0</v>
      </c>
      <c r="T27" s="703">
        <f t="shared" ca="1" si="21"/>
        <v>0</v>
      </c>
      <c r="U27" s="703">
        <f t="shared" ca="1" si="21"/>
        <v>0</v>
      </c>
      <c r="V27" s="703">
        <f t="shared" ca="1" si="21"/>
        <v>0</v>
      </c>
      <c r="W27" s="703">
        <f t="shared" ca="1" si="21"/>
        <v>0</v>
      </c>
      <c r="X27" s="703">
        <f t="shared" ca="1" si="21"/>
        <v>0</v>
      </c>
      <c r="Y27" s="703">
        <f t="shared" ca="1" si="21"/>
        <v>0</v>
      </c>
      <c r="Z27" s="703">
        <f t="shared" ca="1" si="21"/>
        <v>0</v>
      </c>
      <c r="AA27" s="703">
        <f t="shared" ca="1" si="21"/>
        <v>0</v>
      </c>
      <c r="AB27" s="703">
        <f t="shared" ca="1" si="21"/>
        <v>0</v>
      </c>
      <c r="AC27" s="703">
        <f t="shared" ca="1" si="21"/>
        <v>0</v>
      </c>
      <c r="AD27" s="703">
        <f t="shared" ca="1" si="21"/>
        <v>0</v>
      </c>
      <c r="AE27" s="703">
        <f t="shared" ca="1" si="21"/>
        <v>0</v>
      </c>
      <c r="AF27" s="703">
        <f t="shared" ca="1" si="21"/>
        <v>0</v>
      </c>
      <c r="AG27" s="703">
        <f t="shared" ca="1" si="21"/>
        <v>0</v>
      </c>
      <c r="AH27" s="703">
        <f t="shared" ca="1" si="21"/>
        <v>0</v>
      </c>
      <c r="AI27" s="703">
        <f t="shared" ca="1" si="21"/>
        <v>8282621.8027114943</v>
      </c>
      <c r="AJ27" s="703">
        <f t="shared" ca="1" si="21"/>
        <v>0</v>
      </c>
      <c r="AK27" s="703">
        <f t="shared" ca="1" si="21"/>
        <v>7859.725154927618</v>
      </c>
      <c r="AL27" s="703">
        <f t="shared" ca="1" si="21"/>
        <v>109154.5983063013</v>
      </c>
      <c r="AM27" s="703">
        <f t="shared" ca="1" si="21"/>
        <v>6526.5311953254632</v>
      </c>
      <c r="AN27" s="703">
        <f t="shared" ca="1" si="21"/>
        <v>0</v>
      </c>
      <c r="AO27" s="703">
        <f t="shared" ca="1" si="21"/>
        <v>0</v>
      </c>
      <c r="AP27" s="703">
        <f t="shared" ca="1" si="21"/>
        <v>0</v>
      </c>
      <c r="AQ27" s="703">
        <f t="shared" ca="1" si="21"/>
        <v>0</v>
      </c>
      <c r="AR27" s="703">
        <f t="shared" ca="1" si="21"/>
        <v>58873.429848790242</v>
      </c>
      <c r="AS27" s="703">
        <f t="shared" ca="1" si="21"/>
        <v>139791.69164142892</v>
      </c>
      <c r="AT27" s="703">
        <f t="shared" ca="1" si="21"/>
        <v>159769.65777109182</v>
      </c>
      <c r="AU27" s="703">
        <f t="shared" ca="1" si="21"/>
        <v>89759.594867420892</v>
      </c>
      <c r="AV27" s="703">
        <f t="shared" ca="1" si="21"/>
        <v>87185.795961210359</v>
      </c>
      <c r="AW27" s="703">
        <f t="shared" ca="1" si="21"/>
        <v>123455.35304279767</v>
      </c>
      <c r="AX27" s="703">
        <f t="shared" ca="1" si="21"/>
        <v>214792.55441089167</v>
      </c>
      <c r="AY27" s="703">
        <f t="shared" ca="1" si="21"/>
        <v>76942.031111739183</v>
      </c>
      <c r="AZ27" s="703">
        <f t="shared" ca="1" si="21"/>
        <v>0</v>
      </c>
      <c r="BA27" s="703">
        <f t="shared" ca="1" si="21"/>
        <v>0</v>
      </c>
      <c r="BB27" s="703">
        <f t="shared" ca="1" si="21"/>
        <v>0</v>
      </c>
      <c r="BC27" s="703">
        <f t="shared" ca="1" si="21"/>
        <v>95343.489281013433</v>
      </c>
      <c r="BD27" s="703">
        <f t="shared" ca="1" si="21"/>
        <v>140581.49538099623</v>
      </c>
      <c r="BE27" s="703">
        <f t="shared" ca="1" si="21"/>
        <v>152508.51249168252</v>
      </c>
      <c r="BF27" s="703">
        <f t="shared" ca="1" si="21"/>
        <v>160874.01105573258</v>
      </c>
      <c r="BG27" s="703">
        <f t="shared" ca="1" si="21"/>
        <v>89749.687736345368</v>
      </c>
      <c r="BH27" s="703">
        <f t="shared" ca="1" si="21"/>
        <v>87143.457497537223</v>
      </c>
      <c r="BI27" s="703">
        <f t="shared" ca="1" si="21"/>
        <v>123987.76392719038</v>
      </c>
      <c r="BJ27" s="703">
        <f t="shared" ca="1" si="21"/>
        <v>216730.57733726793</v>
      </c>
      <c r="BK27" s="703">
        <f t="shared" ca="1" si="21"/>
        <v>76772.469337475603</v>
      </c>
      <c r="BL27" s="703">
        <f t="shared" ca="1" si="21"/>
        <v>0</v>
      </c>
      <c r="BM27" s="703">
        <f t="shared" ca="1" si="21"/>
        <v>0</v>
      </c>
      <c r="BN27" s="703">
        <f t="shared" ca="1" si="21"/>
        <v>0</v>
      </c>
      <c r="BO27" s="703">
        <f t="shared" ca="1" si="21"/>
        <v>115146.09185555542</v>
      </c>
      <c r="BP27" s="703">
        <f t="shared" ca="1" si="21"/>
        <v>144143.81078301909</v>
      </c>
      <c r="BQ27" s="703">
        <f t="shared" ca="1" si="21"/>
        <v>156240.53107943202</v>
      </c>
      <c r="BR27" s="703">
        <f t="shared" ca="1" si="21"/>
        <v>164755.02266349838</v>
      </c>
      <c r="BS27" s="703">
        <f t="shared" ca="1" si="21"/>
        <v>92512.592360065391</v>
      </c>
      <c r="BT27" s="703">
        <f t="shared" ca="1" si="21"/>
        <v>89874.30132771896</v>
      </c>
      <c r="BU27" s="703">
        <f t="shared" ref="BU27:DY27" ca="1" si="22">BU77</f>
        <v>127295.19946494866</v>
      </c>
      <c r="BV27" s="703">
        <f t="shared" ca="1" si="22"/>
        <v>221445.75815829771</v>
      </c>
      <c r="BW27" s="703">
        <f t="shared" ca="1" si="22"/>
        <v>79377.675846796192</v>
      </c>
      <c r="BX27" s="703">
        <f t="shared" ca="1" si="22"/>
        <v>0</v>
      </c>
      <c r="BY27" s="703">
        <f t="shared" ca="1" si="22"/>
        <v>0</v>
      </c>
      <c r="BZ27" s="703">
        <f t="shared" ca="1" si="22"/>
        <v>0</v>
      </c>
      <c r="CA27" s="703">
        <f t="shared" ca="1" si="22"/>
        <v>106604.99152433057</v>
      </c>
      <c r="CB27" s="703">
        <f t="shared" ca="1" si="22"/>
        <v>147563.4590823171</v>
      </c>
      <c r="CC27" s="703">
        <f t="shared" ca="1" si="22"/>
        <v>159829.33044020113</v>
      </c>
      <c r="CD27" s="703">
        <f t="shared" ca="1" si="22"/>
        <v>168494.10933132426</v>
      </c>
      <c r="CE27" s="703">
        <f t="shared" ca="1" si="22"/>
        <v>95130.49751579015</v>
      </c>
      <c r="CF27" s="703">
        <f t="shared" ca="1" si="22"/>
        <v>92460.567649508375</v>
      </c>
      <c r="CG27" s="703">
        <f t="shared" ca="1" si="22"/>
        <v>130459.49312098254</v>
      </c>
      <c r="CH27" s="703">
        <f t="shared" ca="1" si="22"/>
        <v>226018.79328252989</v>
      </c>
      <c r="CI27" s="703">
        <f t="shared" ca="1" si="22"/>
        <v>81840.100497816791</v>
      </c>
      <c r="CJ27" s="703">
        <f t="shared" ca="1" si="22"/>
        <v>0</v>
      </c>
      <c r="CK27" s="703">
        <f t="shared" ca="1" si="22"/>
        <v>0</v>
      </c>
      <c r="CL27" s="703">
        <f t="shared" ca="1" si="22"/>
        <v>0</v>
      </c>
      <c r="CM27" s="703">
        <f t="shared" ca="1" si="22"/>
        <v>112807.25230762165</v>
      </c>
      <c r="CN27" s="703">
        <f t="shared" ca="1" si="22"/>
        <v>150828.55782341232</v>
      </c>
      <c r="CO27" s="703">
        <f t="shared" ca="1" si="22"/>
        <v>163262.84225818858</v>
      </c>
      <c r="CP27" s="703">
        <f t="shared" ca="1" si="22"/>
        <v>174724.57172044981</v>
      </c>
      <c r="CQ27" s="703">
        <f t="shared" ca="1" si="22"/>
        <v>100237.52568936143</v>
      </c>
      <c r="CR27" s="703">
        <f t="shared" ca="1" si="22"/>
        <v>97536.433121037247</v>
      </c>
      <c r="CS27" s="703">
        <f t="shared" ca="1" si="22"/>
        <v>136114.38875848716</v>
      </c>
      <c r="CT27" s="703">
        <f t="shared" ca="1" si="22"/>
        <v>233082.21937350102</v>
      </c>
      <c r="CU27" s="703">
        <f t="shared" ca="1" si="22"/>
        <v>86794.140761263741</v>
      </c>
      <c r="CV27" s="703">
        <f t="shared" ca="1" si="22"/>
        <v>0</v>
      </c>
      <c r="CW27" s="703">
        <f t="shared" ca="1" si="22"/>
        <v>0</v>
      </c>
      <c r="CX27" s="703">
        <f t="shared" ca="1" si="22"/>
        <v>0</v>
      </c>
      <c r="CY27" s="703">
        <f t="shared" ca="1" si="22"/>
        <v>151488.89944722891</v>
      </c>
      <c r="CZ27" s="703">
        <f t="shared" ca="1" si="22"/>
        <v>165830.75523480636</v>
      </c>
      <c r="DA27" s="703">
        <f t="shared" ca="1" si="22"/>
        <v>178638.06820262584</v>
      </c>
      <c r="DB27" s="703">
        <f t="shared" ca="1" si="22"/>
        <v>167442.04987787068</v>
      </c>
      <c r="DC27" s="703">
        <f t="shared" ca="1" si="22"/>
        <v>90720.392465850004</v>
      </c>
      <c r="DD27" s="703">
        <f t="shared" ca="1" si="22"/>
        <v>87938.267120476201</v>
      </c>
      <c r="DE27" s="703">
        <f t="shared" ca="1" si="22"/>
        <v>127673.56142704944</v>
      </c>
      <c r="DF27" s="703">
        <f t="shared" ca="1" si="22"/>
        <v>227550.42696051361</v>
      </c>
      <c r="DG27" s="703">
        <f t="shared" ca="1" si="22"/>
        <v>76873.705989909198</v>
      </c>
      <c r="DH27" s="703">
        <f t="shared" ca="1" si="22"/>
        <v>0</v>
      </c>
      <c r="DI27" s="703">
        <f t="shared" ca="1" si="22"/>
        <v>0</v>
      </c>
      <c r="DJ27" s="703">
        <f t="shared" ca="1" si="22"/>
        <v>0</v>
      </c>
      <c r="DK27" s="703">
        <f t="shared" ca="1" si="22"/>
        <v>122679.47158351005</v>
      </c>
      <c r="DL27" s="703">
        <f t="shared" ca="1" si="22"/>
        <v>158281.41889765786</v>
      </c>
      <c r="DM27" s="703">
        <f t="shared" ca="1" si="22"/>
        <v>171472.95125451233</v>
      </c>
      <c r="DN27" s="703">
        <f t="shared" ca="1" si="22"/>
        <v>179314.17121900115</v>
      </c>
      <c r="DO27" s="703">
        <f t="shared" ca="1" si="22"/>
        <v>100290.86408461993</v>
      </c>
      <c r="DP27" s="703">
        <f t="shared" ca="1" si="22"/>
        <v>97425.274978884583</v>
      </c>
      <c r="DQ27" s="703">
        <f t="shared" ca="1" si="22"/>
        <v>138352.62811465538</v>
      </c>
      <c r="DR27" s="703">
        <f t="shared" ca="1" si="22"/>
        <v>241225.79961412365</v>
      </c>
      <c r="DS27" s="703">
        <f t="shared" ca="1" si="22"/>
        <v>86028.77701440097</v>
      </c>
      <c r="DT27" s="703">
        <f t="shared" ca="1" si="22"/>
        <v>0</v>
      </c>
      <c r="DU27" s="703">
        <f t="shared" ca="1" si="22"/>
        <v>0</v>
      </c>
      <c r="DV27" s="703">
        <f t="shared" ca="1" si="22"/>
        <v>0</v>
      </c>
      <c r="DW27" s="703">
        <f t="shared" ca="1" si="22"/>
        <v>136510.06574666966</v>
      </c>
      <c r="DX27" s="703">
        <f t="shared" ca="1" si="22"/>
        <v>169878.72130938232</v>
      </c>
      <c r="DY27" s="703">
        <f t="shared" ca="1" si="22"/>
        <v>14751196.891375689</v>
      </c>
      <c r="EA27" s="879"/>
    </row>
    <row r="28" spans="1:131" s="390" customFormat="1">
      <c r="A28" s="389"/>
      <c r="B28" s="389"/>
      <c r="C28" s="389"/>
      <c r="D28" s="389" t="str">
        <f>CONCATENATE($K$7&amp;" (Pro Rata)")</f>
        <v>Sponsor Investors (Pro Rata)</v>
      </c>
      <c r="E28" s="434">
        <f ca="1">SUM(I28:DY28)/SUM(I$29:DY$29)</f>
        <v>9.999999999999995E-2</v>
      </c>
      <c r="F28" s="434"/>
      <c r="G28" s="817">
        <f t="shared" ca="1" si="20"/>
        <v>3531313.0721983938</v>
      </c>
      <c r="H28" s="833"/>
      <c r="I28" s="713">
        <f t="shared" ref="I28:AN28" si="23">(I27/$J$9)*$K$9</f>
        <v>0</v>
      </c>
      <c r="J28" s="713">
        <f t="shared" ca="1" si="23"/>
        <v>0</v>
      </c>
      <c r="K28" s="713">
        <f t="shared" ca="1" si="23"/>
        <v>0</v>
      </c>
      <c r="L28" s="713">
        <f t="shared" ca="1" si="23"/>
        <v>0</v>
      </c>
      <c r="M28" s="713">
        <f t="shared" ca="1" si="23"/>
        <v>0</v>
      </c>
      <c r="N28" s="713">
        <f t="shared" ca="1" si="23"/>
        <v>0</v>
      </c>
      <c r="O28" s="713">
        <f t="shared" ca="1" si="23"/>
        <v>0</v>
      </c>
      <c r="P28" s="713">
        <f t="shared" ca="1" si="23"/>
        <v>0</v>
      </c>
      <c r="Q28" s="713">
        <f t="shared" ca="1" si="23"/>
        <v>0</v>
      </c>
      <c r="R28" s="713">
        <f t="shared" ca="1" si="23"/>
        <v>0</v>
      </c>
      <c r="S28" s="713">
        <f t="shared" ca="1" si="23"/>
        <v>0</v>
      </c>
      <c r="T28" s="713">
        <f t="shared" ca="1" si="23"/>
        <v>0</v>
      </c>
      <c r="U28" s="713">
        <f t="shared" ca="1" si="23"/>
        <v>0</v>
      </c>
      <c r="V28" s="713">
        <f t="shared" ca="1" si="23"/>
        <v>0</v>
      </c>
      <c r="W28" s="713">
        <f t="shared" ca="1" si="23"/>
        <v>0</v>
      </c>
      <c r="X28" s="713">
        <f t="shared" ca="1" si="23"/>
        <v>0</v>
      </c>
      <c r="Y28" s="713">
        <f t="shared" ca="1" si="23"/>
        <v>0</v>
      </c>
      <c r="Z28" s="713">
        <f t="shared" ca="1" si="23"/>
        <v>0</v>
      </c>
      <c r="AA28" s="713">
        <f t="shared" ca="1" si="23"/>
        <v>0</v>
      </c>
      <c r="AB28" s="713">
        <f t="shared" ca="1" si="23"/>
        <v>0</v>
      </c>
      <c r="AC28" s="713">
        <f t="shared" ca="1" si="23"/>
        <v>0</v>
      </c>
      <c r="AD28" s="713">
        <f t="shared" ca="1" si="23"/>
        <v>0</v>
      </c>
      <c r="AE28" s="713">
        <f t="shared" ca="1" si="23"/>
        <v>0</v>
      </c>
      <c r="AF28" s="713">
        <f t="shared" ca="1" si="23"/>
        <v>0</v>
      </c>
      <c r="AG28" s="713">
        <f t="shared" ca="1" si="23"/>
        <v>0</v>
      </c>
      <c r="AH28" s="713">
        <f t="shared" ca="1" si="23"/>
        <v>0</v>
      </c>
      <c r="AI28" s="713">
        <f t="shared" ca="1" si="23"/>
        <v>920291.31141238811</v>
      </c>
      <c r="AJ28" s="713">
        <f t="shared" ca="1" si="23"/>
        <v>0</v>
      </c>
      <c r="AK28" s="713">
        <f t="shared" ca="1" si="23"/>
        <v>873.30279499195728</v>
      </c>
      <c r="AL28" s="713">
        <f t="shared" ca="1" si="23"/>
        <v>12128.288700700141</v>
      </c>
      <c r="AM28" s="713">
        <f t="shared" ca="1" si="23"/>
        <v>725.17013281394009</v>
      </c>
      <c r="AN28" s="713">
        <f t="shared" ca="1" si="23"/>
        <v>0</v>
      </c>
      <c r="AO28" s="713">
        <f t="shared" ref="AO28:BT28" ca="1" si="24">(AO27/$J$9)*$K$9</f>
        <v>0</v>
      </c>
      <c r="AP28" s="713">
        <f t="shared" ca="1" si="24"/>
        <v>0</v>
      </c>
      <c r="AQ28" s="713">
        <f t="shared" ca="1" si="24"/>
        <v>0</v>
      </c>
      <c r="AR28" s="713">
        <f t="shared" ca="1" si="24"/>
        <v>6541.4922054211365</v>
      </c>
      <c r="AS28" s="713">
        <f t="shared" ca="1" si="24"/>
        <v>15532.410182380987</v>
      </c>
      <c r="AT28" s="713">
        <f t="shared" ca="1" si="24"/>
        <v>17752.184196787977</v>
      </c>
      <c r="AU28" s="713">
        <f t="shared" ca="1" si="24"/>
        <v>9973.2883186023191</v>
      </c>
      <c r="AV28" s="713">
        <f t="shared" ca="1" si="24"/>
        <v>9687.3106623567037</v>
      </c>
      <c r="AW28" s="713">
        <f t="shared" ca="1" si="24"/>
        <v>13717.261449199737</v>
      </c>
      <c r="AX28" s="713">
        <f t="shared" ca="1" si="24"/>
        <v>23865.839378987959</v>
      </c>
      <c r="AY28" s="713">
        <f t="shared" ca="1" si="24"/>
        <v>8549.1145679710189</v>
      </c>
      <c r="AZ28" s="713">
        <f t="shared" ca="1" si="24"/>
        <v>0</v>
      </c>
      <c r="BA28" s="713">
        <f t="shared" ca="1" si="24"/>
        <v>0</v>
      </c>
      <c r="BB28" s="713">
        <f t="shared" ca="1" si="24"/>
        <v>0</v>
      </c>
      <c r="BC28" s="713">
        <f t="shared" ca="1" si="24"/>
        <v>10593.721031223713</v>
      </c>
      <c r="BD28" s="713">
        <f t="shared" ca="1" si="24"/>
        <v>15620.166153444023</v>
      </c>
      <c r="BE28" s="713">
        <f t="shared" ca="1" si="24"/>
        <v>16945.39027685361</v>
      </c>
      <c r="BF28" s="713">
        <f t="shared" ca="1" si="24"/>
        <v>17874.890117303617</v>
      </c>
      <c r="BG28" s="713">
        <f t="shared" ca="1" si="24"/>
        <v>9972.1875262605936</v>
      </c>
      <c r="BH28" s="713">
        <f t="shared" ca="1" si="24"/>
        <v>9682.6063886152442</v>
      </c>
      <c r="BI28" s="713">
        <f t="shared" ca="1" si="24"/>
        <v>13776.418214132262</v>
      </c>
      <c r="BJ28" s="713">
        <f t="shared" ca="1" si="24"/>
        <v>24081.175259696432</v>
      </c>
      <c r="BK28" s="713">
        <f t="shared" ca="1" si="24"/>
        <v>8530.2743708306207</v>
      </c>
      <c r="BL28" s="713">
        <f t="shared" ca="1" si="24"/>
        <v>0</v>
      </c>
      <c r="BM28" s="713">
        <f t="shared" ca="1" si="24"/>
        <v>0</v>
      </c>
      <c r="BN28" s="713">
        <f t="shared" ca="1" si="24"/>
        <v>0</v>
      </c>
      <c r="BO28" s="713">
        <f t="shared" ca="1" si="24"/>
        <v>12794.010206172821</v>
      </c>
      <c r="BP28" s="713">
        <f t="shared" ca="1" si="24"/>
        <v>16015.978975891006</v>
      </c>
      <c r="BQ28" s="713">
        <f t="shared" ca="1" si="24"/>
        <v>17360.059008825778</v>
      </c>
      <c r="BR28" s="713">
        <f t="shared" ca="1" si="24"/>
        <v>18306.113629277592</v>
      </c>
      <c r="BS28" s="713">
        <f t="shared" ca="1" si="24"/>
        <v>10279.176928896151</v>
      </c>
      <c r="BT28" s="713">
        <f t="shared" ca="1" si="24"/>
        <v>9986.033480857659</v>
      </c>
      <c r="BU28" s="713">
        <f t="shared" ref="BU28:CZ28" ca="1" si="25">(BU27/$J$9)*$K$9</f>
        <v>14143.91105166096</v>
      </c>
      <c r="BV28" s="713">
        <f t="shared" ca="1" si="25"/>
        <v>24605.084239810851</v>
      </c>
      <c r="BW28" s="713">
        <f t="shared" ca="1" si="25"/>
        <v>8819.7417607551306</v>
      </c>
      <c r="BX28" s="713">
        <f t="shared" ca="1" si="25"/>
        <v>0</v>
      </c>
      <c r="BY28" s="713">
        <f t="shared" ca="1" si="25"/>
        <v>0</v>
      </c>
      <c r="BZ28" s="713">
        <f t="shared" ca="1" si="25"/>
        <v>0</v>
      </c>
      <c r="CA28" s="713">
        <f t="shared" ca="1" si="25"/>
        <v>11844.999058258951</v>
      </c>
      <c r="CB28" s="713">
        <f t="shared" ca="1" si="25"/>
        <v>16395.939898035231</v>
      </c>
      <c r="CC28" s="713">
        <f t="shared" ca="1" si="25"/>
        <v>17758.81449335568</v>
      </c>
      <c r="CD28" s="713">
        <f t="shared" ca="1" si="25"/>
        <v>18721.567703480468</v>
      </c>
      <c r="CE28" s="713">
        <f t="shared" ca="1" si="25"/>
        <v>10570.055279532236</v>
      </c>
      <c r="CF28" s="713">
        <f t="shared" ca="1" si="25"/>
        <v>10273.396405500927</v>
      </c>
      <c r="CG28" s="713">
        <f t="shared" ca="1" si="25"/>
        <v>14495.499235664724</v>
      </c>
      <c r="CH28" s="713">
        <f t="shared" ca="1" si="25"/>
        <v>25113.199253614428</v>
      </c>
      <c r="CI28" s="713">
        <f t="shared" ca="1" si="25"/>
        <v>9093.3444997574188</v>
      </c>
      <c r="CJ28" s="713">
        <f t="shared" ca="1" si="25"/>
        <v>0</v>
      </c>
      <c r="CK28" s="713">
        <f t="shared" ca="1" si="25"/>
        <v>0</v>
      </c>
      <c r="CL28" s="713">
        <f t="shared" ca="1" si="25"/>
        <v>0</v>
      </c>
      <c r="CM28" s="713">
        <f t="shared" ca="1" si="25"/>
        <v>12534.13914529129</v>
      </c>
      <c r="CN28" s="713">
        <f t="shared" ca="1" si="25"/>
        <v>16758.728647045809</v>
      </c>
      <c r="CO28" s="713">
        <f t="shared" ca="1" si="25"/>
        <v>18140.315806465394</v>
      </c>
      <c r="CP28" s="713">
        <f t="shared" ca="1" si="25"/>
        <v>19413.841302272194</v>
      </c>
      <c r="CQ28" s="713">
        <f t="shared" ca="1" si="25"/>
        <v>11137.50285437349</v>
      </c>
      <c r="CR28" s="713">
        <f t="shared" ca="1" si="25"/>
        <v>10837.381457893023</v>
      </c>
      <c r="CS28" s="713">
        <f t="shared" ca="1" si="25"/>
        <v>15123.820973165237</v>
      </c>
      <c r="CT28" s="713">
        <f t="shared" ca="1" si="25"/>
        <v>25898.02437483344</v>
      </c>
      <c r="CU28" s="713">
        <f t="shared" ca="1" si="25"/>
        <v>9643.7934179181902</v>
      </c>
      <c r="CV28" s="713">
        <f t="shared" ca="1" si="25"/>
        <v>0</v>
      </c>
      <c r="CW28" s="713">
        <f t="shared" ca="1" si="25"/>
        <v>0</v>
      </c>
      <c r="CX28" s="713">
        <f t="shared" ca="1" si="25"/>
        <v>0</v>
      </c>
      <c r="CY28" s="713">
        <f t="shared" ca="1" si="25"/>
        <v>16832.099938580988</v>
      </c>
      <c r="CZ28" s="713">
        <f t="shared" ca="1" si="25"/>
        <v>18425.639470534035</v>
      </c>
      <c r="DA28" s="713">
        <f t="shared" ref="DA28:DY28" ca="1" si="26">(DA27/$J$9)*$K$9</f>
        <v>19848.674244736201</v>
      </c>
      <c r="DB28" s="713">
        <f t="shared" ca="1" si="26"/>
        <v>18604.672208652293</v>
      </c>
      <c r="DC28" s="713">
        <f t="shared" ca="1" si="26"/>
        <v>10080.043607316664</v>
      </c>
      <c r="DD28" s="713">
        <f t="shared" ca="1" si="26"/>
        <v>9770.9185689417973</v>
      </c>
      <c r="DE28" s="713">
        <f t="shared" ca="1" si="26"/>
        <v>14185.951269672156</v>
      </c>
      <c r="DF28" s="713">
        <f t="shared" ca="1" si="26"/>
        <v>25283.380773390392</v>
      </c>
      <c r="DG28" s="713">
        <f t="shared" ca="1" si="26"/>
        <v>8541.5228877676873</v>
      </c>
      <c r="DH28" s="713">
        <f t="shared" ca="1" si="26"/>
        <v>0</v>
      </c>
      <c r="DI28" s="713">
        <f t="shared" ca="1" si="26"/>
        <v>0</v>
      </c>
      <c r="DJ28" s="713">
        <f t="shared" ca="1" si="26"/>
        <v>0</v>
      </c>
      <c r="DK28" s="713">
        <f t="shared" ca="1" si="26"/>
        <v>13631.05239816778</v>
      </c>
      <c r="DL28" s="713">
        <f t="shared" ca="1" si="26"/>
        <v>17586.82432196198</v>
      </c>
      <c r="DM28" s="713">
        <f t="shared" ca="1" si="26"/>
        <v>19052.550139390252</v>
      </c>
      <c r="DN28" s="713">
        <f t="shared" ca="1" si="26"/>
        <v>19923.796802111232</v>
      </c>
      <c r="DO28" s="713">
        <f t="shared" ca="1" si="26"/>
        <v>11143.429342735544</v>
      </c>
      <c r="DP28" s="713">
        <f t="shared" ca="1" si="26"/>
        <v>10825.030553209395</v>
      </c>
      <c r="DQ28" s="713">
        <f t="shared" ca="1" si="26"/>
        <v>15372.514234961705</v>
      </c>
      <c r="DR28" s="713">
        <f t="shared" ca="1" si="26"/>
        <v>26802.866623791509</v>
      </c>
      <c r="DS28" s="713">
        <f t="shared" ca="1" si="26"/>
        <v>9558.7530016001056</v>
      </c>
      <c r="DT28" s="713">
        <f t="shared" ca="1" si="26"/>
        <v>0</v>
      </c>
      <c r="DU28" s="713">
        <f t="shared" ca="1" si="26"/>
        <v>0</v>
      </c>
      <c r="DV28" s="713">
        <f t="shared" ca="1" si="26"/>
        <v>0</v>
      </c>
      <c r="DW28" s="713">
        <f t="shared" ca="1" si="26"/>
        <v>15167.785082963292</v>
      </c>
      <c r="DX28" s="713">
        <f t="shared" ca="1" si="26"/>
        <v>18875.413478820254</v>
      </c>
      <c r="DY28" s="713">
        <f t="shared" ca="1" si="26"/>
        <v>1639021.8768195207</v>
      </c>
      <c r="EA28" s="879"/>
    </row>
    <row r="29" spans="1:131" s="390" customFormat="1">
      <c r="A29" s="389"/>
      <c r="B29" s="389"/>
      <c r="C29" s="389"/>
      <c r="D29" s="389" t="s">
        <v>11</v>
      </c>
      <c r="E29" s="434">
        <f ca="1">SUM(I29:DY29)/SUM(I$29:DY$29)</f>
        <v>1</v>
      </c>
      <c r="F29" s="434"/>
      <c r="G29" s="816">
        <f t="shared" ca="1" si="20"/>
        <v>35313130.721983954</v>
      </c>
      <c r="H29" s="833"/>
      <c r="I29" s="703">
        <f t="shared" ref="I29:BT29" si="27">SUM(I27:I28)</f>
        <v>0</v>
      </c>
      <c r="J29" s="703">
        <f t="shared" ca="1" si="27"/>
        <v>0</v>
      </c>
      <c r="K29" s="703">
        <f t="shared" ca="1" si="27"/>
        <v>0</v>
      </c>
      <c r="L29" s="703">
        <f t="shared" ca="1" si="27"/>
        <v>0</v>
      </c>
      <c r="M29" s="703">
        <f t="shared" ca="1" si="27"/>
        <v>0</v>
      </c>
      <c r="N29" s="703">
        <f t="shared" ca="1" si="27"/>
        <v>0</v>
      </c>
      <c r="O29" s="703">
        <f t="shared" ca="1" si="27"/>
        <v>0</v>
      </c>
      <c r="P29" s="703">
        <f t="shared" ca="1" si="27"/>
        <v>0</v>
      </c>
      <c r="Q29" s="703">
        <f t="shared" ca="1" si="27"/>
        <v>0</v>
      </c>
      <c r="R29" s="703">
        <f t="shared" ca="1" si="27"/>
        <v>0</v>
      </c>
      <c r="S29" s="703">
        <f t="shared" ca="1" si="27"/>
        <v>0</v>
      </c>
      <c r="T29" s="703">
        <f t="shared" ca="1" si="27"/>
        <v>0</v>
      </c>
      <c r="U29" s="703">
        <f t="shared" ca="1" si="27"/>
        <v>0</v>
      </c>
      <c r="V29" s="703">
        <f t="shared" ca="1" si="27"/>
        <v>0</v>
      </c>
      <c r="W29" s="703">
        <f t="shared" ca="1" si="27"/>
        <v>0</v>
      </c>
      <c r="X29" s="703">
        <f t="shared" ca="1" si="27"/>
        <v>0</v>
      </c>
      <c r="Y29" s="703">
        <f t="shared" ca="1" si="27"/>
        <v>0</v>
      </c>
      <c r="Z29" s="703">
        <f t="shared" ca="1" si="27"/>
        <v>0</v>
      </c>
      <c r="AA29" s="703">
        <f t="shared" ca="1" si="27"/>
        <v>0</v>
      </c>
      <c r="AB29" s="703">
        <f t="shared" ca="1" si="27"/>
        <v>0</v>
      </c>
      <c r="AC29" s="703">
        <f t="shared" ca="1" si="27"/>
        <v>0</v>
      </c>
      <c r="AD29" s="703">
        <f t="shared" ca="1" si="27"/>
        <v>0</v>
      </c>
      <c r="AE29" s="703">
        <f t="shared" ca="1" si="27"/>
        <v>0</v>
      </c>
      <c r="AF29" s="703">
        <f t="shared" ca="1" si="27"/>
        <v>0</v>
      </c>
      <c r="AG29" s="703">
        <f t="shared" ca="1" si="27"/>
        <v>0</v>
      </c>
      <c r="AH29" s="703">
        <f t="shared" ca="1" si="27"/>
        <v>0</v>
      </c>
      <c r="AI29" s="703">
        <f t="shared" ca="1" si="27"/>
        <v>9202913.1141238827</v>
      </c>
      <c r="AJ29" s="703">
        <f t="shared" ca="1" si="27"/>
        <v>0</v>
      </c>
      <c r="AK29" s="703">
        <f t="shared" ca="1" si="27"/>
        <v>8733.0279499195749</v>
      </c>
      <c r="AL29" s="703">
        <f t="shared" ca="1" si="27"/>
        <v>121282.88700700144</v>
      </c>
      <c r="AM29" s="703">
        <f t="shared" ca="1" si="27"/>
        <v>7251.7013281394029</v>
      </c>
      <c r="AN29" s="703">
        <f t="shared" ca="1" si="27"/>
        <v>0</v>
      </c>
      <c r="AO29" s="703">
        <f t="shared" ca="1" si="27"/>
        <v>0</v>
      </c>
      <c r="AP29" s="703">
        <f t="shared" ca="1" si="27"/>
        <v>0</v>
      </c>
      <c r="AQ29" s="703">
        <f t="shared" ca="1" si="27"/>
        <v>0</v>
      </c>
      <c r="AR29" s="703">
        <f t="shared" ca="1" si="27"/>
        <v>65414.922054211376</v>
      </c>
      <c r="AS29" s="703">
        <f t="shared" ca="1" si="27"/>
        <v>155324.10182380991</v>
      </c>
      <c r="AT29" s="703">
        <f t="shared" ca="1" si="27"/>
        <v>177521.84196787979</v>
      </c>
      <c r="AU29" s="703">
        <f t="shared" ca="1" si="27"/>
        <v>99732.883186023217</v>
      </c>
      <c r="AV29" s="703">
        <f t="shared" ca="1" si="27"/>
        <v>96873.106623567059</v>
      </c>
      <c r="AW29" s="703">
        <f t="shared" ca="1" si="27"/>
        <v>137172.6144919974</v>
      </c>
      <c r="AX29" s="703">
        <f t="shared" ca="1" si="27"/>
        <v>238658.39378987963</v>
      </c>
      <c r="AY29" s="703">
        <f t="shared" ca="1" si="27"/>
        <v>85491.1456797102</v>
      </c>
      <c r="AZ29" s="703">
        <f t="shared" ca="1" si="27"/>
        <v>0</v>
      </c>
      <c r="BA29" s="703">
        <f t="shared" ca="1" si="27"/>
        <v>0</v>
      </c>
      <c r="BB29" s="703">
        <f t="shared" ca="1" si="27"/>
        <v>0</v>
      </c>
      <c r="BC29" s="703">
        <f t="shared" ca="1" si="27"/>
        <v>105937.21031223715</v>
      </c>
      <c r="BD29" s="703">
        <f t="shared" ca="1" si="27"/>
        <v>156201.66153444027</v>
      </c>
      <c r="BE29" s="703">
        <f t="shared" ca="1" si="27"/>
        <v>169453.90276853612</v>
      </c>
      <c r="BF29" s="703">
        <f t="shared" ca="1" si="27"/>
        <v>178748.9011730362</v>
      </c>
      <c r="BG29" s="703">
        <f t="shared" ca="1" si="27"/>
        <v>99721.875262605958</v>
      </c>
      <c r="BH29" s="703">
        <f t="shared" ca="1" si="27"/>
        <v>96826.063886152464</v>
      </c>
      <c r="BI29" s="703">
        <f t="shared" ca="1" si="27"/>
        <v>137764.18214132264</v>
      </c>
      <c r="BJ29" s="703">
        <f t="shared" ca="1" si="27"/>
        <v>240811.75259696436</v>
      </c>
      <c r="BK29" s="703">
        <f t="shared" ca="1" si="27"/>
        <v>85302.743708306225</v>
      </c>
      <c r="BL29" s="703">
        <f t="shared" ca="1" si="27"/>
        <v>0</v>
      </c>
      <c r="BM29" s="703">
        <f t="shared" ca="1" si="27"/>
        <v>0</v>
      </c>
      <c r="BN29" s="703">
        <f t="shared" ca="1" si="27"/>
        <v>0</v>
      </c>
      <c r="BO29" s="703">
        <f t="shared" ca="1" si="27"/>
        <v>127940.10206172825</v>
      </c>
      <c r="BP29" s="703">
        <f t="shared" ca="1" si="27"/>
        <v>160159.7897589101</v>
      </c>
      <c r="BQ29" s="703">
        <f t="shared" ca="1" si="27"/>
        <v>173600.5900882578</v>
      </c>
      <c r="BR29" s="703">
        <f t="shared" ca="1" si="27"/>
        <v>183061.13629277598</v>
      </c>
      <c r="BS29" s="703">
        <f t="shared" ca="1" si="27"/>
        <v>102791.76928896154</v>
      </c>
      <c r="BT29" s="703">
        <f t="shared" ca="1" si="27"/>
        <v>99860.334808576619</v>
      </c>
      <c r="BU29" s="703">
        <f t="shared" ref="BU29:DY29" ca="1" si="28">SUM(BU27:BU28)</f>
        <v>141439.11051660962</v>
      </c>
      <c r="BV29" s="703">
        <f t="shared" ca="1" si="28"/>
        <v>246050.84239810857</v>
      </c>
      <c r="BW29" s="703">
        <f t="shared" ca="1" si="28"/>
        <v>88197.417607551324</v>
      </c>
      <c r="BX29" s="703">
        <f t="shared" ca="1" si="28"/>
        <v>0</v>
      </c>
      <c r="BY29" s="703">
        <f t="shared" ca="1" si="28"/>
        <v>0</v>
      </c>
      <c r="BZ29" s="703">
        <f t="shared" ca="1" si="28"/>
        <v>0</v>
      </c>
      <c r="CA29" s="703">
        <f t="shared" ca="1" si="28"/>
        <v>118449.99058258953</v>
      </c>
      <c r="CB29" s="703">
        <f t="shared" ca="1" si="28"/>
        <v>163959.39898035233</v>
      </c>
      <c r="CC29" s="703">
        <f t="shared" ca="1" si="28"/>
        <v>177588.14493355682</v>
      </c>
      <c r="CD29" s="703">
        <f t="shared" ca="1" si="28"/>
        <v>187215.67703480471</v>
      </c>
      <c r="CE29" s="703">
        <f t="shared" ca="1" si="28"/>
        <v>105700.55279532238</v>
      </c>
      <c r="CF29" s="703">
        <f t="shared" ca="1" si="28"/>
        <v>102733.9640550093</v>
      </c>
      <c r="CG29" s="703">
        <f t="shared" ca="1" si="28"/>
        <v>144954.99235664727</v>
      </c>
      <c r="CH29" s="703">
        <f t="shared" ca="1" si="28"/>
        <v>251131.99253614433</v>
      </c>
      <c r="CI29" s="703">
        <f t="shared" ca="1" si="28"/>
        <v>90933.444997574203</v>
      </c>
      <c r="CJ29" s="703">
        <f t="shared" ca="1" si="28"/>
        <v>0</v>
      </c>
      <c r="CK29" s="703">
        <f t="shared" ca="1" si="28"/>
        <v>0</v>
      </c>
      <c r="CL29" s="703">
        <f t="shared" ca="1" si="28"/>
        <v>0</v>
      </c>
      <c r="CM29" s="703">
        <f t="shared" ca="1" si="28"/>
        <v>125341.39145291294</v>
      </c>
      <c r="CN29" s="703">
        <f t="shared" ca="1" si="28"/>
        <v>167587.28647045814</v>
      </c>
      <c r="CO29" s="703">
        <f t="shared" ca="1" si="28"/>
        <v>181403.15806465398</v>
      </c>
      <c r="CP29" s="703">
        <f t="shared" ca="1" si="28"/>
        <v>194138.413022722</v>
      </c>
      <c r="CQ29" s="703">
        <f t="shared" ca="1" si="28"/>
        <v>111375.02854373492</v>
      </c>
      <c r="CR29" s="703">
        <f t="shared" ca="1" si="28"/>
        <v>108373.81457893027</v>
      </c>
      <c r="CS29" s="703">
        <f t="shared" ca="1" si="28"/>
        <v>151238.2097316524</v>
      </c>
      <c r="CT29" s="703">
        <f t="shared" ca="1" si="28"/>
        <v>258980.24374833447</v>
      </c>
      <c r="CU29" s="703">
        <f t="shared" ca="1" si="28"/>
        <v>96437.934179181932</v>
      </c>
      <c r="CV29" s="703">
        <f t="shared" ca="1" si="28"/>
        <v>0</v>
      </c>
      <c r="CW29" s="703">
        <f t="shared" ca="1" si="28"/>
        <v>0</v>
      </c>
      <c r="CX29" s="703">
        <f t="shared" ca="1" si="28"/>
        <v>0</v>
      </c>
      <c r="CY29" s="703">
        <f t="shared" ca="1" si="28"/>
        <v>168320.9993858099</v>
      </c>
      <c r="CZ29" s="703">
        <f t="shared" ca="1" si="28"/>
        <v>184256.39470534038</v>
      </c>
      <c r="DA29" s="703">
        <f t="shared" ca="1" si="28"/>
        <v>198486.74244736205</v>
      </c>
      <c r="DB29" s="703">
        <f t="shared" ca="1" si="28"/>
        <v>186046.72208652296</v>
      </c>
      <c r="DC29" s="703">
        <f t="shared" ca="1" si="28"/>
        <v>100800.43607316667</v>
      </c>
      <c r="DD29" s="703">
        <f t="shared" ca="1" si="28"/>
        <v>97709.185689417995</v>
      </c>
      <c r="DE29" s="703">
        <f t="shared" ca="1" si="28"/>
        <v>141859.51269672159</v>
      </c>
      <c r="DF29" s="703">
        <f t="shared" ca="1" si="28"/>
        <v>252833.80773390399</v>
      </c>
      <c r="DG29" s="703">
        <f t="shared" ca="1" si="28"/>
        <v>85415.228877676884</v>
      </c>
      <c r="DH29" s="703">
        <f t="shared" ca="1" si="28"/>
        <v>0</v>
      </c>
      <c r="DI29" s="703">
        <f t="shared" ca="1" si="28"/>
        <v>0</v>
      </c>
      <c r="DJ29" s="703">
        <f t="shared" ca="1" si="28"/>
        <v>0</v>
      </c>
      <c r="DK29" s="703">
        <f t="shared" ca="1" si="28"/>
        <v>136310.52398167783</v>
      </c>
      <c r="DL29" s="703">
        <f t="shared" ca="1" si="28"/>
        <v>175868.24321961985</v>
      </c>
      <c r="DM29" s="703">
        <f t="shared" ca="1" si="28"/>
        <v>190525.50139390258</v>
      </c>
      <c r="DN29" s="703">
        <f t="shared" ca="1" si="28"/>
        <v>199237.96802111238</v>
      </c>
      <c r="DO29" s="703">
        <f t="shared" ca="1" si="28"/>
        <v>111434.29342735547</v>
      </c>
      <c r="DP29" s="703">
        <f t="shared" ca="1" si="28"/>
        <v>108250.30553209397</v>
      </c>
      <c r="DQ29" s="703">
        <f t="shared" ca="1" si="28"/>
        <v>153725.14234961709</v>
      </c>
      <c r="DR29" s="703">
        <f t="shared" ca="1" si="28"/>
        <v>268028.66623791517</v>
      </c>
      <c r="DS29" s="703">
        <f t="shared" ca="1" si="28"/>
        <v>95587.530016001081</v>
      </c>
      <c r="DT29" s="703">
        <f t="shared" ca="1" si="28"/>
        <v>0</v>
      </c>
      <c r="DU29" s="703">
        <f t="shared" ca="1" si="28"/>
        <v>0</v>
      </c>
      <c r="DV29" s="703">
        <f t="shared" ca="1" si="28"/>
        <v>0</v>
      </c>
      <c r="DW29" s="703">
        <f t="shared" ca="1" si="28"/>
        <v>151677.85082963295</v>
      </c>
      <c r="DX29" s="703">
        <f t="shared" ca="1" si="28"/>
        <v>188754.13478820259</v>
      </c>
      <c r="DY29" s="703">
        <f t="shared" ca="1" si="28"/>
        <v>16390218.76819521</v>
      </c>
      <c r="EA29" s="879"/>
    </row>
    <row r="30" spans="1:131" s="390" customFormat="1">
      <c r="A30" s="389"/>
      <c r="B30" s="389"/>
      <c r="C30" s="389"/>
      <c r="D30" s="389"/>
      <c r="E30" s="879"/>
      <c r="F30" s="879"/>
      <c r="G30" s="816"/>
      <c r="H30" s="834"/>
      <c r="I30" s="703"/>
      <c r="J30" s="703"/>
      <c r="K30" s="703"/>
      <c r="L30" s="703"/>
      <c r="M30" s="703"/>
      <c r="N30" s="703"/>
      <c r="O30" s="703"/>
      <c r="P30" s="703"/>
      <c r="Q30" s="703"/>
      <c r="R30" s="703"/>
      <c r="S30" s="703"/>
      <c r="T30" s="703"/>
      <c r="U30" s="703"/>
      <c r="V30" s="703"/>
      <c r="W30" s="703"/>
      <c r="X30" s="703"/>
      <c r="Y30" s="703"/>
      <c r="Z30" s="703"/>
      <c r="AA30" s="703"/>
      <c r="AB30" s="703"/>
      <c r="AC30" s="703"/>
      <c r="AD30" s="703"/>
      <c r="AE30" s="703"/>
      <c r="AF30" s="703"/>
      <c r="AG30" s="703"/>
      <c r="AH30" s="703"/>
      <c r="AI30" s="703"/>
      <c r="AJ30" s="703"/>
      <c r="AK30" s="703"/>
      <c r="AL30" s="703"/>
      <c r="AM30" s="703"/>
      <c r="AN30" s="703"/>
      <c r="AO30" s="703"/>
      <c r="AP30" s="703"/>
      <c r="AQ30" s="703"/>
      <c r="AR30" s="703"/>
      <c r="AS30" s="703"/>
      <c r="AT30" s="703"/>
      <c r="AU30" s="703"/>
      <c r="AV30" s="703"/>
      <c r="AW30" s="703"/>
      <c r="AX30" s="703"/>
      <c r="AY30" s="703"/>
      <c r="AZ30" s="703"/>
      <c r="BA30" s="703"/>
      <c r="BB30" s="703"/>
      <c r="BC30" s="703"/>
      <c r="BD30" s="703"/>
      <c r="BE30" s="703"/>
      <c r="BF30" s="703"/>
      <c r="BG30" s="703"/>
      <c r="BH30" s="703"/>
      <c r="BI30" s="703"/>
      <c r="BJ30" s="703"/>
      <c r="BK30" s="703"/>
      <c r="BL30" s="703"/>
      <c r="BM30" s="703"/>
      <c r="BN30" s="703"/>
      <c r="BO30" s="703"/>
      <c r="BP30" s="703"/>
      <c r="BQ30" s="703"/>
      <c r="BR30" s="703"/>
      <c r="BS30" s="703"/>
      <c r="BT30" s="703"/>
      <c r="BU30" s="703"/>
      <c r="BV30" s="703"/>
      <c r="BW30" s="703"/>
      <c r="BX30" s="703"/>
      <c r="BY30" s="703"/>
      <c r="BZ30" s="703"/>
      <c r="CA30" s="703"/>
      <c r="CB30" s="703"/>
      <c r="CC30" s="703"/>
      <c r="CD30" s="703"/>
      <c r="CE30" s="703"/>
      <c r="CF30" s="703"/>
      <c r="CG30" s="703"/>
      <c r="CH30" s="703"/>
      <c r="CI30" s="703"/>
      <c r="CJ30" s="703"/>
      <c r="CK30" s="703"/>
      <c r="CL30" s="703"/>
      <c r="CM30" s="703"/>
      <c r="CN30" s="703"/>
      <c r="CO30" s="703"/>
      <c r="CP30" s="703"/>
      <c r="CQ30" s="703"/>
      <c r="CR30" s="703"/>
      <c r="CS30" s="703"/>
      <c r="CT30" s="703"/>
      <c r="CU30" s="703"/>
      <c r="CV30" s="703"/>
      <c r="CW30" s="703"/>
      <c r="CX30" s="703"/>
      <c r="CY30" s="703"/>
      <c r="CZ30" s="703"/>
      <c r="DA30" s="703"/>
      <c r="DB30" s="703"/>
      <c r="DC30" s="703"/>
      <c r="DD30" s="703"/>
      <c r="DE30" s="703"/>
      <c r="DF30" s="703"/>
      <c r="DG30" s="703"/>
      <c r="DH30" s="703"/>
      <c r="DI30" s="703"/>
      <c r="DJ30" s="703"/>
      <c r="DK30" s="703"/>
      <c r="DL30" s="703"/>
      <c r="DM30" s="703"/>
      <c r="DN30" s="703"/>
      <c r="DO30" s="703"/>
      <c r="DP30" s="703"/>
      <c r="DQ30" s="703"/>
      <c r="DR30" s="703"/>
      <c r="DS30" s="703"/>
      <c r="DT30" s="703"/>
      <c r="DU30" s="703"/>
      <c r="DV30" s="703"/>
      <c r="DW30" s="703"/>
      <c r="DX30" s="703"/>
      <c r="DY30" s="703"/>
      <c r="DZ30" s="879"/>
      <c r="EA30" s="879"/>
    </row>
    <row r="31" spans="1:131" s="390" customFormat="1">
      <c r="A31" s="389"/>
      <c r="B31" s="389"/>
      <c r="C31" s="389"/>
      <c r="D31" s="389" t="s">
        <v>113</v>
      </c>
      <c r="E31" s="879"/>
      <c r="F31" s="879"/>
      <c r="G31" s="816">
        <f ca="1">SUM(I31:DY31)</f>
        <v>35779547.118256032</v>
      </c>
      <c r="H31" s="834"/>
      <c r="I31" s="703">
        <f t="shared" ref="I31:AN31" si="29">IF(I18&gt;0,I18-I29,0)</f>
        <v>0</v>
      </c>
      <c r="J31" s="703">
        <f t="shared" ca="1" si="29"/>
        <v>0</v>
      </c>
      <c r="K31" s="703">
        <f t="shared" ca="1" si="29"/>
        <v>0</v>
      </c>
      <c r="L31" s="703">
        <f t="shared" ca="1" si="29"/>
        <v>0</v>
      </c>
      <c r="M31" s="703">
        <f t="shared" ca="1" si="29"/>
        <v>0</v>
      </c>
      <c r="N31" s="703">
        <f t="shared" ca="1" si="29"/>
        <v>0</v>
      </c>
      <c r="O31" s="703">
        <f t="shared" ca="1" si="29"/>
        <v>0</v>
      </c>
      <c r="P31" s="703">
        <f t="shared" ca="1" si="29"/>
        <v>0</v>
      </c>
      <c r="Q31" s="703">
        <f t="shared" ca="1" si="29"/>
        <v>0</v>
      </c>
      <c r="R31" s="703">
        <f t="shared" ca="1" si="29"/>
        <v>0</v>
      </c>
      <c r="S31" s="703">
        <f t="shared" ca="1" si="29"/>
        <v>0</v>
      </c>
      <c r="T31" s="703">
        <f t="shared" ca="1" si="29"/>
        <v>0</v>
      </c>
      <c r="U31" s="703">
        <f t="shared" ca="1" si="29"/>
        <v>0</v>
      </c>
      <c r="V31" s="703">
        <f t="shared" ca="1" si="29"/>
        <v>0</v>
      </c>
      <c r="W31" s="703">
        <f t="shared" ca="1" si="29"/>
        <v>0</v>
      </c>
      <c r="X31" s="703">
        <f t="shared" ca="1" si="29"/>
        <v>0</v>
      </c>
      <c r="Y31" s="703">
        <f t="shared" ca="1" si="29"/>
        <v>0</v>
      </c>
      <c r="Z31" s="703">
        <f t="shared" ca="1" si="29"/>
        <v>0</v>
      </c>
      <c r="AA31" s="703">
        <f t="shared" ca="1" si="29"/>
        <v>0</v>
      </c>
      <c r="AB31" s="703">
        <f t="shared" ca="1" si="29"/>
        <v>0</v>
      </c>
      <c r="AC31" s="703">
        <f t="shared" ca="1" si="29"/>
        <v>0</v>
      </c>
      <c r="AD31" s="703">
        <f t="shared" ca="1" si="29"/>
        <v>0</v>
      </c>
      <c r="AE31" s="703">
        <f t="shared" ca="1" si="29"/>
        <v>0</v>
      </c>
      <c r="AF31" s="703">
        <f t="shared" ca="1" si="29"/>
        <v>0</v>
      </c>
      <c r="AG31" s="703">
        <f t="shared" ca="1" si="29"/>
        <v>0</v>
      </c>
      <c r="AH31" s="703">
        <f t="shared" ca="1" si="29"/>
        <v>0</v>
      </c>
      <c r="AI31" s="703">
        <f t="shared" ca="1" si="29"/>
        <v>0</v>
      </c>
      <c r="AJ31" s="703">
        <f t="shared" ca="1" si="29"/>
        <v>0</v>
      </c>
      <c r="AK31" s="703">
        <f t="shared" ca="1" si="29"/>
        <v>0</v>
      </c>
      <c r="AL31" s="703">
        <f t="shared" ca="1" si="29"/>
        <v>0</v>
      </c>
      <c r="AM31" s="703">
        <f t="shared" ca="1" si="29"/>
        <v>0</v>
      </c>
      <c r="AN31" s="703">
        <f t="shared" ca="1" si="29"/>
        <v>0</v>
      </c>
      <c r="AO31" s="703">
        <f t="shared" ref="AO31:BT31" ca="1" si="30">IF(AO18&gt;0,AO18-AO29,0)</f>
        <v>0</v>
      </c>
      <c r="AP31" s="703">
        <f t="shared" ca="1" si="30"/>
        <v>0</v>
      </c>
      <c r="AQ31" s="703">
        <f t="shared" ca="1" si="30"/>
        <v>0</v>
      </c>
      <c r="AR31" s="703">
        <f t="shared" ca="1" si="30"/>
        <v>0</v>
      </c>
      <c r="AS31" s="703">
        <f t="shared" ca="1" si="30"/>
        <v>0</v>
      </c>
      <c r="AT31" s="703">
        <f t="shared" ca="1" si="30"/>
        <v>0</v>
      </c>
      <c r="AU31" s="703">
        <f t="shared" ca="1" si="30"/>
        <v>0</v>
      </c>
      <c r="AV31" s="703">
        <f t="shared" ca="1" si="30"/>
        <v>0</v>
      </c>
      <c r="AW31" s="703">
        <f t="shared" ca="1" si="30"/>
        <v>0</v>
      </c>
      <c r="AX31" s="703">
        <f t="shared" ca="1" si="30"/>
        <v>0</v>
      </c>
      <c r="AY31" s="703">
        <f t="shared" ca="1" si="30"/>
        <v>0</v>
      </c>
      <c r="AZ31" s="703">
        <f t="shared" ca="1" si="30"/>
        <v>0</v>
      </c>
      <c r="BA31" s="703">
        <f t="shared" ca="1" si="30"/>
        <v>0</v>
      </c>
      <c r="BB31" s="703">
        <f t="shared" ca="1" si="30"/>
        <v>0</v>
      </c>
      <c r="BC31" s="703">
        <f t="shared" ca="1" si="30"/>
        <v>0</v>
      </c>
      <c r="BD31" s="703">
        <f t="shared" ca="1" si="30"/>
        <v>-2.9103830456733704E-11</v>
      </c>
      <c r="BE31" s="703">
        <f t="shared" ca="1" si="30"/>
        <v>0</v>
      </c>
      <c r="BF31" s="703">
        <f t="shared" ca="1" si="30"/>
        <v>0</v>
      </c>
      <c r="BG31" s="703">
        <f t="shared" ca="1" si="30"/>
        <v>0</v>
      </c>
      <c r="BH31" s="703">
        <f t="shared" ca="1" si="30"/>
        <v>0</v>
      </c>
      <c r="BI31" s="703">
        <f t="shared" ca="1" si="30"/>
        <v>0</v>
      </c>
      <c r="BJ31" s="703">
        <f t="shared" ca="1" si="30"/>
        <v>0</v>
      </c>
      <c r="BK31" s="703">
        <f t="shared" ca="1" si="30"/>
        <v>0</v>
      </c>
      <c r="BL31" s="703">
        <f t="shared" ca="1" si="30"/>
        <v>0</v>
      </c>
      <c r="BM31" s="703">
        <f t="shared" ca="1" si="30"/>
        <v>0</v>
      </c>
      <c r="BN31" s="703">
        <f t="shared" ca="1" si="30"/>
        <v>0</v>
      </c>
      <c r="BO31" s="703">
        <f t="shared" ca="1" si="30"/>
        <v>0</v>
      </c>
      <c r="BP31" s="703">
        <f t="shared" ca="1" si="30"/>
        <v>-2.9103830456733704E-11</v>
      </c>
      <c r="BQ31" s="703">
        <f t="shared" ca="1" si="30"/>
        <v>0</v>
      </c>
      <c r="BR31" s="703">
        <f t="shared" ca="1" si="30"/>
        <v>0</v>
      </c>
      <c r="BS31" s="703">
        <f t="shared" ca="1" si="30"/>
        <v>0</v>
      </c>
      <c r="BT31" s="703">
        <f t="shared" ca="1" si="30"/>
        <v>0</v>
      </c>
      <c r="BU31" s="703">
        <f t="shared" ref="BU31:CZ31" ca="1" si="31">IF(BU18&gt;0,BU18-BU29,0)</f>
        <v>0</v>
      </c>
      <c r="BV31" s="703">
        <f t="shared" ca="1" si="31"/>
        <v>0</v>
      </c>
      <c r="BW31" s="703">
        <f t="shared" ca="1" si="31"/>
        <v>0</v>
      </c>
      <c r="BX31" s="703">
        <f t="shared" ca="1" si="31"/>
        <v>0</v>
      </c>
      <c r="BY31" s="703">
        <f t="shared" ca="1" si="31"/>
        <v>0</v>
      </c>
      <c r="BZ31" s="703">
        <f t="shared" ca="1" si="31"/>
        <v>0</v>
      </c>
      <c r="CA31" s="703">
        <f t="shared" ca="1" si="31"/>
        <v>0</v>
      </c>
      <c r="CB31" s="703">
        <f t="shared" ca="1" si="31"/>
        <v>0</v>
      </c>
      <c r="CC31" s="703">
        <f t="shared" ca="1" si="31"/>
        <v>-2.9103830456733704E-11</v>
      </c>
      <c r="CD31" s="703">
        <f t="shared" ca="1" si="31"/>
        <v>0</v>
      </c>
      <c r="CE31" s="703">
        <f t="shared" ca="1" si="31"/>
        <v>0</v>
      </c>
      <c r="CF31" s="703">
        <f t="shared" ca="1" si="31"/>
        <v>0</v>
      </c>
      <c r="CG31" s="703">
        <f t="shared" ca="1" si="31"/>
        <v>0</v>
      </c>
      <c r="CH31" s="703">
        <f t="shared" ca="1" si="31"/>
        <v>0</v>
      </c>
      <c r="CI31" s="703">
        <f t="shared" ca="1" si="31"/>
        <v>0</v>
      </c>
      <c r="CJ31" s="703">
        <f t="shared" ca="1" si="31"/>
        <v>0</v>
      </c>
      <c r="CK31" s="703">
        <f t="shared" ca="1" si="31"/>
        <v>0</v>
      </c>
      <c r="CL31" s="703">
        <f t="shared" ca="1" si="31"/>
        <v>0</v>
      </c>
      <c r="CM31" s="703">
        <f t="shared" ca="1" si="31"/>
        <v>0</v>
      </c>
      <c r="CN31" s="703">
        <f t="shared" ca="1" si="31"/>
        <v>0</v>
      </c>
      <c r="CO31" s="703">
        <f t="shared" ca="1" si="31"/>
        <v>0</v>
      </c>
      <c r="CP31" s="703">
        <f t="shared" ca="1" si="31"/>
        <v>0</v>
      </c>
      <c r="CQ31" s="703">
        <f t="shared" ca="1" si="31"/>
        <v>0</v>
      </c>
      <c r="CR31" s="703">
        <f t="shared" ca="1" si="31"/>
        <v>0</v>
      </c>
      <c r="CS31" s="703">
        <f t="shared" ca="1" si="31"/>
        <v>0</v>
      </c>
      <c r="CT31" s="703">
        <f t="shared" ca="1" si="31"/>
        <v>0</v>
      </c>
      <c r="CU31" s="703">
        <f t="shared" ca="1" si="31"/>
        <v>0</v>
      </c>
      <c r="CV31" s="703">
        <f t="shared" ca="1" si="31"/>
        <v>0</v>
      </c>
      <c r="CW31" s="703">
        <f t="shared" ca="1" si="31"/>
        <v>0</v>
      </c>
      <c r="CX31" s="703">
        <f t="shared" ca="1" si="31"/>
        <v>0</v>
      </c>
      <c r="CY31" s="703">
        <f t="shared" ca="1" si="31"/>
        <v>-2.9103830456733704E-11</v>
      </c>
      <c r="CZ31" s="703">
        <f t="shared" ca="1" si="31"/>
        <v>0</v>
      </c>
      <c r="DA31" s="703">
        <f t="shared" ref="DA31:DY31" ca="1" si="32">IF(DA18&gt;0,DA18-DA29,0)</f>
        <v>0</v>
      </c>
      <c r="DB31" s="703">
        <f t="shared" ca="1" si="32"/>
        <v>0</v>
      </c>
      <c r="DC31" s="703">
        <f t="shared" ca="1" si="32"/>
        <v>0</v>
      </c>
      <c r="DD31" s="703">
        <f t="shared" ca="1" si="32"/>
        <v>0</v>
      </c>
      <c r="DE31" s="703">
        <f t="shared" ca="1" si="32"/>
        <v>0</v>
      </c>
      <c r="DF31" s="703">
        <f t="shared" ca="1" si="32"/>
        <v>0</v>
      </c>
      <c r="DG31" s="703">
        <f t="shared" ca="1" si="32"/>
        <v>0</v>
      </c>
      <c r="DH31" s="703">
        <f t="shared" ca="1" si="32"/>
        <v>0</v>
      </c>
      <c r="DI31" s="703">
        <f t="shared" ca="1" si="32"/>
        <v>0</v>
      </c>
      <c r="DJ31" s="703">
        <f t="shared" ca="1" si="32"/>
        <v>0</v>
      </c>
      <c r="DK31" s="703">
        <f t="shared" ca="1" si="32"/>
        <v>0</v>
      </c>
      <c r="DL31" s="703">
        <f t="shared" ca="1" si="32"/>
        <v>0</v>
      </c>
      <c r="DM31" s="703">
        <f t="shared" ca="1" si="32"/>
        <v>0</v>
      </c>
      <c r="DN31" s="703">
        <f t="shared" ca="1" si="32"/>
        <v>0</v>
      </c>
      <c r="DO31" s="703">
        <f t="shared" ca="1" si="32"/>
        <v>0</v>
      </c>
      <c r="DP31" s="703">
        <f t="shared" ca="1" si="32"/>
        <v>0</v>
      </c>
      <c r="DQ31" s="703">
        <f t="shared" ca="1" si="32"/>
        <v>0</v>
      </c>
      <c r="DR31" s="703">
        <f t="shared" ca="1" si="32"/>
        <v>0</v>
      </c>
      <c r="DS31" s="703">
        <f t="shared" ca="1" si="32"/>
        <v>0</v>
      </c>
      <c r="DT31" s="703">
        <f t="shared" ca="1" si="32"/>
        <v>0</v>
      </c>
      <c r="DU31" s="703">
        <f t="shared" ca="1" si="32"/>
        <v>0</v>
      </c>
      <c r="DV31" s="703">
        <f t="shared" ca="1" si="32"/>
        <v>0</v>
      </c>
      <c r="DW31" s="703">
        <f t="shared" ca="1" si="32"/>
        <v>0</v>
      </c>
      <c r="DX31" s="703">
        <f t="shared" ca="1" si="32"/>
        <v>0</v>
      </c>
      <c r="DY31" s="703">
        <f t="shared" ca="1" si="32"/>
        <v>35779547.118256032</v>
      </c>
      <c r="DZ31" s="879"/>
      <c r="EA31" s="879"/>
    </row>
    <row r="32" spans="1:131" s="390" customFormat="1">
      <c r="A32" s="389"/>
      <c r="B32" s="389"/>
      <c r="C32" s="389"/>
      <c r="D32" s="389"/>
      <c r="E32" s="879"/>
      <c r="F32" s="879"/>
      <c r="G32" s="816"/>
      <c r="H32" s="834"/>
      <c r="I32" s="703"/>
      <c r="J32" s="703"/>
      <c r="K32" s="703"/>
      <c r="L32" s="703"/>
      <c r="M32" s="703"/>
      <c r="N32" s="703"/>
      <c r="O32" s="703"/>
      <c r="P32" s="703"/>
      <c r="Q32" s="703"/>
      <c r="R32" s="703"/>
      <c r="S32" s="703"/>
      <c r="T32" s="703"/>
      <c r="U32" s="703"/>
      <c r="V32" s="703"/>
      <c r="W32" s="703"/>
      <c r="X32" s="703"/>
      <c r="Y32" s="703"/>
      <c r="Z32" s="703"/>
      <c r="AA32" s="703"/>
      <c r="AB32" s="703"/>
      <c r="AC32" s="703"/>
      <c r="AD32" s="703"/>
      <c r="AE32" s="703"/>
      <c r="AF32" s="703"/>
      <c r="AG32" s="703"/>
      <c r="AH32" s="703"/>
      <c r="AI32" s="703"/>
      <c r="AJ32" s="703"/>
      <c r="AK32" s="703"/>
      <c r="AL32" s="703"/>
      <c r="AM32" s="703"/>
      <c r="AN32" s="703"/>
      <c r="AO32" s="703"/>
      <c r="AP32" s="703"/>
      <c r="AQ32" s="703"/>
      <c r="AR32" s="703"/>
      <c r="AS32" s="703"/>
      <c r="AT32" s="703"/>
      <c r="AU32" s="703"/>
      <c r="AV32" s="703"/>
      <c r="AW32" s="703"/>
      <c r="AX32" s="703"/>
      <c r="AY32" s="703"/>
      <c r="AZ32" s="703"/>
      <c r="BA32" s="703"/>
      <c r="BB32" s="703"/>
      <c r="BC32" s="703"/>
      <c r="BD32" s="703"/>
      <c r="BE32" s="703"/>
      <c r="BF32" s="703"/>
      <c r="BG32" s="703"/>
      <c r="BH32" s="703"/>
      <c r="BI32" s="703"/>
      <c r="BJ32" s="703"/>
      <c r="BK32" s="703"/>
      <c r="BL32" s="703"/>
      <c r="BM32" s="703"/>
      <c r="BN32" s="703"/>
      <c r="BO32" s="703"/>
      <c r="BP32" s="703"/>
      <c r="BQ32" s="703"/>
      <c r="BR32" s="703"/>
      <c r="BS32" s="703"/>
      <c r="BT32" s="703"/>
      <c r="BU32" s="703"/>
      <c r="BV32" s="703"/>
      <c r="BW32" s="703"/>
      <c r="BX32" s="703"/>
      <c r="BY32" s="703"/>
      <c r="BZ32" s="703"/>
      <c r="CA32" s="703"/>
      <c r="CB32" s="703"/>
      <c r="CC32" s="703"/>
      <c r="CD32" s="703"/>
      <c r="CE32" s="703"/>
      <c r="CF32" s="703"/>
      <c r="CG32" s="703"/>
      <c r="CH32" s="703"/>
      <c r="CI32" s="703"/>
      <c r="CJ32" s="703"/>
      <c r="CK32" s="703"/>
      <c r="CL32" s="703"/>
      <c r="CM32" s="703"/>
      <c r="CN32" s="703"/>
      <c r="CO32" s="703"/>
      <c r="CP32" s="703"/>
      <c r="CQ32" s="703"/>
      <c r="CR32" s="703"/>
      <c r="CS32" s="703"/>
      <c r="CT32" s="703"/>
      <c r="CU32" s="703"/>
      <c r="CV32" s="703"/>
      <c r="CW32" s="703"/>
      <c r="CX32" s="703"/>
      <c r="CY32" s="703"/>
      <c r="CZ32" s="703"/>
      <c r="DA32" s="703"/>
      <c r="DB32" s="703"/>
      <c r="DC32" s="703"/>
      <c r="DD32" s="703"/>
      <c r="DE32" s="703"/>
      <c r="DF32" s="703"/>
      <c r="DG32" s="703"/>
      <c r="DH32" s="703"/>
      <c r="DI32" s="703"/>
      <c r="DJ32" s="703"/>
      <c r="DK32" s="703"/>
      <c r="DL32" s="703"/>
      <c r="DM32" s="703"/>
      <c r="DN32" s="703"/>
      <c r="DO32" s="703"/>
      <c r="DP32" s="703"/>
      <c r="DQ32" s="703"/>
      <c r="DR32" s="703"/>
      <c r="DS32" s="703"/>
      <c r="DT32" s="703"/>
      <c r="DU32" s="703"/>
      <c r="DV32" s="703"/>
      <c r="DW32" s="703"/>
      <c r="DX32" s="703"/>
      <c r="DY32" s="703"/>
      <c r="DZ32" s="879"/>
      <c r="EA32" s="879"/>
    </row>
    <row r="33" spans="1:131" s="390" customFormat="1">
      <c r="A33" s="389"/>
      <c r="B33" s="433"/>
      <c r="C33" s="389"/>
      <c r="D33" s="433" t="s">
        <v>107</v>
      </c>
      <c r="E33" s="879"/>
      <c r="F33" s="879"/>
      <c r="G33" s="816"/>
      <c r="H33" s="834"/>
      <c r="I33" s="703"/>
      <c r="J33" s="703"/>
      <c r="K33" s="703"/>
      <c r="L33" s="703"/>
      <c r="M33" s="703"/>
      <c r="N33" s="703"/>
      <c r="O33" s="703"/>
      <c r="P33" s="703"/>
      <c r="Q33" s="703"/>
      <c r="R33" s="703"/>
      <c r="S33" s="703"/>
      <c r="T33" s="703"/>
      <c r="U33" s="703"/>
      <c r="V33" s="703"/>
      <c r="W33" s="703"/>
      <c r="X33" s="703"/>
      <c r="Y33" s="703"/>
      <c r="Z33" s="703"/>
      <c r="AA33" s="703"/>
      <c r="AB33" s="703"/>
      <c r="AC33" s="703"/>
      <c r="AD33" s="703"/>
      <c r="AE33" s="703"/>
      <c r="AF33" s="703"/>
      <c r="AG33" s="703"/>
      <c r="AH33" s="703"/>
      <c r="AI33" s="703"/>
      <c r="AJ33" s="703"/>
      <c r="AK33" s="703"/>
      <c r="AL33" s="703"/>
      <c r="AM33" s="703"/>
      <c r="AN33" s="703"/>
      <c r="AO33" s="703"/>
      <c r="AP33" s="703"/>
      <c r="AQ33" s="703"/>
      <c r="AR33" s="703"/>
      <c r="AS33" s="703"/>
      <c r="AT33" s="703"/>
      <c r="AU33" s="703"/>
      <c r="AV33" s="703"/>
      <c r="AW33" s="703"/>
      <c r="AX33" s="703"/>
      <c r="AY33" s="703"/>
      <c r="AZ33" s="703"/>
      <c r="BA33" s="703"/>
      <c r="BB33" s="703"/>
      <c r="BC33" s="703"/>
      <c r="BD33" s="703"/>
      <c r="BE33" s="703"/>
      <c r="BF33" s="703"/>
      <c r="BG33" s="703"/>
      <c r="BH33" s="703"/>
      <c r="BI33" s="703"/>
      <c r="BJ33" s="703"/>
      <c r="BK33" s="703"/>
      <c r="BL33" s="703"/>
      <c r="BM33" s="703"/>
      <c r="BN33" s="703"/>
      <c r="BO33" s="703"/>
      <c r="BP33" s="703"/>
      <c r="BQ33" s="703"/>
      <c r="BR33" s="703"/>
      <c r="BS33" s="703"/>
      <c r="BT33" s="703"/>
      <c r="BU33" s="703"/>
      <c r="BV33" s="703"/>
      <c r="BW33" s="703"/>
      <c r="BX33" s="703"/>
      <c r="BY33" s="703"/>
      <c r="BZ33" s="703"/>
      <c r="CA33" s="703"/>
      <c r="CB33" s="703"/>
      <c r="CC33" s="703"/>
      <c r="CD33" s="703"/>
      <c r="CE33" s="703"/>
      <c r="CF33" s="703"/>
      <c r="CG33" s="703"/>
      <c r="CH33" s="703"/>
      <c r="CI33" s="703"/>
      <c r="CJ33" s="703"/>
      <c r="CK33" s="703"/>
      <c r="CL33" s="703"/>
      <c r="CM33" s="703"/>
      <c r="CN33" s="703"/>
      <c r="CO33" s="703"/>
      <c r="CP33" s="703"/>
      <c r="CQ33" s="703"/>
      <c r="CR33" s="703"/>
      <c r="CS33" s="703"/>
      <c r="CT33" s="703"/>
      <c r="CU33" s="703"/>
      <c r="CV33" s="703"/>
      <c r="CW33" s="703"/>
      <c r="CX33" s="703"/>
      <c r="CY33" s="703"/>
      <c r="CZ33" s="703"/>
      <c r="DA33" s="703"/>
      <c r="DB33" s="703"/>
      <c r="DC33" s="703"/>
      <c r="DD33" s="703"/>
      <c r="DE33" s="703"/>
      <c r="DF33" s="703"/>
      <c r="DG33" s="703"/>
      <c r="DH33" s="703"/>
      <c r="DI33" s="703"/>
      <c r="DJ33" s="703"/>
      <c r="DK33" s="703"/>
      <c r="DL33" s="703"/>
      <c r="DM33" s="703"/>
      <c r="DN33" s="703"/>
      <c r="DO33" s="703"/>
      <c r="DP33" s="703"/>
      <c r="DQ33" s="703"/>
      <c r="DR33" s="703"/>
      <c r="DS33" s="703"/>
      <c r="DT33" s="703"/>
      <c r="DU33" s="703"/>
      <c r="DV33" s="703"/>
      <c r="DW33" s="703"/>
      <c r="DX33" s="703"/>
      <c r="DY33" s="703"/>
      <c r="DZ33" s="879"/>
      <c r="EA33" s="879"/>
    </row>
    <row r="34" spans="1:131" s="390" customFormat="1">
      <c r="A34" s="389"/>
      <c r="B34" s="389"/>
      <c r="C34" s="389"/>
      <c r="D34" s="389" t="str">
        <f>CONCATENATE($J$7&amp;" (Pro Rata)")</f>
        <v>Outside Investor (Pro Rata)</v>
      </c>
      <c r="E34" s="879"/>
      <c r="F34" s="879"/>
      <c r="G34" s="816">
        <f t="shared" ref="G34:G37" ca="1" si="33">SUM(I34:DY34)</f>
        <v>10645431.589666964</v>
      </c>
      <c r="H34" s="834"/>
      <c r="I34" s="703">
        <f t="shared" ref="I34:BT34" si="34">I87</f>
        <v>0</v>
      </c>
      <c r="J34" s="703">
        <f t="shared" ca="1" si="34"/>
        <v>0</v>
      </c>
      <c r="K34" s="703">
        <f t="shared" ca="1" si="34"/>
        <v>0</v>
      </c>
      <c r="L34" s="703">
        <f t="shared" ca="1" si="34"/>
        <v>0</v>
      </c>
      <c r="M34" s="703">
        <f t="shared" ca="1" si="34"/>
        <v>0</v>
      </c>
      <c r="N34" s="703">
        <f t="shared" ca="1" si="34"/>
        <v>0</v>
      </c>
      <c r="O34" s="703">
        <f t="shared" ca="1" si="34"/>
        <v>0</v>
      </c>
      <c r="P34" s="703">
        <f t="shared" ca="1" si="34"/>
        <v>0</v>
      </c>
      <c r="Q34" s="703">
        <f t="shared" ca="1" si="34"/>
        <v>0</v>
      </c>
      <c r="R34" s="703">
        <f t="shared" ca="1" si="34"/>
        <v>0</v>
      </c>
      <c r="S34" s="703">
        <f t="shared" ca="1" si="34"/>
        <v>0</v>
      </c>
      <c r="T34" s="703">
        <f t="shared" ca="1" si="34"/>
        <v>0</v>
      </c>
      <c r="U34" s="703">
        <f t="shared" ca="1" si="34"/>
        <v>0</v>
      </c>
      <c r="V34" s="703">
        <f t="shared" ca="1" si="34"/>
        <v>0</v>
      </c>
      <c r="W34" s="703">
        <f t="shared" ca="1" si="34"/>
        <v>0</v>
      </c>
      <c r="X34" s="703">
        <f t="shared" ca="1" si="34"/>
        <v>0</v>
      </c>
      <c r="Y34" s="703">
        <f t="shared" ca="1" si="34"/>
        <v>0</v>
      </c>
      <c r="Z34" s="703">
        <f t="shared" ca="1" si="34"/>
        <v>0</v>
      </c>
      <c r="AA34" s="703">
        <f t="shared" ca="1" si="34"/>
        <v>0</v>
      </c>
      <c r="AB34" s="703">
        <f t="shared" ca="1" si="34"/>
        <v>0</v>
      </c>
      <c r="AC34" s="703">
        <f t="shared" ca="1" si="34"/>
        <v>0</v>
      </c>
      <c r="AD34" s="703">
        <f t="shared" ca="1" si="34"/>
        <v>0</v>
      </c>
      <c r="AE34" s="703">
        <f t="shared" ca="1" si="34"/>
        <v>0</v>
      </c>
      <c r="AF34" s="703">
        <f t="shared" ca="1" si="34"/>
        <v>0</v>
      </c>
      <c r="AG34" s="703">
        <f t="shared" ca="1" si="34"/>
        <v>0</v>
      </c>
      <c r="AH34" s="703">
        <f t="shared" ca="1" si="34"/>
        <v>0</v>
      </c>
      <c r="AI34" s="703">
        <f t="shared" ca="1" si="34"/>
        <v>0</v>
      </c>
      <c r="AJ34" s="703">
        <f t="shared" ca="1" si="34"/>
        <v>0</v>
      </c>
      <c r="AK34" s="703">
        <f t="shared" ca="1" si="34"/>
        <v>0</v>
      </c>
      <c r="AL34" s="703">
        <f t="shared" ca="1" si="34"/>
        <v>0</v>
      </c>
      <c r="AM34" s="703">
        <f t="shared" ca="1" si="34"/>
        <v>0</v>
      </c>
      <c r="AN34" s="703">
        <f t="shared" ca="1" si="34"/>
        <v>0</v>
      </c>
      <c r="AO34" s="703">
        <f t="shared" ca="1" si="34"/>
        <v>0</v>
      </c>
      <c r="AP34" s="703">
        <f t="shared" ca="1" si="34"/>
        <v>0</v>
      </c>
      <c r="AQ34" s="703">
        <f t="shared" ca="1" si="34"/>
        <v>0</v>
      </c>
      <c r="AR34" s="703">
        <f t="shared" ca="1" si="34"/>
        <v>0</v>
      </c>
      <c r="AS34" s="703">
        <f t="shared" ca="1" si="34"/>
        <v>0</v>
      </c>
      <c r="AT34" s="703">
        <f t="shared" ca="1" si="34"/>
        <v>0</v>
      </c>
      <c r="AU34" s="703">
        <f t="shared" ca="1" si="34"/>
        <v>0</v>
      </c>
      <c r="AV34" s="703">
        <f t="shared" ca="1" si="34"/>
        <v>0</v>
      </c>
      <c r="AW34" s="703">
        <f t="shared" ca="1" si="34"/>
        <v>0</v>
      </c>
      <c r="AX34" s="703">
        <f t="shared" ca="1" si="34"/>
        <v>0</v>
      </c>
      <c r="AY34" s="703">
        <f t="shared" ca="1" si="34"/>
        <v>0</v>
      </c>
      <c r="AZ34" s="703">
        <f t="shared" ca="1" si="34"/>
        <v>0</v>
      </c>
      <c r="BA34" s="703">
        <f t="shared" ca="1" si="34"/>
        <v>0</v>
      </c>
      <c r="BB34" s="703">
        <f t="shared" ca="1" si="34"/>
        <v>0</v>
      </c>
      <c r="BC34" s="703">
        <f t="shared" ca="1" si="34"/>
        <v>0</v>
      </c>
      <c r="BD34" s="703">
        <f t="shared" ca="1" si="34"/>
        <v>-2.0954757928848269E-11</v>
      </c>
      <c r="BE34" s="703">
        <f t="shared" ca="1" si="34"/>
        <v>0</v>
      </c>
      <c r="BF34" s="703">
        <f t="shared" ca="1" si="34"/>
        <v>0</v>
      </c>
      <c r="BG34" s="703">
        <f t="shared" ca="1" si="34"/>
        <v>0</v>
      </c>
      <c r="BH34" s="703">
        <f t="shared" ca="1" si="34"/>
        <v>0</v>
      </c>
      <c r="BI34" s="703">
        <f t="shared" ca="1" si="34"/>
        <v>0</v>
      </c>
      <c r="BJ34" s="703">
        <f t="shared" ca="1" si="34"/>
        <v>0</v>
      </c>
      <c r="BK34" s="703">
        <f t="shared" ca="1" si="34"/>
        <v>0</v>
      </c>
      <c r="BL34" s="703">
        <f t="shared" ca="1" si="34"/>
        <v>0</v>
      </c>
      <c r="BM34" s="703">
        <f t="shared" ca="1" si="34"/>
        <v>0</v>
      </c>
      <c r="BN34" s="703">
        <f t="shared" ca="1" si="34"/>
        <v>0</v>
      </c>
      <c r="BO34" s="703">
        <f t="shared" ca="1" si="34"/>
        <v>0</v>
      </c>
      <c r="BP34" s="703">
        <f t="shared" ca="1" si="34"/>
        <v>-2.0954757928848269E-11</v>
      </c>
      <c r="BQ34" s="703">
        <f t="shared" ca="1" si="34"/>
        <v>0</v>
      </c>
      <c r="BR34" s="703">
        <f t="shared" ca="1" si="34"/>
        <v>0</v>
      </c>
      <c r="BS34" s="703">
        <f t="shared" ca="1" si="34"/>
        <v>0</v>
      </c>
      <c r="BT34" s="703">
        <f t="shared" ca="1" si="34"/>
        <v>0</v>
      </c>
      <c r="BU34" s="703">
        <f t="shared" ref="BU34:DY34" ca="1" si="35">BU87</f>
        <v>0</v>
      </c>
      <c r="BV34" s="703">
        <f t="shared" ca="1" si="35"/>
        <v>0</v>
      </c>
      <c r="BW34" s="703">
        <f t="shared" ca="1" si="35"/>
        <v>0</v>
      </c>
      <c r="BX34" s="703">
        <f t="shared" ca="1" si="35"/>
        <v>0</v>
      </c>
      <c r="BY34" s="703">
        <f t="shared" ca="1" si="35"/>
        <v>0</v>
      </c>
      <c r="BZ34" s="703">
        <f t="shared" ca="1" si="35"/>
        <v>0</v>
      </c>
      <c r="CA34" s="703">
        <f t="shared" ca="1" si="35"/>
        <v>0</v>
      </c>
      <c r="CB34" s="703">
        <f t="shared" ca="1" si="35"/>
        <v>0</v>
      </c>
      <c r="CC34" s="703">
        <f t="shared" ca="1" si="35"/>
        <v>-2.0954757928848269E-11</v>
      </c>
      <c r="CD34" s="703">
        <f t="shared" ca="1" si="35"/>
        <v>0</v>
      </c>
      <c r="CE34" s="703">
        <f t="shared" ca="1" si="35"/>
        <v>0</v>
      </c>
      <c r="CF34" s="703">
        <f t="shared" ca="1" si="35"/>
        <v>0</v>
      </c>
      <c r="CG34" s="703">
        <f t="shared" ca="1" si="35"/>
        <v>0</v>
      </c>
      <c r="CH34" s="703">
        <f t="shared" ca="1" si="35"/>
        <v>0</v>
      </c>
      <c r="CI34" s="703">
        <f t="shared" ca="1" si="35"/>
        <v>0</v>
      </c>
      <c r="CJ34" s="703">
        <f t="shared" ca="1" si="35"/>
        <v>0</v>
      </c>
      <c r="CK34" s="703">
        <f t="shared" ca="1" si="35"/>
        <v>0</v>
      </c>
      <c r="CL34" s="703">
        <f t="shared" ca="1" si="35"/>
        <v>0</v>
      </c>
      <c r="CM34" s="703">
        <f t="shared" ca="1" si="35"/>
        <v>0</v>
      </c>
      <c r="CN34" s="703">
        <f t="shared" ca="1" si="35"/>
        <v>0</v>
      </c>
      <c r="CO34" s="703">
        <f t="shared" ca="1" si="35"/>
        <v>0</v>
      </c>
      <c r="CP34" s="703">
        <f t="shared" ca="1" si="35"/>
        <v>0</v>
      </c>
      <c r="CQ34" s="703">
        <f t="shared" ca="1" si="35"/>
        <v>0</v>
      </c>
      <c r="CR34" s="703">
        <f t="shared" ca="1" si="35"/>
        <v>0</v>
      </c>
      <c r="CS34" s="703">
        <f t="shared" ca="1" si="35"/>
        <v>0</v>
      </c>
      <c r="CT34" s="703">
        <f t="shared" ca="1" si="35"/>
        <v>0</v>
      </c>
      <c r="CU34" s="703">
        <f t="shared" ca="1" si="35"/>
        <v>0</v>
      </c>
      <c r="CV34" s="703">
        <f t="shared" ca="1" si="35"/>
        <v>0</v>
      </c>
      <c r="CW34" s="703">
        <f t="shared" ca="1" si="35"/>
        <v>0</v>
      </c>
      <c r="CX34" s="703">
        <f t="shared" ca="1" si="35"/>
        <v>0</v>
      </c>
      <c r="CY34" s="703">
        <f t="shared" ca="1" si="35"/>
        <v>-2.0954757928848269E-11</v>
      </c>
      <c r="CZ34" s="703">
        <f t="shared" ca="1" si="35"/>
        <v>0</v>
      </c>
      <c r="DA34" s="703">
        <f t="shared" ca="1" si="35"/>
        <v>0</v>
      </c>
      <c r="DB34" s="703">
        <f t="shared" ca="1" si="35"/>
        <v>0</v>
      </c>
      <c r="DC34" s="703">
        <f t="shared" ca="1" si="35"/>
        <v>0</v>
      </c>
      <c r="DD34" s="703">
        <f t="shared" ca="1" si="35"/>
        <v>0</v>
      </c>
      <c r="DE34" s="703">
        <f t="shared" ca="1" si="35"/>
        <v>0</v>
      </c>
      <c r="DF34" s="703">
        <f t="shared" ca="1" si="35"/>
        <v>0</v>
      </c>
      <c r="DG34" s="703">
        <f t="shared" ca="1" si="35"/>
        <v>0</v>
      </c>
      <c r="DH34" s="703">
        <f t="shared" ca="1" si="35"/>
        <v>0</v>
      </c>
      <c r="DI34" s="703">
        <f t="shared" ca="1" si="35"/>
        <v>0</v>
      </c>
      <c r="DJ34" s="703">
        <f t="shared" ca="1" si="35"/>
        <v>0</v>
      </c>
      <c r="DK34" s="703">
        <f t="shared" ca="1" si="35"/>
        <v>0</v>
      </c>
      <c r="DL34" s="703">
        <f t="shared" ca="1" si="35"/>
        <v>0</v>
      </c>
      <c r="DM34" s="703">
        <f t="shared" ca="1" si="35"/>
        <v>0</v>
      </c>
      <c r="DN34" s="703">
        <f t="shared" ca="1" si="35"/>
        <v>0</v>
      </c>
      <c r="DO34" s="703">
        <f t="shared" ca="1" si="35"/>
        <v>0</v>
      </c>
      <c r="DP34" s="703">
        <f t="shared" ca="1" si="35"/>
        <v>0</v>
      </c>
      <c r="DQ34" s="703">
        <f ca="1">DQ87</f>
        <v>0</v>
      </c>
      <c r="DR34" s="703">
        <f t="shared" ref="DR34:DX34" ca="1" si="36">DR87</f>
        <v>0</v>
      </c>
      <c r="DS34" s="703">
        <f t="shared" ca="1" si="36"/>
        <v>0</v>
      </c>
      <c r="DT34" s="703">
        <f t="shared" ca="1" si="36"/>
        <v>0</v>
      </c>
      <c r="DU34" s="703">
        <f t="shared" ca="1" si="36"/>
        <v>0</v>
      </c>
      <c r="DV34" s="703">
        <f t="shared" ca="1" si="36"/>
        <v>0</v>
      </c>
      <c r="DW34" s="703">
        <f t="shared" ca="1" si="36"/>
        <v>6.2864273786544804E-11</v>
      </c>
      <c r="DX34" s="703">
        <f t="shared" ca="1" si="36"/>
        <v>0</v>
      </c>
      <c r="DY34" s="703">
        <f t="shared" ca="1" si="35"/>
        <v>10645431.589666964</v>
      </c>
      <c r="DZ34" s="879"/>
      <c r="EA34" s="879"/>
    </row>
    <row r="35" spans="1:131" s="390" customFormat="1">
      <c r="A35" s="389"/>
      <c r="B35" s="389"/>
      <c r="C35" s="389"/>
      <c r="D35" s="389" t="str">
        <f>CONCATENATE($K$7&amp;" (Pro Rata)")</f>
        <v>Sponsor Investors (Pro Rata)</v>
      </c>
      <c r="E35" s="879"/>
      <c r="F35" s="879"/>
      <c r="G35" s="816">
        <f t="shared" ca="1" si="33"/>
        <v>1182825.732185218</v>
      </c>
      <c r="H35" s="834"/>
      <c r="I35" s="703">
        <f t="shared" ref="I35:AN35" si="37">(I34/$J$10)*$K$10</f>
        <v>0</v>
      </c>
      <c r="J35" s="703">
        <f t="shared" ca="1" si="37"/>
        <v>0</v>
      </c>
      <c r="K35" s="703">
        <f t="shared" ca="1" si="37"/>
        <v>0</v>
      </c>
      <c r="L35" s="703">
        <f t="shared" ca="1" si="37"/>
        <v>0</v>
      </c>
      <c r="M35" s="703">
        <f t="shared" ca="1" si="37"/>
        <v>0</v>
      </c>
      <c r="N35" s="703">
        <f t="shared" ca="1" si="37"/>
        <v>0</v>
      </c>
      <c r="O35" s="703">
        <f t="shared" ca="1" si="37"/>
        <v>0</v>
      </c>
      <c r="P35" s="703">
        <f t="shared" ca="1" si="37"/>
        <v>0</v>
      </c>
      <c r="Q35" s="703">
        <f t="shared" ca="1" si="37"/>
        <v>0</v>
      </c>
      <c r="R35" s="703">
        <f t="shared" ca="1" si="37"/>
        <v>0</v>
      </c>
      <c r="S35" s="703">
        <f t="shared" ca="1" si="37"/>
        <v>0</v>
      </c>
      <c r="T35" s="703">
        <f t="shared" ca="1" si="37"/>
        <v>0</v>
      </c>
      <c r="U35" s="703">
        <f t="shared" ca="1" si="37"/>
        <v>0</v>
      </c>
      <c r="V35" s="703">
        <f t="shared" ca="1" si="37"/>
        <v>0</v>
      </c>
      <c r="W35" s="703">
        <f t="shared" ca="1" si="37"/>
        <v>0</v>
      </c>
      <c r="X35" s="703">
        <f t="shared" ca="1" si="37"/>
        <v>0</v>
      </c>
      <c r="Y35" s="703">
        <f t="shared" ca="1" si="37"/>
        <v>0</v>
      </c>
      <c r="Z35" s="703">
        <f t="shared" ca="1" si="37"/>
        <v>0</v>
      </c>
      <c r="AA35" s="703">
        <f t="shared" ca="1" si="37"/>
        <v>0</v>
      </c>
      <c r="AB35" s="703">
        <f t="shared" ca="1" si="37"/>
        <v>0</v>
      </c>
      <c r="AC35" s="703">
        <f t="shared" ca="1" si="37"/>
        <v>0</v>
      </c>
      <c r="AD35" s="703">
        <f t="shared" ca="1" si="37"/>
        <v>0</v>
      </c>
      <c r="AE35" s="703">
        <f t="shared" ca="1" si="37"/>
        <v>0</v>
      </c>
      <c r="AF35" s="703">
        <f t="shared" ca="1" si="37"/>
        <v>0</v>
      </c>
      <c r="AG35" s="703">
        <f t="shared" ca="1" si="37"/>
        <v>0</v>
      </c>
      <c r="AH35" s="703">
        <f t="shared" ca="1" si="37"/>
        <v>0</v>
      </c>
      <c r="AI35" s="703">
        <f t="shared" ca="1" si="37"/>
        <v>0</v>
      </c>
      <c r="AJ35" s="703">
        <f t="shared" ca="1" si="37"/>
        <v>0</v>
      </c>
      <c r="AK35" s="703">
        <f t="shared" ca="1" si="37"/>
        <v>0</v>
      </c>
      <c r="AL35" s="703">
        <f t="shared" ca="1" si="37"/>
        <v>0</v>
      </c>
      <c r="AM35" s="703">
        <f t="shared" ca="1" si="37"/>
        <v>0</v>
      </c>
      <c r="AN35" s="703">
        <f t="shared" ca="1" si="37"/>
        <v>0</v>
      </c>
      <c r="AO35" s="703">
        <f t="shared" ref="AO35:BT35" ca="1" si="38">(AO34/$J$10)*$K$10</f>
        <v>0</v>
      </c>
      <c r="AP35" s="703">
        <f t="shared" ca="1" si="38"/>
        <v>0</v>
      </c>
      <c r="AQ35" s="703">
        <f t="shared" ca="1" si="38"/>
        <v>0</v>
      </c>
      <c r="AR35" s="703">
        <f t="shared" ca="1" si="38"/>
        <v>0</v>
      </c>
      <c r="AS35" s="703">
        <f t="shared" ca="1" si="38"/>
        <v>0</v>
      </c>
      <c r="AT35" s="703">
        <f t="shared" ca="1" si="38"/>
        <v>0</v>
      </c>
      <c r="AU35" s="703">
        <f t="shared" ca="1" si="38"/>
        <v>0</v>
      </c>
      <c r="AV35" s="703">
        <f t="shared" ca="1" si="38"/>
        <v>0</v>
      </c>
      <c r="AW35" s="703">
        <f t="shared" ca="1" si="38"/>
        <v>0</v>
      </c>
      <c r="AX35" s="703">
        <f t="shared" ca="1" si="38"/>
        <v>0</v>
      </c>
      <c r="AY35" s="703">
        <f t="shared" ca="1" si="38"/>
        <v>0</v>
      </c>
      <c r="AZ35" s="703">
        <f t="shared" ca="1" si="38"/>
        <v>0</v>
      </c>
      <c r="BA35" s="703">
        <f t="shared" ca="1" si="38"/>
        <v>0</v>
      </c>
      <c r="BB35" s="703">
        <f t="shared" ca="1" si="38"/>
        <v>0</v>
      </c>
      <c r="BC35" s="703">
        <f t="shared" ca="1" si="38"/>
        <v>0</v>
      </c>
      <c r="BD35" s="703">
        <f t="shared" ca="1" si="38"/>
        <v>-2.3283064365386959E-12</v>
      </c>
      <c r="BE35" s="703">
        <f t="shared" ca="1" si="38"/>
        <v>0</v>
      </c>
      <c r="BF35" s="703">
        <f t="shared" ca="1" si="38"/>
        <v>0</v>
      </c>
      <c r="BG35" s="703">
        <f t="shared" ca="1" si="38"/>
        <v>0</v>
      </c>
      <c r="BH35" s="703">
        <f t="shared" ca="1" si="38"/>
        <v>0</v>
      </c>
      <c r="BI35" s="703">
        <f t="shared" ca="1" si="38"/>
        <v>0</v>
      </c>
      <c r="BJ35" s="703">
        <f t="shared" ca="1" si="38"/>
        <v>0</v>
      </c>
      <c r="BK35" s="703">
        <f t="shared" ca="1" si="38"/>
        <v>0</v>
      </c>
      <c r="BL35" s="703">
        <f t="shared" ca="1" si="38"/>
        <v>0</v>
      </c>
      <c r="BM35" s="703">
        <f t="shared" ca="1" si="38"/>
        <v>0</v>
      </c>
      <c r="BN35" s="703">
        <f t="shared" ca="1" si="38"/>
        <v>0</v>
      </c>
      <c r="BO35" s="703">
        <f t="shared" ca="1" si="38"/>
        <v>0</v>
      </c>
      <c r="BP35" s="703">
        <f t="shared" ca="1" si="38"/>
        <v>-2.3283064365386959E-12</v>
      </c>
      <c r="BQ35" s="703">
        <f t="shared" ca="1" si="38"/>
        <v>0</v>
      </c>
      <c r="BR35" s="703">
        <f t="shared" ca="1" si="38"/>
        <v>0</v>
      </c>
      <c r="BS35" s="703">
        <f t="shared" ca="1" si="38"/>
        <v>0</v>
      </c>
      <c r="BT35" s="703">
        <f t="shared" ca="1" si="38"/>
        <v>0</v>
      </c>
      <c r="BU35" s="703">
        <f t="shared" ref="BU35:CZ35" ca="1" si="39">(BU34/$J$10)*$K$10</f>
        <v>0</v>
      </c>
      <c r="BV35" s="703">
        <f t="shared" ca="1" si="39"/>
        <v>0</v>
      </c>
      <c r="BW35" s="703">
        <f t="shared" ca="1" si="39"/>
        <v>0</v>
      </c>
      <c r="BX35" s="703">
        <f t="shared" ca="1" si="39"/>
        <v>0</v>
      </c>
      <c r="BY35" s="703">
        <f t="shared" ca="1" si="39"/>
        <v>0</v>
      </c>
      <c r="BZ35" s="703">
        <f t="shared" ca="1" si="39"/>
        <v>0</v>
      </c>
      <c r="CA35" s="703">
        <f t="shared" ca="1" si="39"/>
        <v>0</v>
      </c>
      <c r="CB35" s="703">
        <f t="shared" ca="1" si="39"/>
        <v>0</v>
      </c>
      <c r="CC35" s="703">
        <f t="shared" ca="1" si="39"/>
        <v>-2.3283064365386959E-12</v>
      </c>
      <c r="CD35" s="703">
        <f t="shared" ca="1" si="39"/>
        <v>0</v>
      </c>
      <c r="CE35" s="703">
        <f t="shared" ca="1" si="39"/>
        <v>0</v>
      </c>
      <c r="CF35" s="703">
        <f t="shared" ca="1" si="39"/>
        <v>0</v>
      </c>
      <c r="CG35" s="703">
        <f t="shared" ca="1" si="39"/>
        <v>0</v>
      </c>
      <c r="CH35" s="703">
        <f t="shared" ca="1" si="39"/>
        <v>0</v>
      </c>
      <c r="CI35" s="703">
        <f t="shared" ca="1" si="39"/>
        <v>0</v>
      </c>
      <c r="CJ35" s="703">
        <f t="shared" ca="1" si="39"/>
        <v>0</v>
      </c>
      <c r="CK35" s="703">
        <f t="shared" ca="1" si="39"/>
        <v>0</v>
      </c>
      <c r="CL35" s="703">
        <f t="shared" ca="1" si="39"/>
        <v>0</v>
      </c>
      <c r="CM35" s="703">
        <f t="shared" ca="1" si="39"/>
        <v>0</v>
      </c>
      <c r="CN35" s="703">
        <f t="shared" ca="1" si="39"/>
        <v>0</v>
      </c>
      <c r="CO35" s="703">
        <f t="shared" ca="1" si="39"/>
        <v>0</v>
      </c>
      <c r="CP35" s="703">
        <f t="shared" ca="1" si="39"/>
        <v>0</v>
      </c>
      <c r="CQ35" s="703">
        <f t="shared" ca="1" si="39"/>
        <v>0</v>
      </c>
      <c r="CR35" s="703">
        <f t="shared" ca="1" si="39"/>
        <v>0</v>
      </c>
      <c r="CS35" s="703">
        <f t="shared" ca="1" si="39"/>
        <v>0</v>
      </c>
      <c r="CT35" s="703">
        <f t="shared" ca="1" si="39"/>
        <v>0</v>
      </c>
      <c r="CU35" s="703">
        <f t="shared" ca="1" si="39"/>
        <v>0</v>
      </c>
      <c r="CV35" s="703">
        <f t="shared" ca="1" si="39"/>
        <v>0</v>
      </c>
      <c r="CW35" s="703">
        <f t="shared" ca="1" si="39"/>
        <v>0</v>
      </c>
      <c r="CX35" s="703">
        <f t="shared" ca="1" si="39"/>
        <v>0</v>
      </c>
      <c r="CY35" s="703">
        <f t="shared" ca="1" si="39"/>
        <v>-2.3283064365386959E-12</v>
      </c>
      <c r="CZ35" s="703">
        <f t="shared" ca="1" si="39"/>
        <v>0</v>
      </c>
      <c r="DA35" s="703">
        <f t="shared" ref="DA35:DY35" ca="1" si="40">(DA34/$J$10)*$K$10</f>
        <v>0</v>
      </c>
      <c r="DB35" s="703">
        <f t="shared" ca="1" si="40"/>
        <v>0</v>
      </c>
      <c r="DC35" s="703">
        <f t="shared" ca="1" si="40"/>
        <v>0</v>
      </c>
      <c r="DD35" s="703">
        <f t="shared" ca="1" si="40"/>
        <v>0</v>
      </c>
      <c r="DE35" s="703">
        <f t="shared" ca="1" si="40"/>
        <v>0</v>
      </c>
      <c r="DF35" s="703">
        <f t="shared" ca="1" si="40"/>
        <v>0</v>
      </c>
      <c r="DG35" s="703">
        <f t="shared" ca="1" si="40"/>
        <v>0</v>
      </c>
      <c r="DH35" s="703">
        <f t="shared" ca="1" si="40"/>
        <v>0</v>
      </c>
      <c r="DI35" s="703">
        <f t="shared" ca="1" si="40"/>
        <v>0</v>
      </c>
      <c r="DJ35" s="703">
        <f t="shared" ca="1" si="40"/>
        <v>0</v>
      </c>
      <c r="DK35" s="703">
        <f t="shared" ca="1" si="40"/>
        <v>0</v>
      </c>
      <c r="DL35" s="703">
        <f t="shared" ca="1" si="40"/>
        <v>0</v>
      </c>
      <c r="DM35" s="703">
        <f t="shared" ca="1" si="40"/>
        <v>0</v>
      </c>
      <c r="DN35" s="703">
        <f t="shared" ca="1" si="40"/>
        <v>0</v>
      </c>
      <c r="DO35" s="703">
        <f t="shared" ca="1" si="40"/>
        <v>0</v>
      </c>
      <c r="DP35" s="703">
        <f t="shared" ca="1" si="40"/>
        <v>0</v>
      </c>
      <c r="DQ35" s="703">
        <f t="shared" ca="1" si="40"/>
        <v>0</v>
      </c>
      <c r="DR35" s="703">
        <f t="shared" ca="1" si="40"/>
        <v>0</v>
      </c>
      <c r="DS35" s="703">
        <f t="shared" ca="1" si="40"/>
        <v>0</v>
      </c>
      <c r="DT35" s="703">
        <f t="shared" ca="1" si="40"/>
        <v>0</v>
      </c>
      <c r="DU35" s="703">
        <f t="shared" ca="1" si="40"/>
        <v>0</v>
      </c>
      <c r="DV35" s="703">
        <f t="shared" ca="1" si="40"/>
        <v>0</v>
      </c>
      <c r="DW35" s="703">
        <f t="shared" ca="1" si="40"/>
        <v>6.9849193096160878E-12</v>
      </c>
      <c r="DX35" s="703">
        <f t="shared" ca="1" si="40"/>
        <v>0</v>
      </c>
      <c r="DY35" s="703">
        <f t="shared" ca="1" si="40"/>
        <v>1182825.732185218</v>
      </c>
      <c r="DZ35" s="879"/>
      <c r="EA35" s="879"/>
    </row>
    <row r="36" spans="1:131" s="390" customFormat="1">
      <c r="A36" s="389"/>
      <c r="B36" s="389"/>
      <c r="C36" s="389"/>
      <c r="D36" s="389" t="str">
        <f>CONCATENATE("Promote to "&amp;$L$7)</f>
        <v>Promote to Sponsor</v>
      </c>
      <c r="E36" s="879"/>
      <c r="F36" s="879"/>
      <c r="G36" s="817">
        <f t="shared" ca="1" si="33"/>
        <v>2957064.3304630457</v>
      </c>
      <c r="H36" s="834"/>
      <c r="I36" s="713">
        <f t="shared" ref="I36:AN36" si="41">(I34/$J$10)*$L$10</f>
        <v>0</v>
      </c>
      <c r="J36" s="713">
        <f t="shared" ca="1" si="41"/>
        <v>0</v>
      </c>
      <c r="K36" s="713">
        <f t="shared" ca="1" si="41"/>
        <v>0</v>
      </c>
      <c r="L36" s="713">
        <f t="shared" ca="1" si="41"/>
        <v>0</v>
      </c>
      <c r="M36" s="713">
        <f t="shared" ca="1" si="41"/>
        <v>0</v>
      </c>
      <c r="N36" s="713">
        <f t="shared" ca="1" si="41"/>
        <v>0</v>
      </c>
      <c r="O36" s="713">
        <f t="shared" ca="1" si="41"/>
        <v>0</v>
      </c>
      <c r="P36" s="713">
        <f t="shared" ca="1" si="41"/>
        <v>0</v>
      </c>
      <c r="Q36" s="713">
        <f t="shared" ca="1" si="41"/>
        <v>0</v>
      </c>
      <c r="R36" s="713">
        <f t="shared" ca="1" si="41"/>
        <v>0</v>
      </c>
      <c r="S36" s="713">
        <f t="shared" ca="1" si="41"/>
        <v>0</v>
      </c>
      <c r="T36" s="713">
        <f t="shared" ca="1" si="41"/>
        <v>0</v>
      </c>
      <c r="U36" s="713">
        <f t="shared" ca="1" si="41"/>
        <v>0</v>
      </c>
      <c r="V36" s="713">
        <f t="shared" ca="1" si="41"/>
        <v>0</v>
      </c>
      <c r="W36" s="713">
        <f t="shared" ca="1" si="41"/>
        <v>0</v>
      </c>
      <c r="X36" s="713">
        <f t="shared" ca="1" si="41"/>
        <v>0</v>
      </c>
      <c r="Y36" s="713">
        <f t="shared" ca="1" si="41"/>
        <v>0</v>
      </c>
      <c r="Z36" s="713">
        <f t="shared" ca="1" si="41"/>
        <v>0</v>
      </c>
      <c r="AA36" s="713">
        <f t="shared" ca="1" si="41"/>
        <v>0</v>
      </c>
      <c r="AB36" s="713">
        <f t="shared" ca="1" si="41"/>
        <v>0</v>
      </c>
      <c r="AC36" s="713">
        <f t="shared" ca="1" si="41"/>
        <v>0</v>
      </c>
      <c r="AD36" s="713">
        <f t="shared" ca="1" si="41"/>
        <v>0</v>
      </c>
      <c r="AE36" s="713">
        <f t="shared" ca="1" si="41"/>
        <v>0</v>
      </c>
      <c r="AF36" s="713">
        <f t="shared" ca="1" si="41"/>
        <v>0</v>
      </c>
      <c r="AG36" s="713">
        <f t="shared" ca="1" si="41"/>
        <v>0</v>
      </c>
      <c r="AH36" s="713">
        <f t="shared" ca="1" si="41"/>
        <v>0</v>
      </c>
      <c r="AI36" s="713">
        <f t="shared" ca="1" si="41"/>
        <v>0</v>
      </c>
      <c r="AJ36" s="713">
        <f t="shared" ca="1" si="41"/>
        <v>0</v>
      </c>
      <c r="AK36" s="713">
        <f t="shared" ca="1" si="41"/>
        <v>0</v>
      </c>
      <c r="AL36" s="713">
        <f t="shared" ca="1" si="41"/>
        <v>0</v>
      </c>
      <c r="AM36" s="713">
        <f t="shared" ca="1" si="41"/>
        <v>0</v>
      </c>
      <c r="AN36" s="713">
        <f t="shared" ca="1" si="41"/>
        <v>0</v>
      </c>
      <c r="AO36" s="713">
        <f t="shared" ref="AO36:BT36" ca="1" si="42">(AO34/$J$10)*$L$10</f>
        <v>0</v>
      </c>
      <c r="AP36" s="713">
        <f t="shared" ca="1" si="42"/>
        <v>0</v>
      </c>
      <c r="AQ36" s="713">
        <f t="shared" ca="1" si="42"/>
        <v>0</v>
      </c>
      <c r="AR36" s="713">
        <f t="shared" ca="1" si="42"/>
        <v>0</v>
      </c>
      <c r="AS36" s="713">
        <f t="shared" ca="1" si="42"/>
        <v>0</v>
      </c>
      <c r="AT36" s="713">
        <f t="shared" ca="1" si="42"/>
        <v>0</v>
      </c>
      <c r="AU36" s="713">
        <f t="shared" ca="1" si="42"/>
        <v>0</v>
      </c>
      <c r="AV36" s="713">
        <f t="shared" ca="1" si="42"/>
        <v>0</v>
      </c>
      <c r="AW36" s="713">
        <f t="shared" ca="1" si="42"/>
        <v>0</v>
      </c>
      <c r="AX36" s="713">
        <f t="shared" ca="1" si="42"/>
        <v>0</v>
      </c>
      <c r="AY36" s="713">
        <f t="shared" ca="1" si="42"/>
        <v>0</v>
      </c>
      <c r="AZ36" s="713">
        <f t="shared" ca="1" si="42"/>
        <v>0</v>
      </c>
      <c r="BA36" s="713">
        <f t="shared" ca="1" si="42"/>
        <v>0</v>
      </c>
      <c r="BB36" s="713">
        <f t="shared" ca="1" si="42"/>
        <v>0</v>
      </c>
      <c r="BC36" s="713">
        <f t="shared" ca="1" si="42"/>
        <v>0</v>
      </c>
      <c r="BD36" s="713">
        <f t="shared" ca="1" si="42"/>
        <v>-5.820766091346741E-12</v>
      </c>
      <c r="BE36" s="713">
        <f t="shared" ca="1" si="42"/>
        <v>0</v>
      </c>
      <c r="BF36" s="713">
        <f t="shared" ca="1" si="42"/>
        <v>0</v>
      </c>
      <c r="BG36" s="713">
        <f t="shared" ca="1" si="42"/>
        <v>0</v>
      </c>
      <c r="BH36" s="713">
        <f t="shared" ca="1" si="42"/>
        <v>0</v>
      </c>
      <c r="BI36" s="713">
        <f t="shared" ca="1" si="42"/>
        <v>0</v>
      </c>
      <c r="BJ36" s="713">
        <f t="shared" ca="1" si="42"/>
        <v>0</v>
      </c>
      <c r="BK36" s="713">
        <f t="shared" ca="1" si="42"/>
        <v>0</v>
      </c>
      <c r="BL36" s="713">
        <f t="shared" ca="1" si="42"/>
        <v>0</v>
      </c>
      <c r="BM36" s="713">
        <f t="shared" ca="1" si="42"/>
        <v>0</v>
      </c>
      <c r="BN36" s="713">
        <f t="shared" ca="1" si="42"/>
        <v>0</v>
      </c>
      <c r="BO36" s="713">
        <f t="shared" ca="1" si="42"/>
        <v>0</v>
      </c>
      <c r="BP36" s="713">
        <f t="shared" ca="1" si="42"/>
        <v>-5.820766091346741E-12</v>
      </c>
      <c r="BQ36" s="713">
        <f t="shared" ca="1" si="42"/>
        <v>0</v>
      </c>
      <c r="BR36" s="713">
        <f t="shared" ca="1" si="42"/>
        <v>0</v>
      </c>
      <c r="BS36" s="713">
        <f t="shared" ca="1" si="42"/>
        <v>0</v>
      </c>
      <c r="BT36" s="713">
        <f t="shared" ca="1" si="42"/>
        <v>0</v>
      </c>
      <c r="BU36" s="713">
        <f t="shared" ref="BU36:CZ36" ca="1" si="43">(BU34/$J$10)*$L$10</f>
        <v>0</v>
      </c>
      <c r="BV36" s="713">
        <f t="shared" ca="1" si="43"/>
        <v>0</v>
      </c>
      <c r="BW36" s="713">
        <f t="shared" ca="1" si="43"/>
        <v>0</v>
      </c>
      <c r="BX36" s="713">
        <f t="shared" ca="1" si="43"/>
        <v>0</v>
      </c>
      <c r="BY36" s="713">
        <f t="shared" ca="1" si="43"/>
        <v>0</v>
      </c>
      <c r="BZ36" s="713">
        <f t="shared" ca="1" si="43"/>
        <v>0</v>
      </c>
      <c r="CA36" s="713">
        <f t="shared" ca="1" si="43"/>
        <v>0</v>
      </c>
      <c r="CB36" s="713">
        <f t="shared" ca="1" si="43"/>
        <v>0</v>
      </c>
      <c r="CC36" s="713">
        <f t="shared" ca="1" si="43"/>
        <v>-5.820766091346741E-12</v>
      </c>
      <c r="CD36" s="713">
        <f t="shared" ca="1" si="43"/>
        <v>0</v>
      </c>
      <c r="CE36" s="713">
        <f t="shared" ca="1" si="43"/>
        <v>0</v>
      </c>
      <c r="CF36" s="713">
        <f t="shared" ca="1" si="43"/>
        <v>0</v>
      </c>
      <c r="CG36" s="713">
        <f t="shared" ca="1" si="43"/>
        <v>0</v>
      </c>
      <c r="CH36" s="713">
        <f t="shared" ca="1" si="43"/>
        <v>0</v>
      </c>
      <c r="CI36" s="713">
        <f t="shared" ca="1" si="43"/>
        <v>0</v>
      </c>
      <c r="CJ36" s="713">
        <f t="shared" ca="1" si="43"/>
        <v>0</v>
      </c>
      <c r="CK36" s="713">
        <f t="shared" ca="1" si="43"/>
        <v>0</v>
      </c>
      <c r="CL36" s="713">
        <f t="shared" ca="1" si="43"/>
        <v>0</v>
      </c>
      <c r="CM36" s="713">
        <f t="shared" ca="1" si="43"/>
        <v>0</v>
      </c>
      <c r="CN36" s="713">
        <f t="shared" ca="1" si="43"/>
        <v>0</v>
      </c>
      <c r="CO36" s="713">
        <f t="shared" ca="1" si="43"/>
        <v>0</v>
      </c>
      <c r="CP36" s="713">
        <f t="shared" ca="1" si="43"/>
        <v>0</v>
      </c>
      <c r="CQ36" s="713">
        <f t="shared" ca="1" si="43"/>
        <v>0</v>
      </c>
      <c r="CR36" s="713">
        <f t="shared" ca="1" si="43"/>
        <v>0</v>
      </c>
      <c r="CS36" s="713">
        <f t="shared" ca="1" si="43"/>
        <v>0</v>
      </c>
      <c r="CT36" s="713">
        <f t="shared" ca="1" si="43"/>
        <v>0</v>
      </c>
      <c r="CU36" s="713">
        <f t="shared" ca="1" si="43"/>
        <v>0</v>
      </c>
      <c r="CV36" s="713">
        <f t="shared" ca="1" si="43"/>
        <v>0</v>
      </c>
      <c r="CW36" s="713">
        <f t="shared" ca="1" si="43"/>
        <v>0</v>
      </c>
      <c r="CX36" s="713">
        <f t="shared" ca="1" si="43"/>
        <v>0</v>
      </c>
      <c r="CY36" s="713">
        <f t="shared" ca="1" si="43"/>
        <v>-5.820766091346741E-12</v>
      </c>
      <c r="CZ36" s="713">
        <f t="shared" ca="1" si="43"/>
        <v>0</v>
      </c>
      <c r="DA36" s="713">
        <f t="shared" ref="DA36:DY36" ca="1" si="44">(DA34/$J$10)*$L$10</f>
        <v>0</v>
      </c>
      <c r="DB36" s="713">
        <f t="shared" ca="1" si="44"/>
        <v>0</v>
      </c>
      <c r="DC36" s="713">
        <f t="shared" ca="1" si="44"/>
        <v>0</v>
      </c>
      <c r="DD36" s="713">
        <f t="shared" ca="1" si="44"/>
        <v>0</v>
      </c>
      <c r="DE36" s="713">
        <f t="shared" ca="1" si="44"/>
        <v>0</v>
      </c>
      <c r="DF36" s="713">
        <f t="shared" ca="1" si="44"/>
        <v>0</v>
      </c>
      <c r="DG36" s="713">
        <f t="shared" ca="1" si="44"/>
        <v>0</v>
      </c>
      <c r="DH36" s="713">
        <f t="shared" ca="1" si="44"/>
        <v>0</v>
      </c>
      <c r="DI36" s="713">
        <f t="shared" ca="1" si="44"/>
        <v>0</v>
      </c>
      <c r="DJ36" s="713">
        <f t="shared" ca="1" si="44"/>
        <v>0</v>
      </c>
      <c r="DK36" s="713">
        <f t="shared" ca="1" si="44"/>
        <v>0</v>
      </c>
      <c r="DL36" s="713">
        <f t="shared" ca="1" si="44"/>
        <v>0</v>
      </c>
      <c r="DM36" s="713">
        <f t="shared" ca="1" si="44"/>
        <v>0</v>
      </c>
      <c r="DN36" s="713">
        <f t="shared" ca="1" si="44"/>
        <v>0</v>
      </c>
      <c r="DO36" s="713">
        <f t="shared" ca="1" si="44"/>
        <v>0</v>
      </c>
      <c r="DP36" s="713">
        <f t="shared" ca="1" si="44"/>
        <v>0</v>
      </c>
      <c r="DQ36" s="713">
        <f t="shared" ca="1" si="44"/>
        <v>0</v>
      </c>
      <c r="DR36" s="713">
        <f t="shared" ca="1" si="44"/>
        <v>0</v>
      </c>
      <c r="DS36" s="713">
        <f t="shared" ca="1" si="44"/>
        <v>0</v>
      </c>
      <c r="DT36" s="713">
        <f t="shared" ca="1" si="44"/>
        <v>0</v>
      </c>
      <c r="DU36" s="713">
        <f t="shared" ca="1" si="44"/>
        <v>0</v>
      </c>
      <c r="DV36" s="713">
        <f t="shared" ca="1" si="44"/>
        <v>0</v>
      </c>
      <c r="DW36" s="713">
        <f t="shared" ca="1" si="44"/>
        <v>1.7462298274040225E-11</v>
      </c>
      <c r="DX36" s="713">
        <f t="shared" ca="1" si="44"/>
        <v>0</v>
      </c>
      <c r="DY36" s="713">
        <f t="shared" ca="1" si="44"/>
        <v>2957064.3304630457</v>
      </c>
      <c r="DZ36" s="879"/>
      <c r="EA36" s="879"/>
    </row>
    <row r="37" spans="1:131" s="390" customFormat="1">
      <c r="A37" s="389"/>
      <c r="B37" s="389"/>
      <c r="C37" s="389"/>
      <c r="D37" s="389" t="s">
        <v>11</v>
      </c>
      <c r="E37" s="879"/>
      <c r="F37" s="879"/>
      <c r="G37" s="816">
        <f t="shared" ca="1" si="33"/>
        <v>14785321.652315229</v>
      </c>
      <c r="H37" s="834"/>
      <c r="I37" s="703">
        <f t="shared" ref="I37:BT37" si="45">SUM(I34:I36)</f>
        <v>0</v>
      </c>
      <c r="J37" s="703">
        <f t="shared" ca="1" si="45"/>
        <v>0</v>
      </c>
      <c r="K37" s="703">
        <f t="shared" ca="1" si="45"/>
        <v>0</v>
      </c>
      <c r="L37" s="703">
        <f t="shared" ca="1" si="45"/>
        <v>0</v>
      </c>
      <c r="M37" s="703">
        <f t="shared" ca="1" si="45"/>
        <v>0</v>
      </c>
      <c r="N37" s="703">
        <f t="shared" ca="1" si="45"/>
        <v>0</v>
      </c>
      <c r="O37" s="703">
        <f t="shared" ca="1" si="45"/>
        <v>0</v>
      </c>
      <c r="P37" s="703">
        <f t="shared" ca="1" si="45"/>
        <v>0</v>
      </c>
      <c r="Q37" s="703">
        <f t="shared" ca="1" si="45"/>
        <v>0</v>
      </c>
      <c r="R37" s="703">
        <f t="shared" ca="1" si="45"/>
        <v>0</v>
      </c>
      <c r="S37" s="703">
        <f t="shared" ca="1" si="45"/>
        <v>0</v>
      </c>
      <c r="T37" s="703">
        <f t="shared" ca="1" si="45"/>
        <v>0</v>
      </c>
      <c r="U37" s="703">
        <f t="shared" ca="1" si="45"/>
        <v>0</v>
      </c>
      <c r="V37" s="703">
        <f t="shared" ca="1" si="45"/>
        <v>0</v>
      </c>
      <c r="W37" s="703">
        <f t="shared" ca="1" si="45"/>
        <v>0</v>
      </c>
      <c r="X37" s="703">
        <f t="shared" ca="1" si="45"/>
        <v>0</v>
      </c>
      <c r="Y37" s="703">
        <f t="shared" ca="1" si="45"/>
        <v>0</v>
      </c>
      <c r="Z37" s="703">
        <f t="shared" ca="1" si="45"/>
        <v>0</v>
      </c>
      <c r="AA37" s="703">
        <f t="shared" ca="1" si="45"/>
        <v>0</v>
      </c>
      <c r="AB37" s="703">
        <f t="shared" ca="1" si="45"/>
        <v>0</v>
      </c>
      <c r="AC37" s="703">
        <f t="shared" ca="1" si="45"/>
        <v>0</v>
      </c>
      <c r="AD37" s="703">
        <f t="shared" ca="1" si="45"/>
        <v>0</v>
      </c>
      <c r="AE37" s="703">
        <f t="shared" ca="1" si="45"/>
        <v>0</v>
      </c>
      <c r="AF37" s="703">
        <f t="shared" ca="1" si="45"/>
        <v>0</v>
      </c>
      <c r="AG37" s="703">
        <f t="shared" ca="1" si="45"/>
        <v>0</v>
      </c>
      <c r="AH37" s="703">
        <f t="shared" ca="1" si="45"/>
        <v>0</v>
      </c>
      <c r="AI37" s="703">
        <f t="shared" ca="1" si="45"/>
        <v>0</v>
      </c>
      <c r="AJ37" s="703">
        <f t="shared" ca="1" si="45"/>
        <v>0</v>
      </c>
      <c r="AK37" s="703">
        <f t="shared" ca="1" si="45"/>
        <v>0</v>
      </c>
      <c r="AL37" s="703">
        <f t="shared" ca="1" si="45"/>
        <v>0</v>
      </c>
      <c r="AM37" s="703">
        <f t="shared" ca="1" si="45"/>
        <v>0</v>
      </c>
      <c r="AN37" s="703">
        <f t="shared" ca="1" si="45"/>
        <v>0</v>
      </c>
      <c r="AO37" s="703">
        <f t="shared" ca="1" si="45"/>
        <v>0</v>
      </c>
      <c r="AP37" s="703">
        <f t="shared" ca="1" si="45"/>
        <v>0</v>
      </c>
      <c r="AQ37" s="703">
        <f t="shared" ca="1" si="45"/>
        <v>0</v>
      </c>
      <c r="AR37" s="703">
        <f t="shared" ca="1" si="45"/>
        <v>0</v>
      </c>
      <c r="AS37" s="703">
        <f t="shared" ca="1" si="45"/>
        <v>0</v>
      </c>
      <c r="AT37" s="703">
        <f t="shared" ca="1" si="45"/>
        <v>0</v>
      </c>
      <c r="AU37" s="703">
        <f t="shared" ca="1" si="45"/>
        <v>0</v>
      </c>
      <c r="AV37" s="703">
        <f t="shared" ca="1" si="45"/>
        <v>0</v>
      </c>
      <c r="AW37" s="703">
        <f t="shared" ca="1" si="45"/>
        <v>0</v>
      </c>
      <c r="AX37" s="703">
        <f t="shared" ca="1" si="45"/>
        <v>0</v>
      </c>
      <c r="AY37" s="703">
        <f t="shared" ca="1" si="45"/>
        <v>0</v>
      </c>
      <c r="AZ37" s="703">
        <f t="shared" ca="1" si="45"/>
        <v>0</v>
      </c>
      <c r="BA37" s="703">
        <f t="shared" ca="1" si="45"/>
        <v>0</v>
      </c>
      <c r="BB37" s="703">
        <f t="shared" ca="1" si="45"/>
        <v>0</v>
      </c>
      <c r="BC37" s="703">
        <f t="shared" ca="1" si="45"/>
        <v>0</v>
      </c>
      <c r="BD37" s="703">
        <f t="shared" ca="1" si="45"/>
        <v>-2.9103830456733704E-11</v>
      </c>
      <c r="BE37" s="703">
        <f t="shared" ca="1" si="45"/>
        <v>0</v>
      </c>
      <c r="BF37" s="703">
        <f t="shared" ca="1" si="45"/>
        <v>0</v>
      </c>
      <c r="BG37" s="703">
        <f t="shared" ca="1" si="45"/>
        <v>0</v>
      </c>
      <c r="BH37" s="703">
        <f t="shared" ca="1" si="45"/>
        <v>0</v>
      </c>
      <c r="BI37" s="703">
        <f t="shared" ca="1" si="45"/>
        <v>0</v>
      </c>
      <c r="BJ37" s="703">
        <f t="shared" ca="1" si="45"/>
        <v>0</v>
      </c>
      <c r="BK37" s="703">
        <f t="shared" ca="1" si="45"/>
        <v>0</v>
      </c>
      <c r="BL37" s="703">
        <f t="shared" ca="1" si="45"/>
        <v>0</v>
      </c>
      <c r="BM37" s="703">
        <f t="shared" ca="1" si="45"/>
        <v>0</v>
      </c>
      <c r="BN37" s="703">
        <f t="shared" ca="1" si="45"/>
        <v>0</v>
      </c>
      <c r="BO37" s="703">
        <f t="shared" ca="1" si="45"/>
        <v>0</v>
      </c>
      <c r="BP37" s="703">
        <f t="shared" ca="1" si="45"/>
        <v>-2.9103830456733704E-11</v>
      </c>
      <c r="BQ37" s="703">
        <f t="shared" ca="1" si="45"/>
        <v>0</v>
      </c>
      <c r="BR37" s="703">
        <f t="shared" ca="1" si="45"/>
        <v>0</v>
      </c>
      <c r="BS37" s="703">
        <f t="shared" ca="1" si="45"/>
        <v>0</v>
      </c>
      <c r="BT37" s="703">
        <f t="shared" ca="1" si="45"/>
        <v>0</v>
      </c>
      <c r="BU37" s="703">
        <f t="shared" ref="BU37:DY37" ca="1" si="46">SUM(BU34:BU36)</f>
        <v>0</v>
      </c>
      <c r="BV37" s="703">
        <f t="shared" ca="1" si="46"/>
        <v>0</v>
      </c>
      <c r="BW37" s="703">
        <f t="shared" ca="1" si="46"/>
        <v>0</v>
      </c>
      <c r="BX37" s="703">
        <f t="shared" ca="1" si="46"/>
        <v>0</v>
      </c>
      <c r="BY37" s="703">
        <f t="shared" ca="1" si="46"/>
        <v>0</v>
      </c>
      <c r="BZ37" s="703">
        <f t="shared" ca="1" si="46"/>
        <v>0</v>
      </c>
      <c r="CA37" s="703">
        <f t="shared" ca="1" si="46"/>
        <v>0</v>
      </c>
      <c r="CB37" s="703">
        <f t="shared" ca="1" si="46"/>
        <v>0</v>
      </c>
      <c r="CC37" s="703">
        <f t="shared" ca="1" si="46"/>
        <v>-2.9103830456733704E-11</v>
      </c>
      <c r="CD37" s="703">
        <f t="shared" ca="1" si="46"/>
        <v>0</v>
      </c>
      <c r="CE37" s="703">
        <f t="shared" ca="1" si="46"/>
        <v>0</v>
      </c>
      <c r="CF37" s="703">
        <f t="shared" ca="1" si="46"/>
        <v>0</v>
      </c>
      <c r="CG37" s="703">
        <f t="shared" ca="1" si="46"/>
        <v>0</v>
      </c>
      <c r="CH37" s="703">
        <f t="shared" ca="1" si="46"/>
        <v>0</v>
      </c>
      <c r="CI37" s="703">
        <f t="shared" ca="1" si="46"/>
        <v>0</v>
      </c>
      <c r="CJ37" s="703">
        <f t="shared" ca="1" si="46"/>
        <v>0</v>
      </c>
      <c r="CK37" s="703">
        <f t="shared" ca="1" si="46"/>
        <v>0</v>
      </c>
      <c r="CL37" s="703">
        <f t="shared" ca="1" si="46"/>
        <v>0</v>
      </c>
      <c r="CM37" s="703">
        <f t="shared" ca="1" si="46"/>
        <v>0</v>
      </c>
      <c r="CN37" s="703">
        <f t="shared" ca="1" si="46"/>
        <v>0</v>
      </c>
      <c r="CO37" s="703">
        <f t="shared" ca="1" si="46"/>
        <v>0</v>
      </c>
      <c r="CP37" s="703">
        <f t="shared" ca="1" si="46"/>
        <v>0</v>
      </c>
      <c r="CQ37" s="703">
        <f t="shared" ca="1" si="46"/>
        <v>0</v>
      </c>
      <c r="CR37" s="703">
        <f t="shared" ca="1" si="46"/>
        <v>0</v>
      </c>
      <c r="CS37" s="703">
        <f t="shared" ca="1" si="46"/>
        <v>0</v>
      </c>
      <c r="CT37" s="703">
        <f t="shared" ca="1" si="46"/>
        <v>0</v>
      </c>
      <c r="CU37" s="703">
        <f t="shared" ca="1" si="46"/>
        <v>0</v>
      </c>
      <c r="CV37" s="703">
        <f t="shared" ca="1" si="46"/>
        <v>0</v>
      </c>
      <c r="CW37" s="703">
        <f t="shared" ca="1" si="46"/>
        <v>0</v>
      </c>
      <c r="CX37" s="703">
        <f t="shared" ca="1" si="46"/>
        <v>0</v>
      </c>
      <c r="CY37" s="703">
        <f t="shared" ca="1" si="46"/>
        <v>-2.9103830456733704E-11</v>
      </c>
      <c r="CZ37" s="703">
        <f t="shared" ca="1" si="46"/>
        <v>0</v>
      </c>
      <c r="DA37" s="703">
        <f t="shared" ca="1" si="46"/>
        <v>0</v>
      </c>
      <c r="DB37" s="703">
        <f t="shared" ca="1" si="46"/>
        <v>0</v>
      </c>
      <c r="DC37" s="703">
        <f t="shared" ca="1" si="46"/>
        <v>0</v>
      </c>
      <c r="DD37" s="703">
        <f t="shared" ca="1" si="46"/>
        <v>0</v>
      </c>
      <c r="DE37" s="703">
        <f t="shared" ca="1" si="46"/>
        <v>0</v>
      </c>
      <c r="DF37" s="703">
        <f t="shared" ca="1" si="46"/>
        <v>0</v>
      </c>
      <c r="DG37" s="703">
        <f t="shared" ca="1" si="46"/>
        <v>0</v>
      </c>
      <c r="DH37" s="703">
        <f t="shared" ca="1" si="46"/>
        <v>0</v>
      </c>
      <c r="DI37" s="703">
        <f t="shared" ca="1" si="46"/>
        <v>0</v>
      </c>
      <c r="DJ37" s="703">
        <f t="shared" ca="1" si="46"/>
        <v>0</v>
      </c>
      <c r="DK37" s="703">
        <f t="shared" ca="1" si="46"/>
        <v>0</v>
      </c>
      <c r="DL37" s="703">
        <f t="shared" ca="1" si="46"/>
        <v>0</v>
      </c>
      <c r="DM37" s="703">
        <f t="shared" ca="1" si="46"/>
        <v>0</v>
      </c>
      <c r="DN37" s="703">
        <f t="shared" ca="1" si="46"/>
        <v>0</v>
      </c>
      <c r="DO37" s="703">
        <f t="shared" ca="1" si="46"/>
        <v>0</v>
      </c>
      <c r="DP37" s="703">
        <f t="shared" ca="1" si="46"/>
        <v>0</v>
      </c>
      <c r="DQ37" s="703">
        <f t="shared" ca="1" si="46"/>
        <v>0</v>
      </c>
      <c r="DR37" s="703">
        <f t="shared" ca="1" si="46"/>
        <v>0</v>
      </c>
      <c r="DS37" s="703">
        <f t="shared" ca="1" si="46"/>
        <v>0</v>
      </c>
      <c r="DT37" s="703">
        <f t="shared" ca="1" si="46"/>
        <v>0</v>
      </c>
      <c r="DU37" s="703">
        <f t="shared" ca="1" si="46"/>
        <v>0</v>
      </c>
      <c r="DV37" s="703">
        <f t="shared" ca="1" si="46"/>
        <v>0</v>
      </c>
      <c r="DW37" s="703">
        <f t="shared" ca="1" si="46"/>
        <v>8.7311491370201111E-11</v>
      </c>
      <c r="DX37" s="703">
        <f t="shared" ca="1" si="46"/>
        <v>0</v>
      </c>
      <c r="DY37" s="703">
        <f t="shared" ca="1" si="46"/>
        <v>14785321.652315229</v>
      </c>
      <c r="DZ37" s="879"/>
      <c r="EA37" s="879"/>
    </row>
    <row r="38" spans="1:131" s="390" customFormat="1">
      <c r="A38" s="389"/>
      <c r="B38" s="389"/>
      <c r="C38" s="389"/>
      <c r="D38" s="389"/>
      <c r="E38" s="879"/>
      <c r="F38" s="879"/>
      <c r="G38" s="795"/>
      <c r="H38" s="834"/>
      <c r="I38" s="703"/>
      <c r="J38" s="703"/>
      <c r="K38" s="703"/>
      <c r="L38" s="703"/>
      <c r="M38" s="703"/>
      <c r="N38" s="703"/>
      <c r="O38" s="703"/>
      <c r="P38" s="703"/>
      <c r="Q38" s="703"/>
      <c r="R38" s="703"/>
      <c r="S38" s="703"/>
      <c r="T38" s="703"/>
      <c r="U38" s="703"/>
      <c r="V38" s="703"/>
      <c r="W38" s="703"/>
      <c r="X38" s="703"/>
      <c r="Y38" s="703"/>
      <c r="Z38" s="703"/>
      <c r="AA38" s="703"/>
      <c r="AB38" s="703"/>
      <c r="AC38" s="703"/>
      <c r="AD38" s="703"/>
      <c r="AE38" s="703"/>
      <c r="AF38" s="703"/>
      <c r="AG38" s="703"/>
      <c r="AH38" s="703"/>
      <c r="AI38" s="703"/>
      <c r="AJ38" s="703"/>
      <c r="AK38" s="703"/>
      <c r="AL38" s="703"/>
      <c r="AM38" s="703"/>
      <c r="AN38" s="703"/>
      <c r="AO38" s="703"/>
      <c r="AP38" s="703"/>
      <c r="AQ38" s="703"/>
      <c r="AR38" s="703"/>
      <c r="AS38" s="703"/>
      <c r="AT38" s="703"/>
      <c r="AU38" s="703"/>
      <c r="AV38" s="703"/>
      <c r="AW38" s="703"/>
      <c r="AX38" s="703"/>
      <c r="AY38" s="703"/>
      <c r="AZ38" s="703"/>
      <c r="BA38" s="703"/>
      <c r="BB38" s="703"/>
      <c r="BC38" s="703"/>
      <c r="BD38" s="703"/>
      <c r="BE38" s="703"/>
      <c r="BF38" s="703"/>
      <c r="BG38" s="703"/>
      <c r="BH38" s="703"/>
      <c r="BI38" s="703"/>
      <c r="BJ38" s="703"/>
      <c r="BK38" s="703"/>
      <c r="BL38" s="703"/>
      <c r="BM38" s="703"/>
      <c r="BN38" s="703"/>
      <c r="BO38" s="703"/>
      <c r="BP38" s="703"/>
      <c r="BQ38" s="703"/>
      <c r="BR38" s="703"/>
      <c r="BS38" s="703"/>
      <c r="BT38" s="703"/>
      <c r="BU38" s="703"/>
      <c r="BV38" s="703"/>
      <c r="BW38" s="703"/>
      <c r="BX38" s="703"/>
      <c r="BY38" s="703"/>
      <c r="BZ38" s="703"/>
      <c r="CA38" s="703"/>
      <c r="CB38" s="703"/>
      <c r="CC38" s="703"/>
      <c r="CD38" s="703"/>
      <c r="CE38" s="703"/>
      <c r="CF38" s="703"/>
      <c r="CG38" s="703"/>
      <c r="CH38" s="703"/>
      <c r="CI38" s="703"/>
      <c r="CJ38" s="703"/>
      <c r="CK38" s="703"/>
      <c r="CL38" s="703"/>
      <c r="CM38" s="703"/>
      <c r="CN38" s="703"/>
      <c r="CO38" s="703"/>
      <c r="CP38" s="703"/>
      <c r="CQ38" s="703"/>
      <c r="CR38" s="703"/>
      <c r="CS38" s="703"/>
      <c r="CT38" s="703"/>
      <c r="CU38" s="703"/>
      <c r="CV38" s="703"/>
      <c r="CW38" s="703"/>
      <c r="CX38" s="703"/>
      <c r="CY38" s="703"/>
      <c r="CZ38" s="703"/>
      <c r="DA38" s="703"/>
      <c r="DB38" s="703"/>
      <c r="DC38" s="703"/>
      <c r="DD38" s="703"/>
      <c r="DE38" s="703"/>
      <c r="DF38" s="703"/>
      <c r="DG38" s="703"/>
      <c r="DH38" s="703"/>
      <c r="DI38" s="703"/>
      <c r="DJ38" s="703"/>
      <c r="DK38" s="703"/>
      <c r="DL38" s="703"/>
      <c r="DM38" s="703"/>
      <c r="DN38" s="703"/>
      <c r="DO38" s="703"/>
      <c r="DP38" s="703"/>
      <c r="DQ38" s="703"/>
      <c r="DR38" s="703"/>
      <c r="DS38" s="703"/>
      <c r="DT38" s="703"/>
      <c r="DU38" s="703"/>
      <c r="DV38" s="703"/>
      <c r="DW38" s="703"/>
      <c r="DX38" s="703"/>
      <c r="DY38" s="703"/>
      <c r="DZ38" s="879"/>
      <c r="EA38" s="879"/>
    </row>
    <row r="39" spans="1:131" s="390" customFormat="1">
      <c r="A39" s="389"/>
      <c r="B39" s="389"/>
      <c r="C39" s="389"/>
      <c r="D39" s="389" t="s">
        <v>113</v>
      </c>
      <c r="E39" s="879"/>
      <c r="F39" s="879"/>
      <c r="G39" s="795">
        <f ca="1">SUM(I39:DY39)</f>
        <v>20994225.465940803</v>
      </c>
      <c r="H39" s="834"/>
      <c r="I39" s="703">
        <f t="shared" ref="I39:BT39" si="47">I31-I37</f>
        <v>0</v>
      </c>
      <c r="J39" s="703">
        <f t="shared" ca="1" si="47"/>
        <v>0</v>
      </c>
      <c r="K39" s="703">
        <f t="shared" ca="1" si="47"/>
        <v>0</v>
      </c>
      <c r="L39" s="703">
        <f t="shared" ca="1" si="47"/>
        <v>0</v>
      </c>
      <c r="M39" s="703">
        <f t="shared" ca="1" si="47"/>
        <v>0</v>
      </c>
      <c r="N39" s="703">
        <f t="shared" ca="1" si="47"/>
        <v>0</v>
      </c>
      <c r="O39" s="703">
        <f t="shared" ca="1" si="47"/>
        <v>0</v>
      </c>
      <c r="P39" s="703">
        <f t="shared" ca="1" si="47"/>
        <v>0</v>
      </c>
      <c r="Q39" s="703">
        <f t="shared" ca="1" si="47"/>
        <v>0</v>
      </c>
      <c r="R39" s="703">
        <f t="shared" ca="1" si="47"/>
        <v>0</v>
      </c>
      <c r="S39" s="703">
        <f t="shared" ca="1" si="47"/>
        <v>0</v>
      </c>
      <c r="T39" s="703">
        <f t="shared" ca="1" si="47"/>
        <v>0</v>
      </c>
      <c r="U39" s="703">
        <f t="shared" ca="1" si="47"/>
        <v>0</v>
      </c>
      <c r="V39" s="703">
        <f t="shared" ca="1" si="47"/>
        <v>0</v>
      </c>
      <c r="W39" s="703">
        <f t="shared" ca="1" si="47"/>
        <v>0</v>
      </c>
      <c r="X39" s="703">
        <f t="shared" ca="1" si="47"/>
        <v>0</v>
      </c>
      <c r="Y39" s="703">
        <f t="shared" ca="1" si="47"/>
        <v>0</v>
      </c>
      <c r="Z39" s="703">
        <f t="shared" ca="1" si="47"/>
        <v>0</v>
      </c>
      <c r="AA39" s="703">
        <f t="shared" ca="1" si="47"/>
        <v>0</v>
      </c>
      <c r="AB39" s="703">
        <f t="shared" ca="1" si="47"/>
        <v>0</v>
      </c>
      <c r="AC39" s="703">
        <f t="shared" ca="1" si="47"/>
        <v>0</v>
      </c>
      <c r="AD39" s="703">
        <f t="shared" ca="1" si="47"/>
        <v>0</v>
      </c>
      <c r="AE39" s="703">
        <f t="shared" ca="1" si="47"/>
        <v>0</v>
      </c>
      <c r="AF39" s="703">
        <f t="shared" ca="1" si="47"/>
        <v>0</v>
      </c>
      <c r="AG39" s="703">
        <f t="shared" ca="1" si="47"/>
        <v>0</v>
      </c>
      <c r="AH39" s="703">
        <f t="shared" ca="1" si="47"/>
        <v>0</v>
      </c>
      <c r="AI39" s="703">
        <f t="shared" ca="1" si="47"/>
        <v>0</v>
      </c>
      <c r="AJ39" s="703">
        <f t="shared" ca="1" si="47"/>
        <v>0</v>
      </c>
      <c r="AK39" s="703">
        <f t="shared" ca="1" si="47"/>
        <v>0</v>
      </c>
      <c r="AL39" s="703">
        <f t="shared" ca="1" si="47"/>
        <v>0</v>
      </c>
      <c r="AM39" s="703">
        <f t="shared" ca="1" si="47"/>
        <v>0</v>
      </c>
      <c r="AN39" s="703">
        <f t="shared" ca="1" si="47"/>
        <v>0</v>
      </c>
      <c r="AO39" s="703">
        <f t="shared" ca="1" si="47"/>
        <v>0</v>
      </c>
      <c r="AP39" s="703">
        <f t="shared" ca="1" si="47"/>
        <v>0</v>
      </c>
      <c r="AQ39" s="703">
        <f t="shared" ca="1" si="47"/>
        <v>0</v>
      </c>
      <c r="AR39" s="703">
        <f t="shared" ca="1" si="47"/>
        <v>0</v>
      </c>
      <c r="AS39" s="703">
        <f t="shared" ca="1" si="47"/>
        <v>0</v>
      </c>
      <c r="AT39" s="703">
        <f t="shared" ca="1" si="47"/>
        <v>0</v>
      </c>
      <c r="AU39" s="703">
        <f t="shared" ca="1" si="47"/>
        <v>0</v>
      </c>
      <c r="AV39" s="703">
        <f t="shared" ca="1" si="47"/>
        <v>0</v>
      </c>
      <c r="AW39" s="703">
        <f t="shared" ca="1" si="47"/>
        <v>0</v>
      </c>
      <c r="AX39" s="703">
        <f t="shared" ca="1" si="47"/>
        <v>0</v>
      </c>
      <c r="AY39" s="703">
        <f t="shared" ca="1" si="47"/>
        <v>0</v>
      </c>
      <c r="AZ39" s="703">
        <f t="shared" ca="1" si="47"/>
        <v>0</v>
      </c>
      <c r="BA39" s="703">
        <f t="shared" ca="1" si="47"/>
        <v>0</v>
      </c>
      <c r="BB39" s="703">
        <f t="shared" ca="1" si="47"/>
        <v>0</v>
      </c>
      <c r="BC39" s="703">
        <f t="shared" ca="1" si="47"/>
        <v>0</v>
      </c>
      <c r="BD39" s="703">
        <f t="shared" ca="1" si="47"/>
        <v>0</v>
      </c>
      <c r="BE39" s="703">
        <f t="shared" ca="1" si="47"/>
        <v>0</v>
      </c>
      <c r="BF39" s="703">
        <f t="shared" ca="1" si="47"/>
        <v>0</v>
      </c>
      <c r="BG39" s="703">
        <f t="shared" ca="1" si="47"/>
        <v>0</v>
      </c>
      <c r="BH39" s="703">
        <f t="shared" ca="1" si="47"/>
        <v>0</v>
      </c>
      <c r="BI39" s="703">
        <f t="shared" ca="1" si="47"/>
        <v>0</v>
      </c>
      <c r="BJ39" s="703">
        <f t="shared" ca="1" si="47"/>
        <v>0</v>
      </c>
      <c r="BK39" s="703">
        <f t="shared" ca="1" si="47"/>
        <v>0</v>
      </c>
      <c r="BL39" s="703">
        <f t="shared" ca="1" si="47"/>
        <v>0</v>
      </c>
      <c r="BM39" s="703">
        <f t="shared" ca="1" si="47"/>
        <v>0</v>
      </c>
      <c r="BN39" s="703">
        <f t="shared" ca="1" si="47"/>
        <v>0</v>
      </c>
      <c r="BO39" s="703">
        <f t="shared" ca="1" si="47"/>
        <v>0</v>
      </c>
      <c r="BP39" s="703">
        <f t="shared" ca="1" si="47"/>
        <v>0</v>
      </c>
      <c r="BQ39" s="703">
        <f t="shared" ca="1" si="47"/>
        <v>0</v>
      </c>
      <c r="BR39" s="703">
        <f t="shared" ca="1" si="47"/>
        <v>0</v>
      </c>
      <c r="BS39" s="703">
        <f t="shared" ca="1" si="47"/>
        <v>0</v>
      </c>
      <c r="BT39" s="703">
        <f t="shared" ca="1" si="47"/>
        <v>0</v>
      </c>
      <c r="BU39" s="703">
        <f t="shared" ref="BU39:DY39" ca="1" si="48">BU31-BU37</f>
        <v>0</v>
      </c>
      <c r="BV39" s="703">
        <f t="shared" ca="1" si="48"/>
        <v>0</v>
      </c>
      <c r="BW39" s="703">
        <f t="shared" ca="1" si="48"/>
        <v>0</v>
      </c>
      <c r="BX39" s="703">
        <f t="shared" ca="1" si="48"/>
        <v>0</v>
      </c>
      <c r="BY39" s="703">
        <f t="shared" ca="1" si="48"/>
        <v>0</v>
      </c>
      <c r="BZ39" s="703">
        <f t="shared" ca="1" si="48"/>
        <v>0</v>
      </c>
      <c r="CA39" s="703">
        <f t="shared" ca="1" si="48"/>
        <v>0</v>
      </c>
      <c r="CB39" s="703">
        <f t="shared" ca="1" si="48"/>
        <v>0</v>
      </c>
      <c r="CC39" s="703">
        <f t="shared" ca="1" si="48"/>
        <v>0</v>
      </c>
      <c r="CD39" s="703">
        <f t="shared" ca="1" si="48"/>
        <v>0</v>
      </c>
      <c r="CE39" s="703">
        <f t="shared" ca="1" si="48"/>
        <v>0</v>
      </c>
      <c r="CF39" s="703">
        <f t="shared" ca="1" si="48"/>
        <v>0</v>
      </c>
      <c r="CG39" s="703">
        <f t="shared" ca="1" si="48"/>
        <v>0</v>
      </c>
      <c r="CH39" s="703">
        <f t="shared" ca="1" si="48"/>
        <v>0</v>
      </c>
      <c r="CI39" s="703">
        <f t="shared" ca="1" si="48"/>
        <v>0</v>
      </c>
      <c r="CJ39" s="703">
        <f t="shared" ca="1" si="48"/>
        <v>0</v>
      </c>
      <c r="CK39" s="703">
        <f t="shared" ca="1" si="48"/>
        <v>0</v>
      </c>
      <c r="CL39" s="703">
        <f t="shared" ca="1" si="48"/>
        <v>0</v>
      </c>
      <c r="CM39" s="703">
        <f t="shared" ca="1" si="48"/>
        <v>0</v>
      </c>
      <c r="CN39" s="703">
        <f t="shared" ca="1" si="48"/>
        <v>0</v>
      </c>
      <c r="CO39" s="703">
        <f t="shared" ca="1" si="48"/>
        <v>0</v>
      </c>
      <c r="CP39" s="703">
        <f t="shared" ca="1" si="48"/>
        <v>0</v>
      </c>
      <c r="CQ39" s="703">
        <f t="shared" ca="1" si="48"/>
        <v>0</v>
      </c>
      <c r="CR39" s="703">
        <f t="shared" ca="1" si="48"/>
        <v>0</v>
      </c>
      <c r="CS39" s="703">
        <f t="shared" ca="1" si="48"/>
        <v>0</v>
      </c>
      <c r="CT39" s="703">
        <f t="shared" ca="1" si="48"/>
        <v>0</v>
      </c>
      <c r="CU39" s="703">
        <f t="shared" ca="1" si="48"/>
        <v>0</v>
      </c>
      <c r="CV39" s="703">
        <f t="shared" ca="1" si="48"/>
        <v>0</v>
      </c>
      <c r="CW39" s="703">
        <f t="shared" ca="1" si="48"/>
        <v>0</v>
      </c>
      <c r="CX39" s="703">
        <f t="shared" ca="1" si="48"/>
        <v>0</v>
      </c>
      <c r="CY39" s="703">
        <f t="shared" ca="1" si="48"/>
        <v>0</v>
      </c>
      <c r="CZ39" s="703">
        <f t="shared" ca="1" si="48"/>
        <v>0</v>
      </c>
      <c r="DA39" s="703">
        <f t="shared" ca="1" si="48"/>
        <v>0</v>
      </c>
      <c r="DB39" s="703">
        <f t="shared" ca="1" si="48"/>
        <v>0</v>
      </c>
      <c r="DC39" s="703">
        <f t="shared" ca="1" si="48"/>
        <v>0</v>
      </c>
      <c r="DD39" s="703">
        <f t="shared" ca="1" si="48"/>
        <v>0</v>
      </c>
      <c r="DE39" s="703">
        <f t="shared" ca="1" si="48"/>
        <v>0</v>
      </c>
      <c r="DF39" s="703">
        <f t="shared" ca="1" si="48"/>
        <v>0</v>
      </c>
      <c r="DG39" s="703">
        <f t="shared" ca="1" si="48"/>
        <v>0</v>
      </c>
      <c r="DH39" s="703">
        <f t="shared" ca="1" si="48"/>
        <v>0</v>
      </c>
      <c r="DI39" s="703">
        <f t="shared" ca="1" si="48"/>
        <v>0</v>
      </c>
      <c r="DJ39" s="703">
        <f t="shared" ca="1" si="48"/>
        <v>0</v>
      </c>
      <c r="DK39" s="703">
        <f t="shared" ca="1" si="48"/>
        <v>0</v>
      </c>
      <c r="DL39" s="703">
        <f t="shared" ca="1" si="48"/>
        <v>0</v>
      </c>
      <c r="DM39" s="703">
        <f t="shared" ca="1" si="48"/>
        <v>0</v>
      </c>
      <c r="DN39" s="703">
        <f t="shared" ca="1" si="48"/>
        <v>0</v>
      </c>
      <c r="DO39" s="703">
        <f t="shared" ca="1" si="48"/>
        <v>0</v>
      </c>
      <c r="DP39" s="703">
        <f t="shared" ca="1" si="48"/>
        <v>0</v>
      </c>
      <c r="DQ39" s="703">
        <f t="shared" ca="1" si="48"/>
        <v>0</v>
      </c>
      <c r="DR39" s="703">
        <f t="shared" ca="1" si="48"/>
        <v>0</v>
      </c>
      <c r="DS39" s="703">
        <f t="shared" ca="1" si="48"/>
        <v>0</v>
      </c>
      <c r="DT39" s="703">
        <f t="shared" ca="1" si="48"/>
        <v>0</v>
      </c>
      <c r="DU39" s="703">
        <f t="shared" ca="1" si="48"/>
        <v>0</v>
      </c>
      <c r="DV39" s="703">
        <f t="shared" ca="1" si="48"/>
        <v>0</v>
      </c>
      <c r="DW39" s="703">
        <f t="shared" ca="1" si="48"/>
        <v>-8.7311491370201111E-11</v>
      </c>
      <c r="DX39" s="703">
        <f t="shared" ca="1" si="48"/>
        <v>0</v>
      </c>
      <c r="DY39" s="703">
        <f t="shared" ca="1" si="48"/>
        <v>20994225.465940803</v>
      </c>
      <c r="DZ39" s="879"/>
      <c r="EA39" s="879"/>
    </row>
    <row r="40" spans="1:131" s="390" customFormat="1">
      <c r="A40" s="389"/>
      <c r="B40" s="389"/>
      <c r="C40" s="389"/>
      <c r="D40" s="389"/>
      <c r="E40" s="879"/>
      <c r="F40" s="879"/>
      <c r="G40" s="795"/>
      <c r="H40" s="834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703"/>
      <c r="AB40" s="703"/>
      <c r="AC40" s="703"/>
      <c r="AD40" s="703"/>
      <c r="AE40" s="703"/>
      <c r="AF40" s="703"/>
      <c r="AG40" s="703"/>
      <c r="AH40" s="703"/>
      <c r="AI40" s="703"/>
      <c r="AJ40" s="703"/>
      <c r="AK40" s="703"/>
      <c r="AL40" s="703"/>
      <c r="AM40" s="703"/>
      <c r="AN40" s="703"/>
      <c r="AO40" s="703"/>
      <c r="AP40" s="703"/>
      <c r="AQ40" s="703"/>
      <c r="AR40" s="703"/>
      <c r="AS40" s="703"/>
      <c r="AT40" s="703"/>
      <c r="AU40" s="703"/>
      <c r="AV40" s="703"/>
      <c r="AW40" s="703"/>
      <c r="AX40" s="703"/>
      <c r="AY40" s="703"/>
      <c r="AZ40" s="703"/>
      <c r="BA40" s="703"/>
      <c r="BB40" s="703"/>
      <c r="BC40" s="703"/>
      <c r="BD40" s="703"/>
      <c r="BE40" s="703"/>
      <c r="BF40" s="703"/>
      <c r="BG40" s="703"/>
      <c r="BH40" s="703"/>
      <c r="BI40" s="703"/>
      <c r="BJ40" s="703"/>
      <c r="BK40" s="703"/>
      <c r="BL40" s="703"/>
      <c r="BM40" s="703"/>
      <c r="BN40" s="703"/>
      <c r="BO40" s="703"/>
      <c r="BP40" s="703"/>
      <c r="BQ40" s="703"/>
      <c r="BR40" s="703"/>
      <c r="BS40" s="703"/>
      <c r="BT40" s="703"/>
      <c r="BU40" s="703"/>
      <c r="BV40" s="703"/>
      <c r="BW40" s="703"/>
      <c r="BX40" s="703"/>
      <c r="BY40" s="703"/>
      <c r="BZ40" s="703"/>
      <c r="CA40" s="703"/>
      <c r="CB40" s="703"/>
      <c r="CC40" s="703"/>
      <c r="CD40" s="703"/>
      <c r="CE40" s="703"/>
      <c r="CF40" s="703"/>
      <c r="CG40" s="703"/>
      <c r="CH40" s="703"/>
      <c r="CI40" s="703"/>
      <c r="CJ40" s="703"/>
      <c r="CK40" s="703"/>
      <c r="CL40" s="703"/>
      <c r="CM40" s="703"/>
      <c r="CN40" s="703"/>
      <c r="CO40" s="703"/>
      <c r="CP40" s="703"/>
      <c r="CQ40" s="703"/>
      <c r="CR40" s="703"/>
      <c r="CS40" s="703"/>
      <c r="CT40" s="703"/>
      <c r="CU40" s="703"/>
      <c r="CV40" s="703"/>
      <c r="CW40" s="703"/>
      <c r="CX40" s="703"/>
      <c r="CY40" s="703"/>
      <c r="CZ40" s="703"/>
      <c r="DA40" s="703"/>
      <c r="DB40" s="703"/>
      <c r="DC40" s="703"/>
      <c r="DD40" s="703"/>
      <c r="DE40" s="703"/>
      <c r="DF40" s="703"/>
      <c r="DG40" s="703"/>
      <c r="DH40" s="703"/>
      <c r="DI40" s="703"/>
      <c r="DJ40" s="703"/>
      <c r="DK40" s="703"/>
      <c r="DL40" s="703"/>
      <c r="DM40" s="703"/>
      <c r="DN40" s="703"/>
      <c r="DO40" s="703"/>
      <c r="DP40" s="703"/>
      <c r="DQ40" s="703"/>
      <c r="DR40" s="703"/>
      <c r="DS40" s="703"/>
      <c r="DT40" s="703"/>
      <c r="DU40" s="703"/>
      <c r="DV40" s="703"/>
      <c r="DW40" s="703"/>
      <c r="DX40" s="703"/>
      <c r="DY40" s="703"/>
      <c r="DZ40" s="879"/>
      <c r="EA40" s="879"/>
    </row>
    <row r="41" spans="1:131" s="390" customFormat="1">
      <c r="A41" s="389"/>
      <c r="B41" s="433"/>
      <c r="C41" s="389"/>
      <c r="D41" s="433" t="s">
        <v>108</v>
      </c>
      <c r="E41" s="879"/>
      <c r="F41" s="879"/>
      <c r="G41" s="795"/>
      <c r="H41" s="834"/>
      <c r="I41" s="703"/>
      <c r="J41" s="703"/>
      <c r="K41" s="703"/>
      <c r="L41" s="703"/>
      <c r="M41" s="703"/>
      <c r="N41" s="703"/>
      <c r="O41" s="703"/>
      <c r="P41" s="703"/>
      <c r="Q41" s="703"/>
      <c r="R41" s="703"/>
      <c r="S41" s="703"/>
      <c r="T41" s="703"/>
      <c r="U41" s="703"/>
      <c r="V41" s="703"/>
      <c r="W41" s="703"/>
      <c r="X41" s="703"/>
      <c r="Y41" s="703"/>
      <c r="Z41" s="703"/>
      <c r="AA41" s="703"/>
      <c r="AB41" s="703"/>
      <c r="AC41" s="703"/>
      <c r="AD41" s="703"/>
      <c r="AE41" s="703"/>
      <c r="AF41" s="703"/>
      <c r="AG41" s="703"/>
      <c r="AH41" s="703"/>
      <c r="AI41" s="703"/>
      <c r="AJ41" s="703"/>
      <c r="AK41" s="703"/>
      <c r="AL41" s="703"/>
      <c r="AM41" s="703"/>
      <c r="AN41" s="703"/>
      <c r="AO41" s="703"/>
      <c r="AP41" s="703"/>
      <c r="AQ41" s="703"/>
      <c r="AR41" s="703"/>
      <c r="AS41" s="703"/>
      <c r="AT41" s="703"/>
      <c r="AU41" s="703"/>
      <c r="AV41" s="703"/>
      <c r="AW41" s="703"/>
      <c r="AX41" s="703"/>
      <c r="AY41" s="703"/>
      <c r="AZ41" s="703"/>
      <c r="BA41" s="703"/>
      <c r="BB41" s="703"/>
      <c r="BC41" s="703"/>
      <c r="BD41" s="703"/>
      <c r="BE41" s="703"/>
      <c r="BF41" s="703"/>
      <c r="BG41" s="703"/>
      <c r="BH41" s="703"/>
      <c r="BI41" s="703"/>
      <c r="BJ41" s="703"/>
      <c r="BK41" s="703"/>
      <c r="BL41" s="703"/>
      <c r="BM41" s="703"/>
      <c r="BN41" s="703"/>
      <c r="BO41" s="703"/>
      <c r="BP41" s="703"/>
      <c r="BQ41" s="703"/>
      <c r="BR41" s="703"/>
      <c r="BS41" s="703"/>
      <c r="BT41" s="703"/>
      <c r="BU41" s="703"/>
      <c r="BV41" s="703"/>
      <c r="BW41" s="703"/>
      <c r="BX41" s="703"/>
      <c r="BY41" s="703"/>
      <c r="BZ41" s="703"/>
      <c r="CA41" s="703"/>
      <c r="CB41" s="703"/>
      <c r="CC41" s="703"/>
      <c r="CD41" s="703"/>
      <c r="CE41" s="703"/>
      <c r="CF41" s="703"/>
      <c r="CG41" s="703"/>
      <c r="CH41" s="703"/>
      <c r="CI41" s="703"/>
      <c r="CJ41" s="703"/>
      <c r="CK41" s="703"/>
      <c r="CL41" s="703"/>
      <c r="CM41" s="703"/>
      <c r="CN41" s="703"/>
      <c r="CO41" s="703"/>
      <c r="CP41" s="703"/>
      <c r="CQ41" s="703"/>
      <c r="CR41" s="703"/>
      <c r="CS41" s="703"/>
      <c r="CT41" s="703"/>
      <c r="CU41" s="703"/>
      <c r="CV41" s="703"/>
      <c r="CW41" s="703"/>
      <c r="CX41" s="703"/>
      <c r="CY41" s="703"/>
      <c r="CZ41" s="703"/>
      <c r="DA41" s="703"/>
      <c r="DB41" s="703"/>
      <c r="DC41" s="703"/>
      <c r="DD41" s="703"/>
      <c r="DE41" s="703"/>
      <c r="DF41" s="703"/>
      <c r="DG41" s="703"/>
      <c r="DH41" s="703"/>
      <c r="DI41" s="703"/>
      <c r="DJ41" s="703"/>
      <c r="DK41" s="703"/>
      <c r="DL41" s="703"/>
      <c r="DM41" s="703"/>
      <c r="DN41" s="703"/>
      <c r="DO41" s="703"/>
      <c r="DP41" s="703"/>
      <c r="DQ41" s="703"/>
      <c r="DR41" s="703"/>
      <c r="DS41" s="703"/>
      <c r="DT41" s="703"/>
      <c r="DU41" s="703"/>
      <c r="DV41" s="703"/>
      <c r="DW41" s="703"/>
      <c r="DX41" s="703"/>
      <c r="DY41" s="703"/>
      <c r="DZ41" s="879"/>
      <c r="EA41" s="879"/>
    </row>
    <row r="42" spans="1:131" s="390" customFormat="1">
      <c r="A42" s="389"/>
      <c r="B42" s="389"/>
      <c r="C42" s="389"/>
      <c r="D42" s="389" t="str">
        <f>CONCATENATE($J$7&amp;" (Pro Rata)")</f>
        <v>Outside Investor (Pro Rata)</v>
      </c>
      <c r="E42" s="879"/>
      <c r="F42" s="879"/>
      <c r="G42" s="795">
        <f t="shared" ref="G42:G45" ca="1" si="49">SUM(I42:DY42)</f>
        <v>10955339.467881655</v>
      </c>
      <c r="H42" s="834"/>
      <c r="I42" s="703">
        <f t="shared" ref="I42:BT42" si="50">I98</f>
        <v>0</v>
      </c>
      <c r="J42" s="703">
        <f t="shared" ca="1" si="50"/>
        <v>0</v>
      </c>
      <c r="K42" s="703">
        <f t="shared" ca="1" si="50"/>
        <v>0</v>
      </c>
      <c r="L42" s="703">
        <f t="shared" ca="1" si="50"/>
        <v>0</v>
      </c>
      <c r="M42" s="703">
        <f t="shared" ca="1" si="50"/>
        <v>0</v>
      </c>
      <c r="N42" s="703">
        <f t="shared" ca="1" si="50"/>
        <v>0</v>
      </c>
      <c r="O42" s="703">
        <f t="shared" ca="1" si="50"/>
        <v>0</v>
      </c>
      <c r="P42" s="703">
        <f t="shared" ca="1" si="50"/>
        <v>0</v>
      </c>
      <c r="Q42" s="703">
        <f t="shared" ca="1" si="50"/>
        <v>0</v>
      </c>
      <c r="R42" s="703">
        <f t="shared" ca="1" si="50"/>
        <v>0</v>
      </c>
      <c r="S42" s="703">
        <f t="shared" ca="1" si="50"/>
        <v>0</v>
      </c>
      <c r="T42" s="703">
        <f t="shared" ca="1" si="50"/>
        <v>0</v>
      </c>
      <c r="U42" s="703">
        <f t="shared" ca="1" si="50"/>
        <v>0</v>
      </c>
      <c r="V42" s="703">
        <f t="shared" ca="1" si="50"/>
        <v>0</v>
      </c>
      <c r="W42" s="703">
        <f t="shared" ca="1" si="50"/>
        <v>0</v>
      </c>
      <c r="X42" s="703">
        <f t="shared" ca="1" si="50"/>
        <v>0</v>
      </c>
      <c r="Y42" s="703">
        <f t="shared" ca="1" si="50"/>
        <v>0</v>
      </c>
      <c r="Z42" s="703">
        <f t="shared" ca="1" si="50"/>
        <v>0</v>
      </c>
      <c r="AA42" s="703">
        <f t="shared" ca="1" si="50"/>
        <v>0</v>
      </c>
      <c r="AB42" s="703">
        <f t="shared" ca="1" si="50"/>
        <v>0</v>
      </c>
      <c r="AC42" s="703">
        <f t="shared" ca="1" si="50"/>
        <v>0</v>
      </c>
      <c r="AD42" s="703">
        <f t="shared" ca="1" si="50"/>
        <v>0</v>
      </c>
      <c r="AE42" s="703">
        <f t="shared" ca="1" si="50"/>
        <v>0</v>
      </c>
      <c r="AF42" s="703">
        <f t="shared" ca="1" si="50"/>
        <v>0</v>
      </c>
      <c r="AG42" s="703">
        <f t="shared" ca="1" si="50"/>
        <v>0</v>
      </c>
      <c r="AH42" s="703">
        <f t="shared" ca="1" si="50"/>
        <v>0</v>
      </c>
      <c r="AI42" s="703">
        <f t="shared" ca="1" si="50"/>
        <v>0</v>
      </c>
      <c r="AJ42" s="703">
        <f t="shared" ca="1" si="50"/>
        <v>0</v>
      </c>
      <c r="AK42" s="703">
        <f t="shared" ca="1" si="50"/>
        <v>0</v>
      </c>
      <c r="AL42" s="703">
        <f t="shared" ca="1" si="50"/>
        <v>0</v>
      </c>
      <c r="AM42" s="703">
        <f t="shared" ca="1" si="50"/>
        <v>0</v>
      </c>
      <c r="AN42" s="703">
        <f t="shared" ca="1" si="50"/>
        <v>0</v>
      </c>
      <c r="AO42" s="703">
        <f t="shared" ca="1" si="50"/>
        <v>0</v>
      </c>
      <c r="AP42" s="703">
        <f t="shared" ca="1" si="50"/>
        <v>0</v>
      </c>
      <c r="AQ42" s="703">
        <f t="shared" ca="1" si="50"/>
        <v>0</v>
      </c>
      <c r="AR42" s="703">
        <f t="shared" ca="1" si="50"/>
        <v>0</v>
      </c>
      <c r="AS42" s="703">
        <f t="shared" ca="1" si="50"/>
        <v>0</v>
      </c>
      <c r="AT42" s="703">
        <f t="shared" ca="1" si="50"/>
        <v>0</v>
      </c>
      <c r="AU42" s="703">
        <f t="shared" ca="1" si="50"/>
        <v>0</v>
      </c>
      <c r="AV42" s="703">
        <f t="shared" ca="1" si="50"/>
        <v>0</v>
      </c>
      <c r="AW42" s="703">
        <f t="shared" ca="1" si="50"/>
        <v>0</v>
      </c>
      <c r="AX42" s="703">
        <f t="shared" ca="1" si="50"/>
        <v>0</v>
      </c>
      <c r="AY42" s="703">
        <f t="shared" ca="1" si="50"/>
        <v>0</v>
      </c>
      <c r="AZ42" s="703">
        <f t="shared" ca="1" si="50"/>
        <v>0</v>
      </c>
      <c r="BA42" s="703">
        <f t="shared" ca="1" si="50"/>
        <v>0</v>
      </c>
      <c r="BB42" s="703">
        <f t="shared" ca="1" si="50"/>
        <v>0</v>
      </c>
      <c r="BC42" s="703">
        <f t="shared" ca="1" si="50"/>
        <v>0</v>
      </c>
      <c r="BD42" s="703">
        <f t="shared" ca="1" si="50"/>
        <v>0</v>
      </c>
      <c r="BE42" s="703">
        <f t="shared" ca="1" si="50"/>
        <v>0</v>
      </c>
      <c r="BF42" s="703">
        <f t="shared" ca="1" si="50"/>
        <v>0</v>
      </c>
      <c r="BG42" s="703">
        <f t="shared" ca="1" si="50"/>
        <v>0</v>
      </c>
      <c r="BH42" s="703">
        <f t="shared" ca="1" si="50"/>
        <v>0</v>
      </c>
      <c r="BI42" s="703">
        <f t="shared" ca="1" si="50"/>
        <v>0</v>
      </c>
      <c r="BJ42" s="703">
        <f t="shared" ca="1" si="50"/>
        <v>0</v>
      </c>
      <c r="BK42" s="703">
        <f t="shared" ca="1" si="50"/>
        <v>0</v>
      </c>
      <c r="BL42" s="703">
        <f t="shared" ca="1" si="50"/>
        <v>0</v>
      </c>
      <c r="BM42" s="703">
        <f t="shared" ca="1" si="50"/>
        <v>0</v>
      </c>
      <c r="BN42" s="703">
        <f t="shared" ca="1" si="50"/>
        <v>0</v>
      </c>
      <c r="BO42" s="703">
        <f t="shared" ca="1" si="50"/>
        <v>0</v>
      </c>
      <c r="BP42" s="703">
        <f t="shared" ca="1" si="50"/>
        <v>0</v>
      </c>
      <c r="BQ42" s="703">
        <f ca="1">BQ98</f>
        <v>0</v>
      </c>
      <c r="BR42" s="703">
        <f t="shared" ca="1" si="50"/>
        <v>0</v>
      </c>
      <c r="BS42" s="703">
        <f t="shared" ca="1" si="50"/>
        <v>0</v>
      </c>
      <c r="BT42" s="703">
        <f t="shared" ca="1" si="50"/>
        <v>0</v>
      </c>
      <c r="BU42" s="703">
        <f t="shared" ref="BU42:DY42" ca="1" si="51">BU98</f>
        <v>0</v>
      </c>
      <c r="BV42" s="703">
        <f t="shared" ca="1" si="51"/>
        <v>0</v>
      </c>
      <c r="BW42" s="703">
        <f t="shared" ca="1" si="51"/>
        <v>0</v>
      </c>
      <c r="BX42" s="703">
        <f t="shared" ca="1" si="51"/>
        <v>0</v>
      </c>
      <c r="BY42" s="703">
        <f t="shared" ca="1" si="51"/>
        <v>0</v>
      </c>
      <c r="BZ42" s="703">
        <f t="shared" ca="1" si="51"/>
        <v>0</v>
      </c>
      <c r="CA42" s="703">
        <f t="shared" ca="1" si="51"/>
        <v>0</v>
      </c>
      <c r="CB42" s="703">
        <f t="shared" ca="1" si="51"/>
        <v>0</v>
      </c>
      <c r="CC42" s="703">
        <f t="shared" ca="1" si="51"/>
        <v>0</v>
      </c>
      <c r="CD42" s="703">
        <f t="shared" ca="1" si="51"/>
        <v>0</v>
      </c>
      <c r="CE42" s="703">
        <f t="shared" ca="1" si="51"/>
        <v>0</v>
      </c>
      <c r="CF42" s="703">
        <f t="shared" ca="1" si="51"/>
        <v>0</v>
      </c>
      <c r="CG42" s="703">
        <f t="shared" ca="1" si="51"/>
        <v>0</v>
      </c>
      <c r="CH42" s="703">
        <f t="shared" ca="1" si="51"/>
        <v>0</v>
      </c>
      <c r="CI42" s="703">
        <f t="shared" ca="1" si="51"/>
        <v>0</v>
      </c>
      <c r="CJ42" s="703">
        <f t="shared" ca="1" si="51"/>
        <v>0</v>
      </c>
      <c r="CK42" s="703">
        <f t="shared" ca="1" si="51"/>
        <v>0</v>
      </c>
      <c r="CL42" s="703">
        <f t="shared" ca="1" si="51"/>
        <v>0</v>
      </c>
      <c r="CM42" s="703">
        <f t="shared" ca="1" si="51"/>
        <v>0</v>
      </c>
      <c r="CN42" s="703">
        <f t="shared" ca="1" si="51"/>
        <v>0</v>
      </c>
      <c r="CO42" s="703">
        <f t="shared" ca="1" si="51"/>
        <v>0</v>
      </c>
      <c r="CP42" s="703">
        <f t="shared" ca="1" si="51"/>
        <v>0</v>
      </c>
      <c r="CQ42" s="703">
        <f t="shared" ca="1" si="51"/>
        <v>0</v>
      </c>
      <c r="CR42" s="703">
        <f t="shared" ca="1" si="51"/>
        <v>0</v>
      </c>
      <c r="CS42" s="703">
        <f t="shared" ca="1" si="51"/>
        <v>0</v>
      </c>
      <c r="CT42" s="703">
        <f t="shared" ca="1" si="51"/>
        <v>0</v>
      </c>
      <c r="CU42" s="703">
        <f t="shared" ca="1" si="51"/>
        <v>0</v>
      </c>
      <c r="CV42" s="703">
        <f t="shared" ca="1" si="51"/>
        <v>0</v>
      </c>
      <c r="CW42" s="703">
        <f t="shared" ca="1" si="51"/>
        <v>0</v>
      </c>
      <c r="CX42" s="703">
        <f t="shared" ca="1" si="51"/>
        <v>0</v>
      </c>
      <c r="CY42" s="703">
        <f t="shared" ca="1" si="51"/>
        <v>0</v>
      </c>
      <c r="CZ42" s="703">
        <f t="shared" ca="1" si="51"/>
        <v>0</v>
      </c>
      <c r="DA42" s="703">
        <f t="shared" ca="1" si="51"/>
        <v>0</v>
      </c>
      <c r="DB42" s="703">
        <f t="shared" ca="1" si="51"/>
        <v>0</v>
      </c>
      <c r="DC42" s="703">
        <f t="shared" ca="1" si="51"/>
        <v>0</v>
      </c>
      <c r="DD42" s="703">
        <f t="shared" ca="1" si="51"/>
        <v>0</v>
      </c>
      <c r="DE42" s="703">
        <f t="shared" ca="1" si="51"/>
        <v>0</v>
      </c>
      <c r="DF42" s="703">
        <f t="shared" ca="1" si="51"/>
        <v>0</v>
      </c>
      <c r="DG42" s="703">
        <f t="shared" ca="1" si="51"/>
        <v>0</v>
      </c>
      <c r="DH42" s="703">
        <f t="shared" ca="1" si="51"/>
        <v>0</v>
      </c>
      <c r="DI42" s="703">
        <f t="shared" ca="1" si="51"/>
        <v>0</v>
      </c>
      <c r="DJ42" s="703">
        <f t="shared" ca="1" si="51"/>
        <v>0</v>
      </c>
      <c r="DK42" s="703">
        <f t="shared" ca="1" si="51"/>
        <v>0</v>
      </c>
      <c r="DL42" s="703">
        <f t="shared" ca="1" si="51"/>
        <v>0</v>
      </c>
      <c r="DM42" s="703">
        <f t="shared" ca="1" si="51"/>
        <v>0</v>
      </c>
      <c r="DN42" s="703">
        <f t="shared" ca="1" si="51"/>
        <v>0</v>
      </c>
      <c r="DO42" s="703">
        <f t="shared" ca="1" si="51"/>
        <v>0</v>
      </c>
      <c r="DP42" s="703">
        <f t="shared" ca="1" si="51"/>
        <v>0</v>
      </c>
      <c r="DQ42" s="703">
        <f t="shared" ca="1" si="51"/>
        <v>0</v>
      </c>
      <c r="DR42" s="703">
        <f t="shared" ca="1" si="51"/>
        <v>0</v>
      </c>
      <c r="DS42" s="703">
        <f t="shared" ca="1" si="51"/>
        <v>0</v>
      </c>
      <c r="DT42" s="703">
        <f t="shared" ca="1" si="51"/>
        <v>0</v>
      </c>
      <c r="DU42" s="703">
        <f t="shared" ca="1" si="51"/>
        <v>0</v>
      </c>
      <c r="DV42" s="703">
        <f t="shared" ca="1" si="51"/>
        <v>0</v>
      </c>
      <c r="DW42" s="703">
        <f t="shared" ca="1" si="51"/>
        <v>7.3341652750968934E-11</v>
      </c>
      <c r="DX42" s="703">
        <f t="shared" ca="1" si="51"/>
        <v>0</v>
      </c>
      <c r="DY42" s="703">
        <f t="shared" ca="1" si="51"/>
        <v>10955339.467881655</v>
      </c>
      <c r="DZ42" s="879"/>
      <c r="EA42" s="879"/>
    </row>
    <row r="43" spans="1:131" s="390" customFormat="1">
      <c r="A43" s="389"/>
      <c r="B43" s="389"/>
      <c r="C43" s="389"/>
      <c r="D43" s="389" t="str">
        <f>CONCATENATE($K$7&amp;" (Pro Rata)")</f>
        <v>Sponsor Investors (Pro Rata)</v>
      </c>
      <c r="E43" s="879"/>
      <c r="F43" s="879"/>
      <c r="G43" s="795">
        <f t="shared" ca="1" si="49"/>
        <v>1217259.9408757391</v>
      </c>
      <c r="H43" s="834"/>
      <c r="I43" s="703">
        <f t="shared" ref="I43:AN43" si="52">(I42/$J$11)*$K$11</f>
        <v>0</v>
      </c>
      <c r="J43" s="703">
        <f t="shared" ca="1" si="52"/>
        <v>0</v>
      </c>
      <c r="K43" s="703">
        <f t="shared" ca="1" si="52"/>
        <v>0</v>
      </c>
      <c r="L43" s="703">
        <f t="shared" ca="1" si="52"/>
        <v>0</v>
      </c>
      <c r="M43" s="703">
        <f t="shared" ca="1" si="52"/>
        <v>0</v>
      </c>
      <c r="N43" s="703">
        <f t="shared" ca="1" si="52"/>
        <v>0</v>
      </c>
      <c r="O43" s="703">
        <f t="shared" ca="1" si="52"/>
        <v>0</v>
      </c>
      <c r="P43" s="703">
        <f t="shared" ca="1" si="52"/>
        <v>0</v>
      </c>
      <c r="Q43" s="703">
        <f t="shared" ca="1" si="52"/>
        <v>0</v>
      </c>
      <c r="R43" s="703">
        <f t="shared" ca="1" si="52"/>
        <v>0</v>
      </c>
      <c r="S43" s="703">
        <f t="shared" ca="1" si="52"/>
        <v>0</v>
      </c>
      <c r="T43" s="703">
        <f t="shared" ca="1" si="52"/>
        <v>0</v>
      </c>
      <c r="U43" s="703">
        <f t="shared" ca="1" si="52"/>
        <v>0</v>
      </c>
      <c r="V43" s="703">
        <f t="shared" ca="1" si="52"/>
        <v>0</v>
      </c>
      <c r="W43" s="703">
        <f t="shared" ca="1" si="52"/>
        <v>0</v>
      </c>
      <c r="X43" s="703">
        <f t="shared" ca="1" si="52"/>
        <v>0</v>
      </c>
      <c r="Y43" s="703">
        <f t="shared" ca="1" si="52"/>
        <v>0</v>
      </c>
      <c r="Z43" s="703">
        <f t="shared" ca="1" si="52"/>
        <v>0</v>
      </c>
      <c r="AA43" s="703">
        <f t="shared" ca="1" si="52"/>
        <v>0</v>
      </c>
      <c r="AB43" s="703">
        <f t="shared" ca="1" si="52"/>
        <v>0</v>
      </c>
      <c r="AC43" s="703">
        <f t="shared" ca="1" si="52"/>
        <v>0</v>
      </c>
      <c r="AD43" s="703">
        <f t="shared" ca="1" si="52"/>
        <v>0</v>
      </c>
      <c r="AE43" s="703">
        <f t="shared" ca="1" si="52"/>
        <v>0</v>
      </c>
      <c r="AF43" s="703">
        <f t="shared" ca="1" si="52"/>
        <v>0</v>
      </c>
      <c r="AG43" s="703">
        <f t="shared" ca="1" si="52"/>
        <v>0</v>
      </c>
      <c r="AH43" s="703">
        <f t="shared" ca="1" si="52"/>
        <v>0</v>
      </c>
      <c r="AI43" s="703">
        <f t="shared" ca="1" si="52"/>
        <v>0</v>
      </c>
      <c r="AJ43" s="703">
        <f t="shared" ca="1" si="52"/>
        <v>0</v>
      </c>
      <c r="AK43" s="703">
        <f t="shared" ca="1" si="52"/>
        <v>0</v>
      </c>
      <c r="AL43" s="703">
        <f t="shared" ca="1" si="52"/>
        <v>0</v>
      </c>
      <c r="AM43" s="703">
        <f t="shared" ca="1" si="52"/>
        <v>0</v>
      </c>
      <c r="AN43" s="703">
        <f t="shared" ca="1" si="52"/>
        <v>0</v>
      </c>
      <c r="AO43" s="703">
        <f t="shared" ref="AO43:BT43" ca="1" si="53">(AO42/$J$11)*$K$11</f>
        <v>0</v>
      </c>
      <c r="AP43" s="703">
        <f t="shared" ca="1" si="53"/>
        <v>0</v>
      </c>
      <c r="AQ43" s="703">
        <f t="shared" ca="1" si="53"/>
        <v>0</v>
      </c>
      <c r="AR43" s="703">
        <f t="shared" ca="1" si="53"/>
        <v>0</v>
      </c>
      <c r="AS43" s="703">
        <f t="shared" ca="1" si="53"/>
        <v>0</v>
      </c>
      <c r="AT43" s="703">
        <f t="shared" ca="1" si="53"/>
        <v>0</v>
      </c>
      <c r="AU43" s="703">
        <f t="shared" ca="1" si="53"/>
        <v>0</v>
      </c>
      <c r="AV43" s="703">
        <f t="shared" ca="1" si="53"/>
        <v>0</v>
      </c>
      <c r="AW43" s="703">
        <f t="shared" ca="1" si="53"/>
        <v>0</v>
      </c>
      <c r="AX43" s="703">
        <f t="shared" ca="1" si="53"/>
        <v>0</v>
      </c>
      <c r="AY43" s="703">
        <f t="shared" ca="1" si="53"/>
        <v>0</v>
      </c>
      <c r="AZ43" s="703">
        <f t="shared" ca="1" si="53"/>
        <v>0</v>
      </c>
      <c r="BA43" s="703">
        <f t="shared" ca="1" si="53"/>
        <v>0</v>
      </c>
      <c r="BB43" s="703">
        <f t="shared" ca="1" si="53"/>
        <v>0</v>
      </c>
      <c r="BC43" s="703">
        <f t="shared" ca="1" si="53"/>
        <v>0</v>
      </c>
      <c r="BD43" s="703">
        <f t="shared" ca="1" si="53"/>
        <v>0</v>
      </c>
      <c r="BE43" s="703">
        <f t="shared" ca="1" si="53"/>
        <v>0</v>
      </c>
      <c r="BF43" s="703">
        <f t="shared" ca="1" si="53"/>
        <v>0</v>
      </c>
      <c r="BG43" s="703">
        <f t="shared" ca="1" si="53"/>
        <v>0</v>
      </c>
      <c r="BH43" s="703">
        <f t="shared" ca="1" si="53"/>
        <v>0</v>
      </c>
      <c r="BI43" s="703">
        <f t="shared" ca="1" si="53"/>
        <v>0</v>
      </c>
      <c r="BJ43" s="703">
        <f t="shared" ca="1" si="53"/>
        <v>0</v>
      </c>
      <c r="BK43" s="703">
        <f t="shared" ca="1" si="53"/>
        <v>0</v>
      </c>
      <c r="BL43" s="703">
        <f t="shared" ca="1" si="53"/>
        <v>0</v>
      </c>
      <c r="BM43" s="703">
        <f t="shared" ca="1" si="53"/>
        <v>0</v>
      </c>
      <c r="BN43" s="703">
        <f t="shared" ca="1" si="53"/>
        <v>0</v>
      </c>
      <c r="BO43" s="703">
        <f t="shared" ca="1" si="53"/>
        <v>0</v>
      </c>
      <c r="BP43" s="703">
        <f t="shared" ca="1" si="53"/>
        <v>0</v>
      </c>
      <c r="BQ43" s="703">
        <f t="shared" ca="1" si="53"/>
        <v>0</v>
      </c>
      <c r="BR43" s="703">
        <f t="shared" ca="1" si="53"/>
        <v>0</v>
      </c>
      <c r="BS43" s="703">
        <f t="shared" ca="1" si="53"/>
        <v>0</v>
      </c>
      <c r="BT43" s="703">
        <f t="shared" ca="1" si="53"/>
        <v>0</v>
      </c>
      <c r="BU43" s="703">
        <f t="shared" ref="BU43:CZ43" ca="1" si="54">(BU42/$J$11)*$K$11</f>
        <v>0</v>
      </c>
      <c r="BV43" s="703">
        <f t="shared" ca="1" si="54"/>
        <v>0</v>
      </c>
      <c r="BW43" s="703">
        <f t="shared" ca="1" si="54"/>
        <v>0</v>
      </c>
      <c r="BX43" s="703">
        <f t="shared" ca="1" si="54"/>
        <v>0</v>
      </c>
      <c r="BY43" s="703">
        <f t="shared" ca="1" si="54"/>
        <v>0</v>
      </c>
      <c r="BZ43" s="703">
        <f t="shared" ca="1" si="54"/>
        <v>0</v>
      </c>
      <c r="CA43" s="703">
        <f t="shared" ca="1" si="54"/>
        <v>0</v>
      </c>
      <c r="CB43" s="703">
        <f t="shared" ca="1" si="54"/>
        <v>0</v>
      </c>
      <c r="CC43" s="703">
        <f t="shared" ca="1" si="54"/>
        <v>0</v>
      </c>
      <c r="CD43" s="703">
        <f t="shared" ca="1" si="54"/>
        <v>0</v>
      </c>
      <c r="CE43" s="703">
        <f t="shared" ca="1" si="54"/>
        <v>0</v>
      </c>
      <c r="CF43" s="703">
        <f t="shared" ca="1" si="54"/>
        <v>0</v>
      </c>
      <c r="CG43" s="703">
        <f t="shared" ca="1" si="54"/>
        <v>0</v>
      </c>
      <c r="CH43" s="703">
        <f t="shared" ca="1" si="54"/>
        <v>0</v>
      </c>
      <c r="CI43" s="703">
        <f t="shared" ca="1" si="54"/>
        <v>0</v>
      </c>
      <c r="CJ43" s="703">
        <f t="shared" ca="1" si="54"/>
        <v>0</v>
      </c>
      <c r="CK43" s="703">
        <f t="shared" ca="1" si="54"/>
        <v>0</v>
      </c>
      <c r="CL43" s="703">
        <f t="shared" ca="1" si="54"/>
        <v>0</v>
      </c>
      <c r="CM43" s="703">
        <f t="shared" ca="1" si="54"/>
        <v>0</v>
      </c>
      <c r="CN43" s="703">
        <f t="shared" ca="1" si="54"/>
        <v>0</v>
      </c>
      <c r="CO43" s="703">
        <f t="shared" ca="1" si="54"/>
        <v>0</v>
      </c>
      <c r="CP43" s="703">
        <f t="shared" ca="1" si="54"/>
        <v>0</v>
      </c>
      <c r="CQ43" s="703">
        <f t="shared" ca="1" si="54"/>
        <v>0</v>
      </c>
      <c r="CR43" s="703">
        <f t="shared" ca="1" si="54"/>
        <v>0</v>
      </c>
      <c r="CS43" s="703">
        <f t="shared" ca="1" si="54"/>
        <v>0</v>
      </c>
      <c r="CT43" s="703">
        <f t="shared" ca="1" si="54"/>
        <v>0</v>
      </c>
      <c r="CU43" s="703">
        <f t="shared" ca="1" si="54"/>
        <v>0</v>
      </c>
      <c r="CV43" s="703">
        <f t="shared" ca="1" si="54"/>
        <v>0</v>
      </c>
      <c r="CW43" s="703">
        <f t="shared" ca="1" si="54"/>
        <v>0</v>
      </c>
      <c r="CX43" s="703">
        <f t="shared" ca="1" si="54"/>
        <v>0</v>
      </c>
      <c r="CY43" s="703">
        <f t="shared" ca="1" si="54"/>
        <v>0</v>
      </c>
      <c r="CZ43" s="703">
        <f t="shared" ca="1" si="54"/>
        <v>0</v>
      </c>
      <c r="DA43" s="703">
        <f t="shared" ref="DA43:DY43" ca="1" si="55">(DA42/$J$11)*$K$11</f>
        <v>0</v>
      </c>
      <c r="DB43" s="703">
        <f t="shared" ca="1" si="55"/>
        <v>0</v>
      </c>
      <c r="DC43" s="703">
        <f t="shared" ca="1" si="55"/>
        <v>0</v>
      </c>
      <c r="DD43" s="703">
        <f t="shared" ca="1" si="55"/>
        <v>0</v>
      </c>
      <c r="DE43" s="703">
        <f t="shared" ca="1" si="55"/>
        <v>0</v>
      </c>
      <c r="DF43" s="703">
        <f t="shared" ca="1" si="55"/>
        <v>0</v>
      </c>
      <c r="DG43" s="703">
        <f t="shared" ca="1" si="55"/>
        <v>0</v>
      </c>
      <c r="DH43" s="703">
        <f t="shared" ca="1" si="55"/>
        <v>0</v>
      </c>
      <c r="DI43" s="703">
        <f t="shared" ca="1" si="55"/>
        <v>0</v>
      </c>
      <c r="DJ43" s="703">
        <f t="shared" ca="1" si="55"/>
        <v>0</v>
      </c>
      <c r="DK43" s="703">
        <f t="shared" ca="1" si="55"/>
        <v>0</v>
      </c>
      <c r="DL43" s="703">
        <f t="shared" ca="1" si="55"/>
        <v>0</v>
      </c>
      <c r="DM43" s="703">
        <f t="shared" ca="1" si="55"/>
        <v>0</v>
      </c>
      <c r="DN43" s="703">
        <f t="shared" ca="1" si="55"/>
        <v>0</v>
      </c>
      <c r="DO43" s="703">
        <f t="shared" ca="1" si="55"/>
        <v>0</v>
      </c>
      <c r="DP43" s="703">
        <f t="shared" ca="1" si="55"/>
        <v>0</v>
      </c>
      <c r="DQ43" s="703">
        <f t="shared" ca="1" si="55"/>
        <v>0</v>
      </c>
      <c r="DR43" s="703">
        <f t="shared" ca="1" si="55"/>
        <v>0</v>
      </c>
      <c r="DS43" s="703">
        <f t="shared" ca="1" si="55"/>
        <v>0</v>
      </c>
      <c r="DT43" s="703">
        <f t="shared" ca="1" si="55"/>
        <v>0</v>
      </c>
      <c r="DU43" s="703">
        <f t="shared" ca="1" si="55"/>
        <v>0</v>
      </c>
      <c r="DV43" s="703">
        <f t="shared" ca="1" si="55"/>
        <v>0</v>
      </c>
      <c r="DW43" s="703">
        <f t="shared" ca="1" si="55"/>
        <v>8.1490725278854346E-12</v>
      </c>
      <c r="DX43" s="703">
        <f t="shared" ca="1" si="55"/>
        <v>0</v>
      </c>
      <c r="DY43" s="703">
        <f t="shared" ca="1" si="55"/>
        <v>1217259.9408757391</v>
      </c>
      <c r="DZ43" s="879"/>
      <c r="EA43" s="879"/>
    </row>
    <row r="44" spans="1:131" s="390" customFormat="1">
      <c r="A44" s="389"/>
      <c r="B44" s="389"/>
      <c r="C44" s="389"/>
      <c r="D44" s="389" t="str">
        <f>CONCATENATE("Promote to "&amp;$L$7)</f>
        <v>Promote to Sponsor</v>
      </c>
      <c r="E44" s="879"/>
      <c r="F44" s="879"/>
      <c r="G44" s="891">
        <f t="shared" ca="1" si="49"/>
        <v>5216828.3180388827</v>
      </c>
      <c r="H44" s="834"/>
      <c r="I44" s="713">
        <f t="shared" ref="I44:AN44" si="56">(I42/$J$11)*$L$11</f>
        <v>0</v>
      </c>
      <c r="J44" s="713">
        <f t="shared" ca="1" si="56"/>
        <v>0</v>
      </c>
      <c r="K44" s="713">
        <f t="shared" ca="1" si="56"/>
        <v>0</v>
      </c>
      <c r="L44" s="713">
        <f t="shared" ca="1" si="56"/>
        <v>0</v>
      </c>
      <c r="M44" s="713">
        <f t="shared" ca="1" si="56"/>
        <v>0</v>
      </c>
      <c r="N44" s="713">
        <f t="shared" ca="1" si="56"/>
        <v>0</v>
      </c>
      <c r="O44" s="713">
        <f t="shared" ca="1" si="56"/>
        <v>0</v>
      </c>
      <c r="P44" s="713">
        <f t="shared" ca="1" si="56"/>
        <v>0</v>
      </c>
      <c r="Q44" s="713">
        <f t="shared" ca="1" si="56"/>
        <v>0</v>
      </c>
      <c r="R44" s="713">
        <f t="shared" ca="1" si="56"/>
        <v>0</v>
      </c>
      <c r="S44" s="713">
        <f t="shared" ca="1" si="56"/>
        <v>0</v>
      </c>
      <c r="T44" s="713">
        <f t="shared" ca="1" si="56"/>
        <v>0</v>
      </c>
      <c r="U44" s="713">
        <f t="shared" ca="1" si="56"/>
        <v>0</v>
      </c>
      <c r="V44" s="713">
        <f t="shared" ca="1" si="56"/>
        <v>0</v>
      </c>
      <c r="W44" s="713">
        <f t="shared" ca="1" si="56"/>
        <v>0</v>
      </c>
      <c r="X44" s="713">
        <f t="shared" ca="1" si="56"/>
        <v>0</v>
      </c>
      <c r="Y44" s="713">
        <f t="shared" ca="1" si="56"/>
        <v>0</v>
      </c>
      <c r="Z44" s="713">
        <f t="shared" ca="1" si="56"/>
        <v>0</v>
      </c>
      <c r="AA44" s="713">
        <f t="shared" ca="1" si="56"/>
        <v>0</v>
      </c>
      <c r="AB44" s="713">
        <f t="shared" ca="1" si="56"/>
        <v>0</v>
      </c>
      <c r="AC44" s="713">
        <f t="shared" ca="1" si="56"/>
        <v>0</v>
      </c>
      <c r="AD44" s="713">
        <f t="shared" ca="1" si="56"/>
        <v>0</v>
      </c>
      <c r="AE44" s="713">
        <f t="shared" ca="1" si="56"/>
        <v>0</v>
      </c>
      <c r="AF44" s="713">
        <f t="shared" ca="1" si="56"/>
        <v>0</v>
      </c>
      <c r="AG44" s="713">
        <f t="shared" ca="1" si="56"/>
        <v>0</v>
      </c>
      <c r="AH44" s="713">
        <f t="shared" ca="1" si="56"/>
        <v>0</v>
      </c>
      <c r="AI44" s="713">
        <f t="shared" ca="1" si="56"/>
        <v>0</v>
      </c>
      <c r="AJ44" s="713">
        <f t="shared" ca="1" si="56"/>
        <v>0</v>
      </c>
      <c r="AK44" s="713">
        <f t="shared" ca="1" si="56"/>
        <v>0</v>
      </c>
      <c r="AL44" s="713">
        <f t="shared" ca="1" si="56"/>
        <v>0</v>
      </c>
      <c r="AM44" s="713">
        <f t="shared" ca="1" si="56"/>
        <v>0</v>
      </c>
      <c r="AN44" s="713">
        <f t="shared" ca="1" si="56"/>
        <v>0</v>
      </c>
      <c r="AO44" s="713">
        <f t="shared" ref="AO44:BT44" ca="1" si="57">(AO42/$J$11)*$L$11</f>
        <v>0</v>
      </c>
      <c r="AP44" s="713">
        <f t="shared" ca="1" si="57"/>
        <v>0</v>
      </c>
      <c r="AQ44" s="713">
        <f t="shared" ca="1" si="57"/>
        <v>0</v>
      </c>
      <c r="AR44" s="713">
        <f t="shared" ca="1" si="57"/>
        <v>0</v>
      </c>
      <c r="AS44" s="713">
        <f t="shared" ca="1" si="57"/>
        <v>0</v>
      </c>
      <c r="AT44" s="713">
        <f t="shared" ca="1" si="57"/>
        <v>0</v>
      </c>
      <c r="AU44" s="713">
        <f t="shared" ca="1" si="57"/>
        <v>0</v>
      </c>
      <c r="AV44" s="713">
        <f t="shared" ca="1" si="57"/>
        <v>0</v>
      </c>
      <c r="AW44" s="713">
        <f t="shared" ca="1" si="57"/>
        <v>0</v>
      </c>
      <c r="AX44" s="713">
        <f t="shared" ca="1" si="57"/>
        <v>0</v>
      </c>
      <c r="AY44" s="713">
        <f t="shared" ca="1" si="57"/>
        <v>0</v>
      </c>
      <c r="AZ44" s="713">
        <f t="shared" ca="1" si="57"/>
        <v>0</v>
      </c>
      <c r="BA44" s="713">
        <f t="shared" ca="1" si="57"/>
        <v>0</v>
      </c>
      <c r="BB44" s="713">
        <f t="shared" ca="1" si="57"/>
        <v>0</v>
      </c>
      <c r="BC44" s="713">
        <f t="shared" ca="1" si="57"/>
        <v>0</v>
      </c>
      <c r="BD44" s="713">
        <f t="shared" ca="1" si="57"/>
        <v>0</v>
      </c>
      <c r="BE44" s="713">
        <f t="shared" ca="1" si="57"/>
        <v>0</v>
      </c>
      <c r="BF44" s="713">
        <f t="shared" ca="1" si="57"/>
        <v>0</v>
      </c>
      <c r="BG44" s="713">
        <f t="shared" ca="1" si="57"/>
        <v>0</v>
      </c>
      <c r="BH44" s="713">
        <f t="shared" ca="1" si="57"/>
        <v>0</v>
      </c>
      <c r="BI44" s="713">
        <f t="shared" ca="1" si="57"/>
        <v>0</v>
      </c>
      <c r="BJ44" s="713">
        <f t="shared" ca="1" si="57"/>
        <v>0</v>
      </c>
      <c r="BK44" s="713">
        <f t="shared" ca="1" si="57"/>
        <v>0</v>
      </c>
      <c r="BL44" s="713">
        <f t="shared" ca="1" si="57"/>
        <v>0</v>
      </c>
      <c r="BM44" s="713">
        <f t="shared" ca="1" si="57"/>
        <v>0</v>
      </c>
      <c r="BN44" s="713">
        <f t="shared" ca="1" si="57"/>
        <v>0</v>
      </c>
      <c r="BO44" s="713">
        <f t="shared" ca="1" si="57"/>
        <v>0</v>
      </c>
      <c r="BP44" s="713">
        <f t="shared" ca="1" si="57"/>
        <v>0</v>
      </c>
      <c r="BQ44" s="713">
        <f t="shared" ca="1" si="57"/>
        <v>0</v>
      </c>
      <c r="BR44" s="713">
        <f t="shared" ca="1" si="57"/>
        <v>0</v>
      </c>
      <c r="BS44" s="713">
        <f t="shared" ca="1" si="57"/>
        <v>0</v>
      </c>
      <c r="BT44" s="713">
        <f t="shared" ca="1" si="57"/>
        <v>0</v>
      </c>
      <c r="BU44" s="713">
        <f t="shared" ref="BU44:CZ44" ca="1" si="58">(BU42/$J$11)*$L$11</f>
        <v>0</v>
      </c>
      <c r="BV44" s="713">
        <f t="shared" ca="1" si="58"/>
        <v>0</v>
      </c>
      <c r="BW44" s="713">
        <f t="shared" ca="1" si="58"/>
        <v>0</v>
      </c>
      <c r="BX44" s="713">
        <f t="shared" ca="1" si="58"/>
        <v>0</v>
      </c>
      <c r="BY44" s="713">
        <f t="shared" ca="1" si="58"/>
        <v>0</v>
      </c>
      <c r="BZ44" s="713">
        <f t="shared" ca="1" si="58"/>
        <v>0</v>
      </c>
      <c r="CA44" s="713">
        <f t="shared" ca="1" si="58"/>
        <v>0</v>
      </c>
      <c r="CB44" s="713">
        <f t="shared" ca="1" si="58"/>
        <v>0</v>
      </c>
      <c r="CC44" s="713">
        <f t="shared" ca="1" si="58"/>
        <v>0</v>
      </c>
      <c r="CD44" s="713">
        <f t="shared" ca="1" si="58"/>
        <v>0</v>
      </c>
      <c r="CE44" s="713">
        <f t="shared" ca="1" si="58"/>
        <v>0</v>
      </c>
      <c r="CF44" s="713">
        <f t="shared" ca="1" si="58"/>
        <v>0</v>
      </c>
      <c r="CG44" s="713">
        <f t="shared" ca="1" si="58"/>
        <v>0</v>
      </c>
      <c r="CH44" s="713">
        <f t="shared" ca="1" si="58"/>
        <v>0</v>
      </c>
      <c r="CI44" s="713">
        <f t="shared" ca="1" si="58"/>
        <v>0</v>
      </c>
      <c r="CJ44" s="713">
        <f t="shared" ca="1" si="58"/>
        <v>0</v>
      </c>
      <c r="CK44" s="713">
        <f t="shared" ca="1" si="58"/>
        <v>0</v>
      </c>
      <c r="CL44" s="713">
        <f t="shared" ca="1" si="58"/>
        <v>0</v>
      </c>
      <c r="CM44" s="713">
        <f t="shared" ca="1" si="58"/>
        <v>0</v>
      </c>
      <c r="CN44" s="713">
        <f t="shared" ca="1" si="58"/>
        <v>0</v>
      </c>
      <c r="CO44" s="713">
        <f t="shared" ca="1" si="58"/>
        <v>0</v>
      </c>
      <c r="CP44" s="713">
        <f t="shared" ca="1" si="58"/>
        <v>0</v>
      </c>
      <c r="CQ44" s="713">
        <f t="shared" ca="1" si="58"/>
        <v>0</v>
      </c>
      <c r="CR44" s="713">
        <f t="shared" ca="1" si="58"/>
        <v>0</v>
      </c>
      <c r="CS44" s="713">
        <f t="shared" ca="1" si="58"/>
        <v>0</v>
      </c>
      <c r="CT44" s="713">
        <f t="shared" ca="1" si="58"/>
        <v>0</v>
      </c>
      <c r="CU44" s="713">
        <f t="shared" ca="1" si="58"/>
        <v>0</v>
      </c>
      <c r="CV44" s="713">
        <f t="shared" ca="1" si="58"/>
        <v>0</v>
      </c>
      <c r="CW44" s="713">
        <f t="shared" ca="1" si="58"/>
        <v>0</v>
      </c>
      <c r="CX44" s="713">
        <f t="shared" ca="1" si="58"/>
        <v>0</v>
      </c>
      <c r="CY44" s="713">
        <f t="shared" ca="1" si="58"/>
        <v>0</v>
      </c>
      <c r="CZ44" s="713">
        <f t="shared" ca="1" si="58"/>
        <v>0</v>
      </c>
      <c r="DA44" s="713">
        <f t="shared" ref="DA44:DY44" ca="1" si="59">(DA42/$J$11)*$L$11</f>
        <v>0</v>
      </c>
      <c r="DB44" s="713">
        <f t="shared" ca="1" si="59"/>
        <v>0</v>
      </c>
      <c r="DC44" s="713">
        <f t="shared" ca="1" si="59"/>
        <v>0</v>
      </c>
      <c r="DD44" s="713">
        <f t="shared" ca="1" si="59"/>
        <v>0</v>
      </c>
      <c r="DE44" s="713">
        <f t="shared" ca="1" si="59"/>
        <v>0</v>
      </c>
      <c r="DF44" s="713">
        <f t="shared" ca="1" si="59"/>
        <v>0</v>
      </c>
      <c r="DG44" s="713">
        <f t="shared" ca="1" si="59"/>
        <v>0</v>
      </c>
      <c r="DH44" s="713">
        <f t="shared" ca="1" si="59"/>
        <v>0</v>
      </c>
      <c r="DI44" s="713">
        <f t="shared" ca="1" si="59"/>
        <v>0</v>
      </c>
      <c r="DJ44" s="713">
        <f t="shared" ca="1" si="59"/>
        <v>0</v>
      </c>
      <c r="DK44" s="713">
        <f t="shared" ca="1" si="59"/>
        <v>0</v>
      </c>
      <c r="DL44" s="713">
        <f t="shared" ca="1" si="59"/>
        <v>0</v>
      </c>
      <c r="DM44" s="713">
        <f t="shared" ca="1" si="59"/>
        <v>0</v>
      </c>
      <c r="DN44" s="713">
        <f t="shared" ca="1" si="59"/>
        <v>0</v>
      </c>
      <c r="DO44" s="713">
        <f t="shared" ca="1" si="59"/>
        <v>0</v>
      </c>
      <c r="DP44" s="713">
        <f t="shared" ca="1" si="59"/>
        <v>0</v>
      </c>
      <c r="DQ44" s="713">
        <f t="shared" ca="1" si="59"/>
        <v>0</v>
      </c>
      <c r="DR44" s="713">
        <f t="shared" ca="1" si="59"/>
        <v>0</v>
      </c>
      <c r="DS44" s="713">
        <f t="shared" ca="1" si="59"/>
        <v>0</v>
      </c>
      <c r="DT44" s="713">
        <f t="shared" ca="1" si="59"/>
        <v>0</v>
      </c>
      <c r="DU44" s="713">
        <f t="shared" ca="1" si="59"/>
        <v>0</v>
      </c>
      <c r="DV44" s="713">
        <f t="shared" ca="1" si="59"/>
        <v>0</v>
      </c>
      <c r="DW44" s="713">
        <f t="shared" ca="1" si="59"/>
        <v>3.4924596548080443E-11</v>
      </c>
      <c r="DX44" s="713">
        <f t="shared" ca="1" si="59"/>
        <v>0</v>
      </c>
      <c r="DY44" s="713">
        <f t="shared" ca="1" si="59"/>
        <v>5216828.3180388827</v>
      </c>
      <c r="DZ44" s="879"/>
      <c r="EA44" s="879"/>
    </row>
    <row r="45" spans="1:131" s="390" customFormat="1">
      <c r="A45" s="389"/>
      <c r="B45" s="389"/>
      <c r="C45" s="389"/>
      <c r="D45" s="389" t="s">
        <v>11</v>
      </c>
      <c r="E45" s="879"/>
      <c r="F45" s="879"/>
      <c r="G45" s="795">
        <f t="shared" ca="1" si="49"/>
        <v>17389427.726796277</v>
      </c>
      <c r="H45" s="834"/>
      <c r="I45" s="703">
        <f t="shared" ref="I45:BT45" si="60">SUM(I42:I44)</f>
        <v>0</v>
      </c>
      <c r="J45" s="703">
        <f t="shared" ca="1" si="60"/>
        <v>0</v>
      </c>
      <c r="K45" s="703">
        <f t="shared" ca="1" si="60"/>
        <v>0</v>
      </c>
      <c r="L45" s="703">
        <f t="shared" ca="1" si="60"/>
        <v>0</v>
      </c>
      <c r="M45" s="703">
        <f t="shared" ca="1" si="60"/>
        <v>0</v>
      </c>
      <c r="N45" s="703">
        <f t="shared" ca="1" si="60"/>
        <v>0</v>
      </c>
      <c r="O45" s="703">
        <f t="shared" ca="1" si="60"/>
        <v>0</v>
      </c>
      <c r="P45" s="703">
        <f t="shared" ca="1" si="60"/>
        <v>0</v>
      </c>
      <c r="Q45" s="703">
        <f t="shared" ca="1" si="60"/>
        <v>0</v>
      </c>
      <c r="R45" s="703">
        <f t="shared" ca="1" si="60"/>
        <v>0</v>
      </c>
      <c r="S45" s="703">
        <f t="shared" ca="1" si="60"/>
        <v>0</v>
      </c>
      <c r="T45" s="703">
        <f t="shared" ca="1" si="60"/>
        <v>0</v>
      </c>
      <c r="U45" s="703">
        <f t="shared" ca="1" si="60"/>
        <v>0</v>
      </c>
      <c r="V45" s="703">
        <f t="shared" ca="1" si="60"/>
        <v>0</v>
      </c>
      <c r="W45" s="703">
        <f t="shared" ca="1" si="60"/>
        <v>0</v>
      </c>
      <c r="X45" s="703">
        <f t="shared" ca="1" si="60"/>
        <v>0</v>
      </c>
      <c r="Y45" s="703">
        <f t="shared" ca="1" si="60"/>
        <v>0</v>
      </c>
      <c r="Z45" s="703">
        <f t="shared" ca="1" si="60"/>
        <v>0</v>
      </c>
      <c r="AA45" s="703">
        <f t="shared" ca="1" si="60"/>
        <v>0</v>
      </c>
      <c r="AB45" s="703">
        <f t="shared" ca="1" si="60"/>
        <v>0</v>
      </c>
      <c r="AC45" s="703">
        <f t="shared" ca="1" si="60"/>
        <v>0</v>
      </c>
      <c r="AD45" s="703">
        <f t="shared" ca="1" si="60"/>
        <v>0</v>
      </c>
      <c r="AE45" s="703">
        <f t="shared" ca="1" si="60"/>
        <v>0</v>
      </c>
      <c r="AF45" s="703">
        <f t="shared" ca="1" si="60"/>
        <v>0</v>
      </c>
      <c r="AG45" s="703">
        <f t="shared" ca="1" si="60"/>
        <v>0</v>
      </c>
      <c r="AH45" s="703">
        <f t="shared" ca="1" si="60"/>
        <v>0</v>
      </c>
      <c r="AI45" s="703">
        <f t="shared" ca="1" si="60"/>
        <v>0</v>
      </c>
      <c r="AJ45" s="703">
        <f t="shared" ca="1" si="60"/>
        <v>0</v>
      </c>
      <c r="AK45" s="703">
        <f t="shared" ca="1" si="60"/>
        <v>0</v>
      </c>
      <c r="AL45" s="703">
        <f t="shared" ca="1" si="60"/>
        <v>0</v>
      </c>
      <c r="AM45" s="703">
        <f t="shared" ca="1" si="60"/>
        <v>0</v>
      </c>
      <c r="AN45" s="703">
        <f t="shared" ca="1" si="60"/>
        <v>0</v>
      </c>
      <c r="AO45" s="703">
        <f t="shared" ca="1" si="60"/>
        <v>0</v>
      </c>
      <c r="AP45" s="703">
        <f t="shared" ca="1" si="60"/>
        <v>0</v>
      </c>
      <c r="AQ45" s="703">
        <f t="shared" ca="1" si="60"/>
        <v>0</v>
      </c>
      <c r="AR45" s="703">
        <f t="shared" ca="1" si="60"/>
        <v>0</v>
      </c>
      <c r="AS45" s="703">
        <f t="shared" ca="1" si="60"/>
        <v>0</v>
      </c>
      <c r="AT45" s="703">
        <f t="shared" ca="1" si="60"/>
        <v>0</v>
      </c>
      <c r="AU45" s="703">
        <f t="shared" ca="1" si="60"/>
        <v>0</v>
      </c>
      <c r="AV45" s="703">
        <f t="shared" ca="1" si="60"/>
        <v>0</v>
      </c>
      <c r="AW45" s="703">
        <f t="shared" ca="1" si="60"/>
        <v>0</v>
      </c>
      <c r="AX45" s="703">
        <f t="shared" ca="1" si="60"/>
        <v>0</v>
      </c>
      <c r="AY45" s="703">
        <f t="shared" ca="1" si="60"/>
        <v>0</v>
      </c>
      <c r="AZ45" s="703">
        <f t="shared" ca="1" si="60"/>
        <v>0</v>
      </c>
      <c r="BA45" s="703">
        <f t="shared" ca="1" si="60"/>
        <v>0</v>
      </c>
      <c r="BB45" s="703">
        <f t="shared" ca="1" si="60"/>
        <v>0</v>
      </c>
      <c r="BC45" s="703">
        <f t="shared" ca="1" si="60"/>
        <v>0</v>
      </c>
      <c r="BD45" s="703">
        <f t="shared" ca="1" si="60"/>
        <v>0</v>
      </c>
      <c r="BE45" s="703">
        <f t="shared" ca="1" si="60"/>
        <v>0</v>
      </c>
      <c r="BF45" s="703">
        <f t="shared" ca="1" si="60"/>
        <v>0</v>
      </c>
      <c r="BG45" s="703">
        <f t="shared" ca="1" si="60"/>
        <v>0</v>
      </c>
      <c r="BH45" s="703">
        <f t="shared" ca="1" si="60"/>
        <v>0</v>
      </c>
      <c r="BI45" s="703">
        <f t="shared" ca="1" si="60"/>
        <v>0</v>
      </c>
      <c r="BJ45" s="703">
        <f t="shared" ca="1" si="60"/>
        <v>0</v>
      </c>
      <c r="BK45" s="703">
        <f t="shared" ca="1" si="60"/>
        <v>0</v>
      </c>
      <c r="BL45" s="703">
        <f t="shared" ca="1" si="60"/>
        <v>0</v>
      </c>
      <c r="BM45" s="703">
        <f t="shared" ca="1" si="60"/>
        <v>0</v>
      </c>
      <c r="BN45" s="703">
        <f t="shared" ca="1" si="60"/>
        <v>0</v>
      </c>
      <c r="BO45" s="703">
        <f t="shared" ca="1" si="60"/>
        <v>0</v>
      </c>
      <c r="BP45" s="703">
        <f t="shared" ca="1" si="60"/>
        <v>0</v>
      </c>
      <c r="BQ45" s="703">
        <f t="shared" ca="1" si="60"/>
        <v>0</v>
      </c>
      <c r="BR45" s="703">
        <f t="shared" ca="1" si="60"/>
        <v>0</v>
      </c>
      <c r="BS45" s="703">
        <f t="shared" ca="1" si="60"/>
        <v>0</v>
      </c>
      <c r="BT45" s="703">
        <f t="shared" ca="1" si="60"/>
        <v>0</v>
      </c>
      <c r="BU45" s="703">
        <f t="shared" ref="BU45:DY45" ca="1" si="61">SUM(BU42:BU44)</f>
        <v>0</v>
      </c>
      <c r="BV45" s="703">
        <f t="shared" ca="1" si="61"/>
        <v>0</v>
      </c>
      <c r="BW45" s="703">
        <f t="shared" ca="1" si="61"/>
        <v>0</v>
      </c>
      <c r="BX45" s="703">
        <f t="shared" ca="1" si="61"/>
        <v>0</v>
      </c>
      <c r="BY45" s="703">
        <f t="shared" ca="1" si="61"/>
        <v>0</v>
      </c>
      <c r="BZ45" s="703">
        <f t="shared" ca="1" si="61"/>
        <v>0</v>
      </c>
      <c r="CA45" s="703">
        <f t="shared" ca="1" si="61"/>
        <v>0</v>
      </c>
      <c r="CB45" s="703">
        <f t="shared" ca="1" si="61"/>
        <v>0</v>
      </c>
      <c r="CC45" s="703">
        <f t="shared" ca="1" si="61"/>
        <v>0</v>
      </c>
      <c r="CD45" s="703">
        <f t="shared" ca="1" si="61"/>
        <v>0</v>
      </c>
      <c r="CE45" s="703">
        <f t="shared" ca="1" si="61"/>
        <v>0</v>
      </c>
      <c r="CF45" s="703">
        <f t="shared" ca="1" si="61"/>
        <v>0</v>
      </c>
      <c r="CG45" s="703">
        <f t="shared" ca="1" si="61"/>
        <v>0</v>
      </c>
      <c r="CH45" s="703">
        <f t="shared" ca="1" si="61"/>
        <v>0</v>
      </c>
      <c r="CI45" s="703">
        <f t="shared" ca="1" si="61"/>
        <v>0</v>
      </c>
      <c r="CJ45" s="703">
        <f t="shared" ca="1" si="61"/>
        <v>0</v>
      </c>
      <c r="CK45" s="703">
        <f t="shared" ca="1" si="61"/>
        <v>0</v>
      </c>
      <c r="CL45" s="703">
        <f t="shared" ca="1" si="61"/>
        <v>0</v>
      </c>
      <c r="CM45" s="703">
        <f t="shared" ca="1" si="61"/>
        <v>0</v>
      </c>
      <c r="CN45" s="703">
        <f t="shared" ca="1" si="61"/>
        <v>0</v>
      </c>
      <c r="CO45" s="703">
        <f t="shared" ca="1" si="61"/>
        <v>0</v>
      </c>
      <c r="CP45" s="703">
        <f t="shared" ca="1" si="61"/>
        <v>0</v>
      </c>
      <c r="CQ45" s="703">
        <f t="shared" ca="1" si="61"/>
        <v>0</v>
      </c>
      <c r="CR45" s="703">
        <f t="shared" ca="1" si="61"/>
        <v>0</v>
      </c>
      <c r="CS45" s="703">
        <f t="shared" ca="1" si="61"/>
        <v>0</v>
      </c>
      <c r="CT45" s="703">
        <f t="shared" ca="1" si="61"/>
        <v>0</v>
      </c>
      <c r="CU45" s="703">
        <f t="shared" ca="1" si="61"/>
        <v>0</v>
      </c>
      <c r="CV45" s="703">
        <f t="shared" ca="1" si="61"/>
        <v>0</v>
      </c>
      <c r="CW45" s="703">
        <f t="shared" ca="1" si="61"/>
        <v>0</v>
      </c>
      <c r="CX45" s="703">
        <f t="shared" ca="1" si="61"/>
        <v>0</v>
      </c>
      <c r="CY45" s="703">
        <f t="shared" ca="1" si="61"/>
        <v>0</v>
      </c>
      <c r="CZ45" s="703">
        <f t="shared" ca="1" si="61"/>
        <v>0</v>
      </c>
      <c r="DA45" s="703">
        <f t="shared" ca="1" si="61"/>
        <v>0</v>
      </c>
      <c r="DB45" s="703">
        <f t="shared" ca="1" si="61"/>
        <v>0</v>
      </c>
      <c r="DC45" s="703">
        <f t="shared" ca="1" si="61"/>
        <v>0</v>
      </c>
      <c r="DD45" s="703">
        <f t="shared" ca="1" si="61"/>
        <v>0</v>
      </c>
      <c r="DE45" s="703">
        <f t="shared" ca="1" si="61"/>
        <v>0</v>
      </c>
      <c r="DF45" s="703">
        <f t="shared" ca="1" si="61"/>
        <v>0</v>
      </c>
      <c r="DG45" s="703">
        <f t="shared" ca="1" si="61"/>
        <v>0</v>
      </c>
      <c r="DH45" s="703">
        <f t="shared" ca="1" si="61"/>
        <v>0</v>
      </c>
      <c r="DI45" s="703">
        <f t="shared" ca="1" si="61"/>
        <v>0</v>
      </c>
      <c r="DJ45" s="703">
        <f t="shared" ca="1" si="61"/>
        <v>0</v>
      </c>
      <c r="DK45" s="703">
        <f t="shared" ca="1" si="61"/>
        <v>0</v>
      </c>
      <c r="DL45" s="703">
        <f t="shared" ca="1" si="61"/>
        <v>0</v>
      </c>
      <c r="DM45" s="703">
        <f t="shared" ca="1" si="61"/>
        <v>0</v>
      </c>
      <c r="DN45" s="703">
        <f t="shared" ca="1" si="61"/>
        <v>0</v>
      </c>
      <c r="DO45" s="703">
        <f t="shared" ca="1" si="61"/>
        <v>0</v>
      </c>
      <c r="DP45" s="703">
        <f t="shared" ca="1" si="61"/>
        <v>0</v>
      </c>
      <c r="DQ45" s="703">
        <f t="shared" ca="1" si="61"/>
        <v>0</v>
      </c>
      <c r="DR45" s="703">
        <f t="shared" ca="1" si="61"/>
        <v>0</v>
      </c>
      <c r="DS45" s="703">
        <f t="shared" ca="1" si="61"/>
        <v>0</v>
      </c>
      <c r="DT45" s="703">
        <f t="shared" ca="1" si="61"/>
        <v>0</v>
      </c>
      <c r="DU45" s="703">
        <f t="shared" ca="1" si="61"/>
        <v>0</v>
      </c>
      <c r="DV45" s="703">
        <f t="shared" ca="1" si="61"/>
        <v>0</v>
      </c>
      <c r="DW45" s="703">
        <f t="shared" ca="1" si="61"/>
        <v>1.1641532182693481E-10</v>
      </c>
      <c r="DX45" s="703">
        <f t="shared" ca="1" si="61"/>
        <v>0</v>
      </c>
      <c r="DY45" s="703">
        <f t="shared" ca="1" si="61"/>
        <v>17389427.726796277</v>
      </c>
      <c r="DZ45" s="879"/>
      <c r="EA45" s="879"/>
    </row>
    <row r="46" spans="1:131" s="390" customFormat="1">
      <c r="A46" s="389"/>
      <c r="B46" s="389"/>
      <c r="C46" s="389"/>
      <c r="D46" s="389"/>
      <c r="E46" s="879"/>
      <c r="F46" s="879"/>
      <c r="G46" s="795"/>
      <c r="H46" s="834"/>
      <c r="I46" s="703"/>
      <c r="J46" s="703"/>
      <c r="K46" s="703"/>
      <c r="L46" s="703"/>
      <c r="M46" s="703"/>
      <c r="N46" s="703"/>
      <c r="O46" s="703"/>
      <c r="P46" s="703"/>
      <c r="Q46" s="703"/>
      <c r="R46" s="703"/>
      <c r="S46" s="703"/>
      <c r="T46" s="703"/>
      <c r="U46" s="703"/>
      <c r="V46" s="703"/>
      <c r="W46" s="703"/>
      <c r="X46" s="703"/>
      <c r="Y46" s="703"/>
      <c r="Z46" s="703"/>
      <c r="AA46" s="703"/>
      <c r="AB46" s="703"/>
      <c r="AC46" s="703"/>
      <c r="AD46" s="703"/>
      <c r="AE46" s="703"/>
      <c r="AF46" s="703"/>
      <c r="AG46" s="703"/>
      <c r="AH46" s="703"/>
      <c r="AI46" s="703"/>
      <c r="AJ46" s="703"/>
      <c r="AK46" s="703"/>
      <c r="AL46" s="703"/>
      <c r="AM46" s="703"/>
      <c r="AN46" s="703"/>
      <c r="AO46" s="703"/>
      <c r="AP46" s="703"/>
      <c r="AQ46" s="703"/>
      <c r="AR46" s="703"/>
      <c r="AS46" s="703"/>
      <c r="AT46" s="703"/>
      <c r="AU46" s="703"/>
      <c r="AV46" s="703"/>
      <c r="AW46" s="703"/>
      <c r="AX46" s="703"/>
      <c r="AY46" s="703"/>
      <c r="AZ46" s="703"/>
      <c r="BA46" s="703"/>
      <c r="BB46" s="703"/>
      <c r="BC46" s="703"/>
      <c r="BD46" s="703"/>
      <c r="BE46" s="703"/>
      <c r="BF46" s="703"/>
      <c r="BG46" s="703"/>
      <c r="BH46" s="703"/>
      <c r="BI46" s="703"/>
      <c r="BJ46" s="703"/>
      <c r="BK46" s="703"/>
      <c r="BL46" s="703"/>
      <c r="BM46" s="703"/>
      <c r="BN46" s="703"/>
      <c r="BO46" s="703"/>
      <c r="BP46" s="703"/>
      <c r="BQ46" s="703"/>
      <c r="BR46" s="703"/>
      <c r="BS46" s="703"/>
      <c r="BT46" s="703"/>
      <c r="BU46" s="703"/>
      <c r="BV46" s="703"/>
      <c r="BW46" s="703"/>
      <c r="BX46" s="703"/>
      <c r="BY46" s="703"/>
      <c r="BZ46" s="703"/>
      <c r="CA46" s="703"/>
      <c r="CB46" s="703"/>
      <c r="CC46" s="703"/>
      <c r="CD46" s="703"/>
      <c r="CE46" s="703"/>
      <c r="CF46" s="703"/>
      <c r="CG46" s="703"/>
      <c r="CH46" s="703"/>
      <c r="CI46" s="703"/>
      <c r="CJ46" s="703"/>
      <c r="CK46" s="703"/>
      <c r="CL46" s="703"/>
      <c r="CM46" s="703"/>
      <c r="CN46" s="703"/>
      <c r="CO46" s="703"/>
      <c r="CP46" s="703"/>
      <c r="CQ46" s="703"/>
      <c r="CR46" s="703"/>
      <c r="CS46" s="703"/>
      <c r="CT46" s="703"/>
      <c r="CU46" s="703"/>
      <c r="CV46" s="703"/>
      <c r="CW46" s="703"/>
      <c r="CX46" s="703"/>
      <c r="CY46" s="703"/>
      <c r="CZ46" s="703"/>
      <c r="DA46" s="703"/>
      <c r="DB46" s="703"/>
      <c r="DC46" s="703"/>
      <c r="DD46" s="703"/>
      <c r="DE46" s="703"/>
      <c r="DF46" s="703"/>
      <c r="DG46" s="703"/>
      <c r="DH46" s="703"/>
      <c r="DI46" s="703"/>
      <c r="DJ46" s="703"/>
      <c r="DK46" s="703"/>
      <c r="DL46" s="703"/>
      <c r="DM46" s="703"/>
      <c r="DN46" s="703"/>
      <c r="DO46" s="703"/>
      <c r="DP46" s="703"/>
      <c r="DQ46" s="703"/>
      <c r="DR46" s="703"/>
      <c r="DS46" s="703"/>
      <c r="DT46" s="703"/>
      <c r="DU46" s="703"/>
      <c r="DV46" s="703"/>
      <c r="DW46" s="703"/>
      <c r="DX46" s="703"/>
      <c r="DY46" s="703"/>
      <c r="DZ46" s="879"/>
      <c r="EA46" s="879"/>
    </row>
    <row r="47" spans="1:131" s="390" customFormat="1">
      <c r="A47" s="389"/>
      <c r="B47" s="389"/>
      <c r="C47" s="389"/>
      <c r="D47" s="389" t="s">
        <v>113</v>
      </c>
      <c r="E47" s="879"/>
      <c r="F47" s="879"/>
      <c r="G47" s="795">
        <f ca="1">SUM(I47:DY47)</f>
        <v>3604797.7391445264</v>
      </c>
      <c r="H47" s="834"/>
      <c r="I47" s="703">
        <f t="shared" ref="I47:BT47" si="62">I39-I45</f>
        <v>0</v>
      </c>
      <c r="J47" s="703">
        <f t="shared" ca="1" si="62"/>
        <v>0</v>
      </c>
      <c r="K47" s="703">
        <f t="shared" ca="1" si="62"/>
        <v>0</v>
      </c>
      <c r="L47" s="703">
        <f t="shared" ca="1" si="62"/>
        <v>0</v>
      </c>
      <c r="M47" s="703">
        <f t="shared" ca="1" si="62"/>
        <v>0</v>
      </c>
      <c r="N47" s="703">
        <f t="shared" ca="1" si="62"/>
        <v>0</v>
      </c>
      <c r="O47" s="703">
        <f t="shared" ca="1" si="62"/>
        <v>0</v>
      </c>
      <c r="P47" s="703">
        <f t="shared" ca="1" si="62"/>
        <v>0</v>
      </c>
      <c r="Q47" s="703">
        <f t="shared" ca="1" si="62"/>
        <v>0</v>
      </c>
      <c r="R47" s="703">
        <f t="shared" ca="1" si="62"/>
        <v>0</v>
      </c>
      <c r="S47" s="703">
        <f t="shared" ca="1" si="62"/>
        <v>0</v>
      </c>
      <c r="T47" s="703">
        <f t="shared" ca="1" si="62"/>
        <v>0</v>
      </c>
      <c r="U47" s="703">
        <f t="shared" ca="1" si="62"/>
        <v>0</v>
      </c>
      <c r="V47" s="703">
        <f t="shared" ca="1" si="62"/>
        <v>0</v>
      </c>
      <c r="W47" s="703">
        <f t="shared" ca="1" si="62"/>
        <v>0</v>
      </c>
      <c r="X47" s="703">
        <f t="shared" ca="1" si="62"/>
        <v>0</v>
      </c>
      <c r="Y47" s="703">
        <f t="shared" ca="1" si="62"/>
        <v>0</v>
      </c>
      <c r="Z47" s="703">
        <f t="shared" ca="1" si="62"/>
        <v>0</v>
      </c>
      <c r="AA47" s="703">
        <f t="shared" ca="1" si="62"/>
        <v>0</v>
      </c>
      <c r="AB47" s="703">
        <f t="shared" ca="1" si="62"/>
        <v>0</v>
      </c>
      <c r="AC47" s="703">
        <f t="shared" ca="1" si="62"/>
        <v>0</v>
      </c>
      <c r="AD47" s="703">
        <f t="shared" ca="1" si="62"/>
        <v>0</v>
      </c>
      <c r="AE47" s="703">
        <f t="shared" ca="1" si="62"/>
        <v>0</v>
      </c>
      <c r="AF47" s="703">
        <f t="shared" ca="1" si="62"/>
        <v>0</v>
      </c>
      <c r="AG47" s="703">
        <f t="shared" ca="1" si="62"/>
        <v>0</v>
      </c>
      <c r="AH47" s="703">
        <f t="shared" ca="1" si="62"/>
        <v>0</v>
      </c>
      <c r="AI47" s="703">
        <f t="shared" ca="1" si="62"/>
        <v>0</v>
      </c>
      <c r="AJ47" s="703">
        <f t="shared" ca="1" si="62"/>
        <v>0</v>
      </c>
      <c r="AK47" s="703">
        <f t="shared" ca="1" si="62"/>
        <v>0</v>
      </c>
      <c r="AL47" s="703">
        <f t="shared" ca="1" si="62"/>
        <v>0</v>
      </c>
      <c r="AM47" s="703">
        <f t="shared" ca="1" si="62"/>
        <v>0</v>
      </c>
      <c r="AN47" s="703">
        <f t="shared" ca="1" si="62"/>
        <v>0</v>
      </c>
      <c r="AO47" s="703">
        <f t="shared" ca="1" si="62"/>
        <v>0</v>
      </c>
      <c r="AP47" s="703">
        <f t="shared" ca="1" si="62"/>
        <v>0</v>
      </c>
      <c r="AQ47" s="703">
        <f t="shared" ca="1" si="62"/>
        <v>0</v>
      </c>
      <c r="AR47" s="703">
        <f t="shared" ca="1" si="62"/>
        <v>0</v>
      </c>
      <c r="AS47" s="703">
        <f t="shared" ca="1" si="62"/>
        <v>0</v>
      </c>
      <c r="AT47" s="703">
        <f t="shared" ca="1" si="62"/>
        <v>0</v>
      </c>
      <c r="AU47" s="703">
        <f t="shared" ca="1" si="62"/>
        <v>0</v>
      </c>
      <c r="AV47" s="703">
        <f t="shared" ca="1" si="62"/>
        <v>0</v>
      </c>
      <c r="AW47" s="703">
        <f t="shared" ca="1" si="62"/>
        <v>0</v>
      </c>
      <c r="AX47" s="703">
        <f t="shared" ca="1" si="62"/>
        <v>0</v>
      </c>
      <c r="AY47" s="703">
        <f t="shared" ca="1" si="62"/>
        <v>0</v>
      </c>
      <c r="AZ47" s="703">
        <f t="shared" ca="1" si="62"/>
        <v>0</v>
      </c>
      <c r="BA47" s="703">
        <f t="shared" ca="1" si="62"/>
        <v>0</v>
      </c>
      <c r="BB47" s="703">
        <f t="shared" ca="1" si="62"/>
        <v>0</v>
      </c>
      <c r="BC47" s="703">
        <f t="shared" ca="1" si="62"/>
        <v>0</v>
      </c>
      <c r="BD47" s="703">
        <f t="shared" ca="1" si="62"/>
        <v>0</v>
      </c>
      <c r="BE47" s="703">
        <f t="shared" ca="1" si="62"/>
        <v>0</v>
      </c>
      <c r="BF47" s="703">
        <f t="shared" ca="1" si="62"/>
        <v>0</v>
      </c>
      <c r="BG47" s="703">
        <f t="shared" ca="1" si="62"/>
        <v>0</v>
      </c>
      <c r="BH47" s="703">
        <f t="shared" ca="1" si="62"/>
        <v>0</v>
      </c>
      <c r="BI47" s="703">
        <f t="shared" ca="1" si="62"/>
        <v>0</v>
      </c>
      <c r="BJ47" s="703">
        <f t="shared" ca="1" si="62"/>
        <v>0</v>
      </c>
      <c r="BK47" s="703">
        <f t="shared" ca="1" si="62"/>
        <v>0</v>
      </c>
      <c r="BL47" s="703">
        <f t="shared" ca="1" si="62"/>
        <v>0</v>
      </c>
      <c r="BM47" s="703">
        <f t="shared" ca="1" si="62"/>
        <v>0</v>
      </c>
      <c r="BN47" s="703">
        <f t="shared" ca="1" si="62"/>
        <v>0</v>
      </c>
      <c r="BO47" s="703">
        <f t="shared" ca="1" si="62"/>
        <v>0</v>
      </c>
      <c r="BP47" s="703">
        <f t="shared" ca="1" si="62"/>
        <v>0</v>
      </c>
      <c r="BQ47" s="703">
        <f t="shared" ca="1" si="62"/>
        <v>0</v>
      </c>
      <c r="BR47" s="703">
        <f t="shared" ca="1" si="62"/>
        <v>0</v>
      </c>
      <c r="BS47" s="703">
        <f t="shared" ca="1" si="62"/>
        <v>0</v>
      </c>
      <c r="BT47" s="703">
        <f t="shared" ca="1" si="62"/>
        <v>0</v>
      </c>
      <c r="BU47" s="703">
        <f t="shared" ref="BU47:DY47" ca="1" si="63">BU39-BU45</f>
        <v>0</v>
      </c>
      <c r="BV47" s="703">
        <f t="shared" ca="1" si="63"/>
        <v>0</v>
      </c>
      <c r="BW47" s="703">
        <f t="shared" ca="1" si="63"/>
        <v>0</v>
      </c>
      <c r="BX47" s="703">
        <f t="shared" ca="1" si="63"/>
        <v>0</v>
      </c>
      <c r="BY47" s="703">
        <f t="shared" ca="1" si="63"/>
        <v>0</v>
      </c>
      <c r="BZ47" s="703">
        <f t="shared" ca="1" si="63"/>
        <v>0</v>
      </c>
      <c r="CA47" s="703">
        <f t="shared" ca="1" si="63"/>
        <v>0</v>
      </c>
      <c r="CB47" s="703">
        <f t="shared" ca="1" si="63"/>
        <v>0</v>
      </c>
      <c r="CC47" s="703">
        <f t="shared" ca="1" si="63"/>
        <v>0</v>
      </c>
      <c r="CD47" s="703">
        <f t="shared" ca="1" si="63"/>
        <v>0</v>
      </c>
      <c r="CE47" s="703">
        <f t="shared" ca="1" si="63"/>
        <v>0</v>
      </c>
      <c r="CF47" s="703">
        <f t="shared" ca="1" si="63"/>
        <v>0</v>
      </c>
      <c r="CG47" s="703">
        <f t="shared" ca="1" si="63"/>
        <v>0</v>
      </c>
      <c r="CH47" s="703">
        <f t="shared" ca="1" si="63"/>
        <v>0</v>
      </c>
      <c r="CI47" s="703">
        <f t="shared" ca="1" si="63"/>
        <v>0</v>
      </c>
      <c r="CJ47" s="703">
        <f t="shared" ca="1" si="63"/>
        <v>0</v>
      </c>
      <c r="CK47" s="703">
        <f t="shared" ca="1" si="63"/>
        <v>0</v>
      </c>
      <c r="CL47" s="703">
        <f t="shared" ca="1" si="63"/>
        <v>0</v>
      </c>
      <c r="CM47" s="703">
        <f t="shared" ca="1" si="63"/>
        <v>0</v>
      </c>
      <c r="CN47" s="703">
        <f t="shared" ca="1" si="63"/>
        <v>0</v>
      </c>
      <c r="CO47" s="703">
        <f t="shared" ca="1" si="63"/>
        <v>0</v>
      </c>
      <c r="CP47" s="703">
        <f t="shared" ca="1" si="63"/>
        <v>0</v>
      </c>
      <c r="CQ47" s="703">
        <f t="shared" ca="1" si="63"/>
        <v>0</v>
      </c>
      <c r="CR47" s="703">
        <f t="shared" ca="1" si="63"/>
        <v>0</v>
      </c>
      <c r="CS47" s="703">
        <f t="shared" ca="1" si="63"/>
        <v>0</v>
      </c>
      <c r="CT47" s="703">
        <f t="shared" ca="1" si="63"/>
        <v>0</v>
      </c>
      <c r="CU47" s="703">
        <f t="shared" ca="1" si="63"/>
        <v>0</v>
      </c>
      <c r="CV47" s="703">
        <f t="shared" ca="1" si="63"/>
        <v>0</v>
      </c>
      <c r="CW47" s="703">
        <f t="shared" ca="1" si="63"/>
        <v>0</v>
      </c>
      <c r="CX47" s="703">
        <f t="shared" ca="1" si="63"/>
        <v>0</v>
      </c>
      <c r="CY47" s="703">
        <f t="shared" ca="1" si="63"/>
        <v>0</v>
      </c>
      <c r="CZ47" s="703">
        <f t="shared" ca="1" si="63"/>
        <v>0</v>
      </c>
      <c r="DA47" s="703">
        <f t="shared" ca="1" si="63"/>
        <v>0</v>
      </c>
      <c r="DB47" s="703">
        <f t="shared" ca="1" si="63"/>
        <v>0</v>
      </c>
      <c r="DC47" s="703">
        <f t="shared" ca="1" si="63"/>
        <v>0</v>
      </c>
      <c r="DD47" s="703">
        <f t="shared" ca="1" si="63"/>
        <v>0</v>
      </c>
      <c r="DE47" s="703">
        <f t="shared" ca="1" si="63"/>
        <v>0</v>
      </c>
      <c r="DF47" s="703">
        <f t="shared" ca="1" si="63"/>
        <v>0</v>
      </c>
      <c r="DG47" s="703">
        <f t="shared" ca="1" si="63"/>
        <v>0</v>
      </c>
      <c r="DH47" s="703">
        <f t="shared" ca="1" si="63"/>
        <v>0</v>
      </c>
      <c r="DI47" s="703">
        <f t="shared" ca="1" si="63"/>
        <v>0</v>
      </c>
      <c r="DJ47" s="703">
        <f t="shared" ca="1" si="63"/>
        <v>0</v>
      </c>
      <c r="DK47" s="703">
        <f t="shared" ca="1" si="63"/>
        <v>0</v>
      </c>
      <c r="DL47" s="703">
        <f t="shared" ca="1" si="63"/>
        <v>0</v>
      </c>
      <c r="DM47" s="703">
        <f t="shared" ca="1" si="63"/>
        <v>0</v>
      </c>
      <c r="DN47" s="703">
        <f t="shared" ca="1" si="63"/>
        <v>0</v>
      </c>
      <c r="DO47" s="703">
        <f t="shared" ca="1" si="63"/>
        <v>0</v>
      </c>
      <c r="DP47" s="703">
        <f t="shared" ca="1" si="63"/>
        <v>0</v>
      </c>
      <c r="DQ47" s="703">
        <f t="shared" ca="1" si="63"/>
        <v>0</v>
      </c>
      <c r="DR47" s="703">
        <f t="shared" ca="1" si="63"/>
        <v>0</v>
      </c>
      <c r="DS47" s="703">
        <f t="shared" ca="1" si="63"/>
        <v>0</v>
      </c>
      <c r="DT47" s="703">
        <f t="shared" ca="1" si="63"/>
        <v>0</v>
      </c>
      <c r="DU47" s="703">
        <f t="shared" ca="1" si="63"/>
        <v>0</v>
      </c>
      <c r="DV47" s="703">
        <f t="shared" ca="1" si="63"/>
        <v>0</v>
      </c>
      <c r="DW47" s="703">
        <f t="shared" ca="1" si="63"/>
        <v>-2.0372681319713593E-10</v>
      </c>
      <c r="DX47" s="703">
        <f t="shared" ca="1" si="63"/>
        <v>0</v>
      </c>
      <c r="DY47" s="703">
        <f t="shared" ca="1" si="63"/>
        <v>3604797.7391445264</v>
      </c>
      <c r="DZ47" s="879"/>
      <c r="EA47" s="879"/>
    </row>
    <row r="48" spans="1:131" s="390" customFormat="1">
      <c r="A48" s="389"/>
      <c r="B48" s="389"/>
      <c r="C48" s="389"/>
      <c r="D48" s="389"/>
      <c r="E48" s="879"/>
      <c r="F48" s="879"/>
      <c r="G48" s="795"/>
      <c r="H48" s="834"/>
      <c r="I48" s="703"/>
      <c r="J48" s="703"/>
      <c r="K48" s="703"/>
      <c r="L48" s="703"/>
      <c r="M48" s="703"/>
      <c r="N48" s="703"/>
      <c r="O48" s="703"/>
      <c r="P48" s="703"/>
      <c r="Q48" s="703"/>
      <c r="R48" s="703"/>
      <c r="S48" s="703"/>
      <c r="T48" s="703"/>
      <c r="U48" s="703"/>
      <c r="V48" s="703"/>
      <c r="W48" s="703"/>
      <c r="X48" s="703"/>
      <c r="Y48" s="703"/>
      <c r="Z48" s="703"/>
      <c r="AA48" s="703"/>
      <c r="AB48" s="703"/>
      <c r="AC48" s="703"/>
      <c r="AD48" s="703"/>
      <c r="AE48" s="703"/>
      <c r="AF48" s="703"/>
      <c r="AG48" s="703"/>
      <c r="AH48" s="703"/>
      <c r="AI48" s="703"/>
      <c r="AJ48" s="703"/>
      <c r="AK48" s="703"/>
      <c r="AL48" s="703"/>
      <c r="AM48" s="703"/>
      <c r="AN48" s="703"/>
      <c r="AO48" s="703"/>
      <c r="AP48" s="703"/>
      <c r="AQ48" s="703"/>
      <c r="AR48" s="703"/>
      <c r="AS48" s="703"/>
      <c r="AT48" s="703"/>
      <c r="AU48" s="703"/>
      <c r="AV48" s="703"/>
      <c r="AW48" s="703"/>
      <c r="AX48" s="703"/>
      <c r="AY48" s="703"/>
      <c r="AZ48" s="703"/>
      <c r="BA48" s="703"/>
      <c r="BB48" s="703"/>
      <c r="BC48" s="703"/>
      <c r="BD48" s="703"/>
      <c r="BE48" s="703"/>
      <c r="BF48" s="703"/>
      <c r="BG48" s="703"/>
      <c r="BH48" s="703"/>
      <c r="BI48" s="703"/>
      <c r="BJ48" s="703"/>
      <c r="BK48" s="703"/>
      <c r="BL48" s="703"/>
      <c r="BM48" s="703"/>
      <c r="BN48" s="703"/>
      <c r="BO48" s="703"/>
      <c r="BP48" s="703"/>
      <c r="BQ48" s="703"/>
      <c r="BR48" s="703"/>
      <c r="BS48" s="703"/>
      <c r="BT48" s="703"/>
      <c r="BU48" s="703"/>
      <c r="BV48" s="703"/>
      <c r="BW48" s="703"/>
      <c r="BX48" s="703"/>
      <c r="BY48" s="703"/>
      <c r="BZ48" s="703"/>
      <c r="CA48" s="703"/>
      <c r="CB48" s="703"/>
      <c r="CC48" s="703"/>
      <c r="CD48" s="703"/>
      <c r="CE48" s="703"/>
      <c r="CF48" s="703"/>
      <c r="CG48" s="703"/>
      <c r="CH48" s="703"/>
      <c r="CI48" s="703"/>
      <c r="CJ48" s="703"/>
      <c r="CK48" s="703"/>
      <c r="CL48" s="703"/>
      <c r="CM48" s="703"/>
      <c r="CN48" s="703"/>
      <c r="CO48" s="703"/>
      <c r="CP48" s="703"/>
      <c r="CQ48" s="703"/>
      <c r="CR48" s="703"/>
      <c r="CS48" s="703"/>
      <c r="CT48" s="703"/>
      <c r="CU48" s="703"/>
      <c r="CV48" s="703"/>
      <c r="CW48" s="703"/>
      <c r="CX48" s="703"/>
      <c r="CY48" s="703"/>
      <c r="CZ48" s="703"/>
      <c r="DA48" s="703"/>
      <c r="DB48" s="703"/>
      <c r="DC48" s="703"/>
      <c r="DD48" s="703"/>
      <c r="DE48" s="703"/>
      <c r="DF48" s="703"/>
      <c r="DG48" s="703"/>
      <c r="DH48" s="703"/>
      <c r="DI48" s="703"/>
      <c r="DJ48" s="703"/>
      <c r="DK48" s="703"/>
      <c r="DL48" s="703"/>
      <c r="DM48" s="703"/>
      <c r="DN48" s="703"/>
      <c r="DO48" s="703"/>
      <c r="DP48" s="703"/>
      <c r="DQ48" s="703"/>
      <c r="DR48" s="703"/>
      <c r="DS48" s="703"/>
      <c r="DT48" s="703"/>
      <c r="DU48" s="703"/>
      <c r="DV48" s="703"/>
      <c r="DW48" s="703"/>
      <c r="DX48" s="703"/>
      <c r="DY48" s="703"/>
      <c r="DZ48" s="879"/>
      <c r="EA48" s="879"/>
    </row>
    <row r="49" spans="1:131" s="390" customFormat="1">
      <c r="A49" s="389"/>
      <c r="B49" s="433"/>
      <c r="C49" s="389"/>
      <c r="D49" s="433" t="s">
        <v>109</v>
      </c>
      <c r="E49" s="879"/>
      <c r="F49" s="879"/>
      <c r="G49" s="795"/>
      <c r="H49" s="834"/>
      <c r="I49" s="703"/>
      <c r="J49" s="703"/>
      <c r="K49" s="703"/>
      <c r="L49" s="703"/>
      <c r="M49" s="703"/>
      <c r="N49" s="703"/>
      <c r="O49" s="703"/>
      <c r="P49" s="703"/>
      <c r="Q49" s="703"/>
      <c r="R49" s="703"/>
      <c r="S49" s="703"/>
      <c r="T49" s="703"/>
      <c r="U49" s="703"/>
      <c r="V49" s="703"/>
      <c r="W49" s="703"/>
      <c r="X49" s="703"/>
      <c r="Y49" s="703"/>
      <c r="Z49" s="703"/>
      <c r="AA49" s="703"/>
      <c r="AB49" s="703"/>
      <c r="AC49" s="703"/>
      <c r="AD49" s="703"/>
      <c r="AE49" s="703"/>
      <c r="AF49" s="703"/>
      <c r="AG49" s="703"/>
      <c r="AH49" s="703"/>
      <c r="AI49" s="703"/>
      <c r="AJ49" s="703"/>
      <c r="AK49" s="703"/>
      <c r="AL49" s="703"/>
      <c r="AM49" s="703"/>
      <c r="AN49" s="703"/>
      <c r="AO49" s="703"/>
      <c r="AP49" s="703"/>
      <c r="AQ49" s="703"/>
      <c r="AR49" s="703"/>
      <c r="AS49" s="703"/>
      <c r="AT49" s="703"/>
      <c r="AU49" s="703"/>
      <c r="AV49" s="703"/>
      <c r="AW49" s="703"/>
      <c r="AX49" s="703"/>
      <c r="AY49" s="703"/>
      <c r="AZ49" s="703"/>
      <c r="BA49" s="703"/>
      <c r="BB49" s="703"/>
      <c r="BC49" s="703"/>
      <c r="BD49" s="703"/>
      <c r="BE49" s="703"/>
      <c r="BF49" s="703"/>
      <c r="BG49" s="703"/>
      <c r="BH49" s="703"/>
      <c r="BI49" s="703"/>
      <c r="BJ49" s="703"/>
      <c r="BK49" s="703"/>
      <c r="BL49" s="703"/>
      <c r="BM49" s="703"/>
      <c r="BN49" s="703"/>
      <c r="BO49" s="703"/>
      <c r="BP49" s="703"/>
      <c r="BQ49" s="703"/>
      <c r="BR49" s="703"/>
      <c r="BS49" s="703"/>
      <c r="BT49" s="703"/>
      <c r="BU49" s="703"/>
      <c r="BV49" s="703"/>
      <c r="BW49" s="703"/>
      <c r="BX49" s="703"/>
      <c r="BY49" s="703"/>
      <c r="BZ49" s="703"/>
      <c r="CA49" s="703"/>
      <c r="CB49" s="703"/>
      <c r="CC49" s="703"/>
      <c r="CD49" s="703"/>
      <c r="CE49" s="703"/>
      <c r="CF49" s="703"/>
      <c r="CG49" s="703"/>
      <c r="CH49" s="703"/>
      <c r="CI49" s="703"/>
      <c r="CJ49" s="703"/>
      <c r="CK49" s="703"/>
      <c r="CL49" s="703"/>
      <c r="CM49" s="703"/>
      <c r="CN49" s="703"/>
      <c r="CO49" s="703"/>
      <c r="CP49" s="703"/>
      <c r="CQ49" s="703"/>
      <c r="CR49" s="703"/>
      <c r="CS49" s="703"/>
      <c r="CT49" s="703"/>
      <c r="CU49" s="703"/>
      <c r="CV49" s="703"/>
      <c r="CW49" s="703"/>
      <c r="CX49" s="703"/>
      <c r="CY49" s="703"/>
      <c r="CZ49" s="703"/>
      <c r="DA49" s="703"/>
      <c r="DB49" s="703"/>
      <c r="DC49" s="703"/>
      <c r="DD49" s="703"/>
      <c r="DE49" s="703"/>
      <c r="DF49" s="703"/>
      <c r="DG49" s="703"/>
      <c r="DH49" s="703"/>
      <c r="DI49" s="703"/>
      <c r="DJ49" s="703"/>
      <c r="DK49" s="703"/>
      <c r="DL49" s="703"/>
      <c r="DM49" s="703"/>
      <c r="DN49" s="703"/>
      <c r="DO49" s="703"/>
      <c r="DP49" s="703"/>
      <c r="DQ49" s="703"/>
      <c r="DR49" s="703"/>
      <c r="DS49" s="703"/>
      <c r="DT49" s="703"/>
      <c r="DU49" s="703"/>
      <c r="DV49" s="703"/>
      <c r="DW49" s="703"/>
      <c r="DX49" s="703"/>
      <c r="DY49" s="703"/>
      <c r="DZ49" s="879"/>
      <c r="EA49" s="879"/>
    </row>
    <row r="50" spans="1:131" s="390" customFormat="1">
      <c r="A50" s="389"/>
      <c r="B50" s="389"/>
      <c r="C50" s="389"/>
      <c r="D50" s="389" t="str">
        <f>CONCATENATE($J$7&amp;" (Pro Rata)")</f>
        <v>Outside Investor (Pro Rata)</v>
      </c>
      <c r="E50" s="879"/>
      <c r="F50" s="879"/>
      <c r="G50" s="795">
        <f t="shared" ref="G50:G53" ca="1" si="64">SUM(I50:DY50)</f>
        <v>2027698.7282687961</v>
      </c>
      <c r="H50" s="834"/>
      <c r="I50" s="703">
        <f t="shared" ref="I50:AN50" si="65">I47*$J$12</f>
        <v>0</v>
      </c>
      <c r="J50" s="703">
        <f t="shared" ca="1" si="65"/>
        <v>0</v>
      </c>
      <c r="K50" s="703">
        <f t="shared" ca="1" si="65"/>
        <v>0</v>
      </c>
      <c r="L50" s="703">
        <f t="shared" ca="1" si="65"/>
        <v>0</v>
      </c>
      <c r="M50" s="703">
        <f t="shared" ca="1" si="65"/>
        <v>0</v>
      </c>
      <c r="N50" s="703">
        <f t="shared" ca="1" si="65"/>
        <v>0</v>
      </c>
      <c r="O50" s="703">
        <f t="shared" ca="1" si="65"/>
        <v>0</v>
      </c>
      <c r="P50" s="703">
        <f t="shared" ca="1" si="65"/>
        <v>0</v>
      </c>
      <c r="Q50" s="703">
        <f t="shared" ca="1" si="65"/>
        <v>0</v>
      </c>
      <c r="R50" s="703">
        <f t="shared" ca="1" si="65"/>
        <v>0</v>
      </c>
      <c r="S50" s="703">
        <f t="shared" ca="1" si="65"/>
        <v>0</v>
      </c>
      <c r="T50" s="703">
        <f t="shared" ca="1" si="65"/>
        <v>0</v>
      </c>
      <c r="U50" s="703">
        <f t="shared" ca="1" si="65"/>
        <v>0</v>
      </c>
      <c r="V50" s="703">
        <f t="shared" ca="1" si="65"/>
        <v>0</v>
      </c>
      <c r="W50" s="703">
        <f t="shared" ca="1" si="65"/>
        <v>0</v>
      </c>
      <c r="X50" s="703">
        <f t="shared" ca="1" si="65"/>
        <v>0</v>
      </c>
      <c r="Y50" s="703">
        <f t="shared" ca="1" si="65"/>
        <v>0</v>
      </c>
      <c r="Z50" s="703">
        <f t="shared" ca="1" si="65"/>
        <v>0</v>
      </c>
      <c r="AA50" s="703">
        <f t="shared" ca="1" si="65"/>
        <v>0</v>
      </c>
      <c r="AB50" s="703">
        <f t="shared" ca="1" si="65"/>
        <v>0</v>
      </c>
      <c r="AC50" s="703">
        <f t="shared" ca="1" si="65"/>
        <v>0</v>
      </c>
      <c r="AD50" s="703">
        <f t="shared" ca="1" si="65"/>
        <v>0</v>
      </c>
      <c r="AE50" s="703">
        <f t="shared" ca="1" si="65"/>
        <v>0</v>
      </c>
      <c r="AF50" s="703">
        <f t="shared" ca="1" si="65"/>
        <v>0</v>
      </c>
      <c r="AG50" s="703">
        <f t="shared" ca="1" si="65"/>
        <v>0</v>
      </c>
      <c r="AH50" s="703">
        <f t="shared" ca="1" si="65"/>
        <v>0</v>
      </c>
      <c r="AI50" s="703">
        <f t="shared" ca="1" si="65"/>
        <v>0</v>
      </c>
      <c r="AJ50" s="703">
        <f t="shared" ca="1" si="65"/>
        <v>0</v>
      </c>
      <c r="AK50" s="703">
        <f t="shared" ca="1" si="65"/>
        <v>0</v>
      </c>
      <c r="AL50" s="703">
        <f t="shared" ca="1" si="65"/>
        <v>0</v>
      </c>
      <c r="AM50" s="703">
        <f t="shared" ca="1" si="65"/>
        <v>0</v>
      </c>
      <c r="AN50" s="703">
        <f t="shared" ca="1" si="65"/>
        <v>0</v>
      </c>
      <c r="AO50" s="703">
        <f t="shared" ref="AO50:BT50" ca="1" si="66">AO47*$J$12</f>
        <v>0</v>
      </c>
      <c r="AP50" s="703">
        <f t="shared" ca="1" si="66"/>
        <v>0</v>
      </c>
      <c r="AQ50" s="703">
        <f t="shared" ca="1" si="66"/>
        <v>0</v>
      </c>
      <c r="AR50" s="703">
        <f t="shared" ca="1" si="66"/>
        <v>0</v>
      </c>
      <c r="AS50" s="703">
        <f t="shared" ca="1" si="66"/>
        <v>0</v>
      </c>
      <c r="AT50" s="703">
        <f t="shared" ca="1" si="66"/>
        <v>0</v>
      </c>
      <c r="AU50" s="703">
        <f t="shared" ca="1" si="66"/>
        <v>0</v>
      </c>
      <c r="AV50" s="703">
        <f t="shared" ca="1" si="66"/>
        <v>0</v>
      </c>
      <c r="AW50" s="703">
        <f t="shared" ca="1" si="66"/>
        <v>0</v>
      </c>
      <c r="AX50" s="703">
        <f t="shared" ca="1" si="66"/>
        <v>0</v>
      </c>
      <c r="AY50" s="703">
        <f t="shared" ca="1" si="66"/>
        <v>0</v>
      </c>
      <c r="AZ50" s="703">
        <f t="shared" ca="1" si="66"/>
        <v>0</v>
      </c>
      <c r="BA50" s="703">
        <f t="shared" ca="1" si="66"/>
        <v>0</v>
      </c>
      <c r="BB50" s="703">
        <f t="shared" ca="1" si="66"/>
        <v>0</v>
      </c>
      <c r="BC50" s="703">
        <f t="shared" ca="1" si="66"/>
        <v>0</v>
      </c>
      <c r="BD50" s="703">
        <f t="shared" ca="1" si="66"/>
        <v>0</v>
      </c>
      <c r="BE50" s="703">
        <f t="shared" ca="1" si="66"/>
        <v>0</v>
      </c>
      <c r="BF50" s="703">
        <f t="shared" ca="1" si="66"/>
        <v>0</v>
      </c>
      <c r="BG50" s="703">
        <f t="shared" ca="1" si="66"/>
        <v>0</v>
      </c>
      <c r="BH50" s="703">
        <f t="shared" ca="1" si="66"/>
        <v>0</v>
      </c>
      <c r="BI50" s="703">
        <f t="shared" ca="1" si="66"/>
        <v>0</v>
      </c>
      <c r="BJ50" s="703">
        <f t="shared" ca="1" si="66"/>
        <v>0</v>
      </c>
      <c r="BK50" s="703">
        <f t="shared" ca="1" si="66"/>
        <v>0</v>
      </c>
      <c r="BL50" s="703">
        <f t="shared" ca="1" si="66"/>
        <v>0</v>
      </c>
      <c r="BM50" s="703">
        <f t="shared" ca="1" si="66"/>
        <v>0</v>
      </c>
      <c r="BN50" s="703">
        <f t="shared" ca="1" si="66"/>
        <v>0</v>
      </c>
      <c r="BO50" s="703">
        <f t="shared" ca="1" si="66"/>
        <v>0</v>
      </c>
      <c r="BP50" s="703">
        <f t="shared" ca="1" si="66"/>
        <v>0</v>
      </c>
      <c r="BQ50" s="703">
        <f t="shared" ca="1" si="66"/>
        <v>0</v>
      </c>
      <c r="BR50" s="703">
        <f t="shared" ca="1" si="66"/>
        <v>0</v>
      </c>
      <c r="BS50" s="703">
        <f t="shared" ca="1" si="66"/>
        <v>0</v>
      </c>
      <c r="BT50" s="703">
        <f t="shared" ca="1" si="66"/>
        <v>0</v>
      </c>
      <c r="BU50" s="703">
        <f t="shared" ref="BU50:CZ50" ca="1" si="67">BU47*$J$12</f>
        <v>0</v>
      </c>
      <c r="BV50" s="703">
        <f t="shared" ca="1" si="67"/>
        <v>0</v>
      </c>
      <c r="BW50" s="703">
        <f t="shared" ca="1" si="67"/>
        <v>0</v>
      </c>
      <c r="BX50" s="703">
        <f t="shared" ca="1" si="67"/>
        <v>0</v>
      </c>
      <c r="BY50" s="703">
        <f t="shared" ca="1" si="67"/>
        <v>0</v>
      </c>
      <c r="BZ50" s="703">
        <f t="shared" ca="1" si="67"/>
        <v>0</v>
      </c>
      <c r="CA50" s="703">
        <f t="shared" ca="1" si="67"/>
        <v>0</v>
      </c>
      <c r="CB50" s="703">
        <f t="shared" ca="1" si="67"/>
        <v>0</v>
      </c>
      <c r="CC50" s="703">
        <f t="shared" ca="1" si="67"/>
        <v>0</v>
      </c>
      <c r="CD50" s="703">
        <f t="shared" ca="1" si="67"/>
        <v>0</v>
      </c>
      <c r="CE50" s="703">
        <f t="shared" ca="1" si="67"/>
        <v>0</v>
      </c>
      <c r="CF50" s="703">
        <f t="shared" ca="1" si="67"/>
        <v>0</v>
      </c>
      <c r="CG50" s="703">
        <f t="shared" ca="1" si="67"/>
        <v>0</v>
      </c>
      <c r="CH50" s="703">
        <f t="shared" ca="1" si="67"/>
        <v>0</v>
      </c>
      <c r="CI50" s="703">
        <f t="shared" ca="1" si="67"/>
        <v>0</v>
      </c>
      <c r="CJ50" s="703">
        <f t="shared" ca="1" si="67"/>
        <v>0</v>
      </c>
      <c r="CK50" s="703">
        <f t="shared" ca="1" si="67"/>
        <v>0</v>
      </c>
      <c r="CL50" s="703">
        <f t="shared" ca="1" si="67"/>
        <v>0</v>
      </c>
      <c r="CM50" s="703">
        <f t="shared" ca="1" si="67"/>
        <v>0</v>
      </c>
      <c r="CN50" s="703">
        <f t="shared" ca="1" si="67"/>
        <v>0</v>
      </c>
      <c r="CO50" s="703">
        <f t="shared" ca="1" si="67"/>
        <v>0</v>
      </c>
      <c r="CP50" s="703">
        <f t="shared" ca="1" si="67"/>
        <v>0</v>
      </c>
      <c r="CQ50" s="703">
        <f t="shared" ca="1" si="67"/>
        <v>0</v>
      </c>
      <c r="CR50" s="703">
        <f t="shared" ca="1" si="67"/>
        <v>0</v>
      </c>
      <c r="CS50" s="703">
        <f t="shared" ca="1" si="67"/>
        <v>0</v>
      </c>
      <c r="CT50" s="703">
        <f t="shared" ca="1" si="67"/>
        <v>0</v>
      </c>
      <c r="CU50" s="703">
        <f t="shared" ca="1" si="67"/>
        <v>0</v>
      </c>
      <c r="CV50" s="703">
        <f t="shared" ca="1" si="67"/>
        <v>0</v>
      </c>
      <c r="CW50" s="703">
        <f t="shared" ca="1" si="67"/>
        <v>0</v>
      </c>
      <c r="CX50" s="703">
        <f t="shared" ca="1" si="67"/>
        <v>0</v>
      </c>
      <c r="CY50" s="703">
        <f t="shared" ca="1" si="67"/>
        <v>0</v>
      </c>
      <c r="CZ50" s="703">
        <f t="shared" ca="1" si="67"/>
        <v>0</v>
      </c>
      <c r="DA50" s="703">
        <f t="shared" ref="DA50:DY50" ca="1" si="68">DA47*$J$12</f>
        <v>0</v>
      </c>
      <c r="DB50" s="703">
        <f t="shared" ca="1" si="68"/>
        <v>0</v>
      </c>
      <c r="DC50" s="703">
        <f t="shared" ca="1" si="68"/>
        <v>0</v>
      </c>
      <c r="DD50" s="703">
        <f t="shared" ca="1" si="68"/>
        <v>0</v>
      </c>
      <c r="DE50" s="703">
        <f t="shared" ca="1" si="68"/>
        <v>0</v>
      </c>
      <c r="DF50" s="703">
        <f t="shared" ca="1" si="68"/>
        <v>0</v>
      </c>
      <c r="DG50" s="703">
        <f t="shared" ca="1" si="68"/>
        <v>0</v>
      </c>
      <c r="DH50" s="703">
        <f t="shared" ca="1" si="68"/>
        <v>0</v>
      </c>
      <c r="DI50" s="703">
        <f t="shared" ca="1" si="68"/>
        <v>0</v>
      </c>
      <c r="DJ50" s="703">
        <f t="shared" ca="1" si="68"/>
        <v>0</v>
      </c>
      <c r="DK50" s="703">
        <f t="shared" ca="1" si="68"/>
        <v>0</v>
      </c>
      <c r="DL50" s="703">
        <f t="shared" ca="1" si="68"/>
        <v>0</v>
      </c>
      <c r="DM50" s="703">
        <f t="shared" ca="1" si="68"/>
        <v>0</v>
      </c>
      <c r="DN50" s="703">
        <f t="shared" ca="1" si="68"/>
        <v>0</v>
      </c>
      <c r="DO50" s="703">
        <f t="shared" ca="1" si="68"/>
        <v>0</v>
      </c>
      <c r="DP50" s="703">
        <f t="shared" ca="1" si="68"/>
        <v>0</v>
      </c>
      <c r="DQ50" s="703">
        <f t="shared" ca="1" si="68"/>
        <v>0</v>
      </c>
      <c r="DR50" s="703">
        <f t="shared" ca="1" si="68"/>
        <v>0</v>
      </c>
      <c r="DS50" s="703">
        <f t="shared" ca="1" si="68"/>
        <v>0</v>
      </c>
      <c r="DT50" s="703">
        <f t="shared" ca="1" si="68"/>
        <v>0</v>
      </c>
      <c r="DU50" s="703">
        <f t="shared" ca="1" si="68"/>
        <v>0</v>
      </c>
      <c r="DV50" s="703">
        <f t="shared" ca="1" si="68"/>
        <v>0</v>
      </c>
      <c r="DW50" s="703">
        <f t="shared" ca="1" si="68"/>
        <v>-1.1459633242338896E-10</v>
      </c>
      <c r="DX50" s="703">
        <f t="shared" ca="1" si="68"/>
        <v>0</v>
      </c>
      <c r="DY50" s="703">
        <f t="shared" ca="1" si="68"/>
        <v>2027698.7282687961</v>
      </c>
      <c r="DZ50" s="879"/>
      <c r="EA50" s="879"/>
    </row>
    <row r="51" spans="1:131" s="390" customFormat="1">
      <c r="A51" s="389"/>
      <c r="B51" s="389"/>
      <c r="C51" s="389"/>
      <c r="D51" s="389" t="str">
        <f>CONCATENATE($K$7&amp;" (Pro Rata)")</f>
        <v>Sponsor Investors (Pro Rata)</v>
      </c>
      <c r="E51" s="879"/>
      <c r="F51" s="879"/>
      <c r="G51" s="795">
        <f t="shared" ca="1" si="64"/>
        <v>225299.85869653284</v>
      </c>
      <c r="H51" s="834"/>
      <c r="I51" s="703">
        <f t="shared" ref="I51:AN51" si="69">I47*$K$12</f>
        <v>0</v>
      </c>
      <c r="J51" s="703">
        <f t="shared" ca="1" si="69"/>
        <v>0</v>
      </c>
      <c r="K51" s="703">
        <f t="shared" ca="1" si="69"/>
        <v>0</v>
      </c>
      <c r="L51" s="703">
        <f t="shared" ca="1" si="69"/>
        <v>0</v>
      </c>
      <c r="M51" s="703">
        <f t="shared" ca="1" si="69"/>
        <v>0</v>
      </c>
      <c r="N51" s="703">
        <f t="shared" ca="1" si="69"/>
        <v>0</v>
      </c>
      <c r="O51" s="703">
        <f t="shared" ca="1" si="69"/>
        <v>0</v>
      </c>
      <c r="P51" s="703">
        <f t="shared" ca="1" si="69"/>
        <v>0</v>
      </c>
      <c r="Q51" s="703">
        <f t="shared" ca="1" si="69"/>
        <v>0</v>
      </c>
      <c r="R51" s="703">
        <f t="shared" ca="1" si="69"/>
        <v>0</v>
      </c>
      <c r="S51" s="703">
        <f t="shared" ca="1" si="69"/>
        <v>0</v>
      </c>
      <c r="T51" s="703">
        <f t="shared" ca="1" si="69"/>
        <v>0</v>
      </c>
      <c r="U51" s="703">
        <f t="shared" ca="1" si="69"/>
        <v>0</v>
      </c>
      <c r="V51" s="703">
        <f t="shared" ca="1" si="69"/>
        <v>0</v>
      </c>
      <c r="W51" s="703">
        <f t="shared" ca="1" si="69"/>
        <v>0</v>
      </c>
      <c r="X51" s="703">
        <f t="shared" ca="1" si="69"/>
        <v>0</v>
      </c>
      <c r="Y51" s="703">
        <f t="shared" ca="1" si="69"/>
        <v>0</v>
      </c>
      <c r="Z51" s="703">
        <f t="shared" ca="1" si="69"/>
        <v>0</v>
      </c>
      <c r="AA51" s="703">
        <f t="shared" ca="1" si="69"/>
        <v>0</v>
      </c>
      <c r="AB51" s="703">
        <f t="shared" ca="1" si="69"/>
        <v>0</v>
      </c>
      <c r="AC51" s="703">
        <f t="shared" ca="1" si="69"/>
        <v>0</v>
      </c>
      <c r="AD51" s="703">
        <f t="shared" ca="1" si="69"/>
        <v>0</v>
      </c>
      <c r="AE51" s="703">
        <f t="shared" ca="1" si="69"/>
        <v>0</v>
      </c>
      <c r="AF51" s="703">
        <f t="shared" ca="1" si="69"/>
        <v>0</v>
      </c>
      <c r="AG51" s="703">
        <f t="shared" ca="1" si="69"/>
        <v>0</v>
      </c>
      <c r="AH51" s="703">
        <f t="shared" ca="1" si="69"/>
        <v>0</v>
      </c>
      <c r="AI51" s="703">
        <f t="shared" ca="1" si="69"/>
        <v>0</v>
      </c>
      <c r="AJ51" s="703">
        <f t="shared" ca="1" si="69"/>
        <v>0</v>
      </c>
      <c r="AK51" s="703">
        <f t="shared" ca="1" si="69"/>
        <v>0</v>
      </c>
      <c r="AL51" s="703">
        <f t="shared" ca="1" si="69"/>
        <v>0</v>
      </c>
      <c r="AM51" s="703">
        <f t="shared" ca="1" si="69"/>
        <v>0</v>
      </c>
      <c r="AN51" s="703">
        <f t="shared" ca="1" si="69"/>
        <v>0</v>
      </c>
      <c r="AO51" s="703">
        <f t="shared" ref="AO51:BT51" ca="1" si="70">AO47*$K$12</f>
        <v>0</v>
      </c>
      <c r="AP51" s="703">
        <f t="shared" ca="1" si="70"/>
        <v>0</v>
      </c>
      <c r="AQ51" s="703">
        <f t="shared" ca="1" si="70"/>
        <v>0</v>
      </c>
      <c r="AR51" s="703">
        <f t="shared" ca="1" si="70"/>
        <v>0</v>
      </c>
      <c r="AS51" s="703">
        <f t="shared" ca="1" si="70"/>
        <v>0</v>
      </c>
      <c r="AT51" s="703">
        <f t="shared" ca="1" si="70"/>
        <v>0</v>
      </c>
      <c r="AU51" s="703">
        <f t="shared" ca="1" si="70"/>
        <v>0</v>
      </c>
      <c r="AV51" s="703">
        <f t="shared" ca="1" si="70"/>
        <v>0</v>
      </c>
      <c r="AW51" s="703">
        <f t="shared" ca="1" si="70"/>
        <v>0</v>
      </c>
      <c r="AX51" s="703">
        <f t="shared" ca="1" si="70"/>
        <v>0</v>
      </c>
      <c r="AY51" s="703">
        <f t="shared" ca="1" si="70"/>
        <v>0</v>
      </c>
      <c r="AZ51" s="703">
        <f t="shared" ca="1" si="70"/>
        <v>0</v>
      </c>
      <c r="BA51" s="703">
        <f t="shared" ca="1" si="70"/>
        <v>0</v>
      </c>
      <c r="BB51" s="703">
        <f t="shared" ca="1" si="70"/>
        <v>0</v>
      </c>
      <c r="BC51" s="703">
        <f t="shared" ca="1" si="70"/>
        <v>0</v>
      </c>
      <c r="BD51" s="703">
        <f t="shared" ca="1" si="70"/>
        <v>0</v>
      </c>
      <c r="BE51" s="703">
        <f t="shared" ca="1" si="70"/>
        <v>0</v>
      </c>
      <c r="BF51" s="703">
        <f t="shared" ca="1" si="70"/>
        <v>0</v>
      </c>
      <c r="BG51" s="703">
        <f t="shared" ca="1" si="70"/>
        <v>0</v>
      </c>
      <c r="BH51" s="703">
        <f t="shared" ca="1" si="70"/>
        <v>0</v>
      </c>
      <c r="BI51" s="703">
        <f t="shared" ca="1" si="70"/>
        <v>0</v>
      </c>
      <c r="BJ51" s="703">
        <f t="shared" ca="1" si="70"/>
        <v>0</v>
      </c>
      <c r="BK51" s="703">
        <f t="shared" ca="1" si="70"/>
        <v>0</v>
      </c>
      <c r="BL51" s="703">
        <f t="shared" ca="1" si="70"/>
        <v>0</v>
      </c>
      <c r="BM51" s="703">
        <f t="shared" ca="1" si="70"/>
        <v>0</v>
      </c>
      <c r="BN51" s="703">
        <f t="shared" ca="1" si="70"/>
        <v>0</v>
      </c>
      <c r="BO51" s="703">
        <f t="shared" ca="1" si="70"/>
        <v>0</v>
      </c>
      <c r="BP51" s="703">
        <f t="shared" ca="1" si="70"/>
        <v>0</v>
      </c>
      <c r="BQ51" s="703">
        <f t="shared" ca="1" si="70"/>
        <v>0</v>
      </c>
      <c r="BR51" s="703">
        <f t="shared" ca="1" si="70"/>
        <v>0</v>
      </c>
      <c r="BS51" s="703">
        <f t="shared" ca="1" si="70"/>
        <v>0</v>
      </c>
      <c r="BT51" s="703">
        <f t="shared" ca="1" si="70"/>
        <v>0</v>
      </c>
      <c r="BU51" s="703">
        <f t="shared" ref="BU51:CZ51" ca="1" si="71">BU47*$K$12</f>
        <v>0</v>
      </c>
      <c r="BV51" s="703">
        <f t="shared" ca="1" si="71"/>
        <v>0</v>
      </c>
      <c r="BW51" s="703">
        <f t="shared" ca="1" si="71"/>
        <v>0</v>
      </c>
      <c r="BX51" s="703">
        <f t="shared" ca="1" si="71"/>
        <v>0</v>
      </c>
      <c r="BY51" s="703">
        <f t="shared" ca="1" si="71"/>
        <v>0</v>
      </c>
      <c r="BZ51" s="703">
        <f t="shared" ca="1" si="71"/>
        <v>0</v>
      </c>
      <c r="CA51" s="703">
        <f t="shared" ca="1" si="71"/>
        <v>0</v>
      </c>
      <c r="CB51" s="703">
        <f t="shared" ca="1" si="71"/>
        <v>0</v>
      </c>
      <c r="CC51" s="703">
        <f t="shared" ca="1" si="71"/>
        <v>0</v>
      </c>
      <c r="CD51" s="703">
        <f t="shared" ca="1" si="71"/>
        <v>0</v>
      </c>
      <c r="CE51" s="703">
        <f t="shared" ca="1" si="71"/>
        <v>0</v>
      </c>
      <c r="CF51" s="703">
        <f t="shared" ca="1" si="71"/>
        <v>0</v>
      </c>
      <c r="CG51" s="703">
        <f t="shared" ca="1" si="71"/>
        <v>0</v>
      </c>
      <c r="CH51" s="703">
        <f t="shared" ca="1" si="71"/>
        <v>0</v>
      </c>
      <c r="CI51" s="703">
        <f t="shared" ca="1" si="71"/>
        <v>0</v>
      </c>
      <c r="CJ51" s="703">
        <f t="shared" ca="1" si="71"/>
        <v>0</v>
      </c>
      <c r="CK51" s="703">
        <f t="shared" ca="1" si="71"/>
        <v>0</v>
      </c>
      <c r="CL51" s="703">
        <f t="shared" ca="1" si="71"/>
        <v>0</v>
      </c>
      <c r="CM51" s="703">
        <f t="shared" ca="1" si="71"/>
        <v>0</v>
      </c>
      <c r="CN51" s="703">
        <f t="shared" ca="1" si="71"/>
        <v>0</v>
      </c>
      <c r="CO51" s="703">
        <f t="shared" ca="1" si="71"/>
        <v>0</v>
      </c>
      <c r="CP51" s="703">
        <f t="shared" ca="1" si="71"/>
        <v>0</v>
      </c>
      <c r="CQ51" s="703">
        <f t="shared" ca="1" si="71"/>
        <v>0</v>
      </c>
      <c r="CR51" s="703">
        <f t="shared" ca="1" si="71"/>
        <v>0</v>
      </c>
      <c r="CS51" s="703">
        <f t="shared" ca="1" si="71"/>
        <v>0</v>
      </c>
      <c r="CT51" s="703">
        <f t="shared" ca="1" si="71"/>
        <v>0</v>
      </c>
      <c r="CU51" s="703">
        <f t="shared" ca="1" si="71"/>
        <v>0</v>
      </c>
      <c r="CV51" s="703">
        <f t="shared" ca="1" si="71"/>
        <v>0</v>
      </c>
      <c r="CW51" s="703">
        <f t="shared" ca="1" si="71"/>
        <v>0</v>
      </c>
      <c r="CX51" s="703">
        <f t="shared" ca="1" si="71"/>
        <v>0</v>
      </c>
      <c r="CY51" s="703">
        <f t="shared" ca="1" si="71"/>
        <v>0</v>
      </c>
      <c r="CZ51" s="703">
        <f t="shared" ca="1" si="71"/>
        <v>0</v>
      </c>
      <c r="DA51" s="703">
        <f t="shared" ref="DA51:DY51" ca="1" si="72">DA47*$K$12</f>
        <v>0</v>
      </c>
      <c r="DB51" s="703">
        <f t="shared" ca="1" si="72"/>
        <v>0</v>
      </c>
      <c r="DC51" s="703">
        <f t="shared" ca="1" si="72"/>
        <v>0</v>
      </c>
      <c r="DD51" s="703">
        <f t="shared" ca="1" si="72"/>
        <v>0</v>
      </c>
      <c r="DE51" s="703">
        <f t="shared" ca="1" si="72"/>
        <v>0</v>
      </c>
      <c r="DF51" s="703">
        <f t="shared" ca="1" si="72"/>
        <v>0</v>
      </c>
      <c r="DG51" s="703">
        <f t="shared" ca="1" si="72"/>
        <v>0</v>
      </c>
      <c r="DH51" s="703">
        <f t="shared" ca="1" si="72"/>
        <v>0</v>
      </c>
      <c r="DI51" s="703">
        <f t="shared" ca="1" si="72"/>
        <v>0</v>
      </c>
      <c r="DJ51" s="703">
        <f t="shared" ca="1" si="72"/>
        <v>0</v>
      </c>
      <c r="DK51" s="703">
        <f t="shared" ca="1" si="72"/>
        <v>0</v>
      </c>
      <c r="DL51" s="703">
        <f t="shared" ca="1" si="72"/>
        <v>0</v>
      </c>
      <c r="DM51" s="703">
        <f t="shared" ca="1" si="72"/>
        <v>0</v>
      </c>
      <c r="DN51" s="703">
        <f t="shared" ca="1" si="72"/>
        <v>0</v>
      </c>
      <c r="DO51" s="703">
        <f t="shared" ca="1" si="72"/>
        <v>0</v>
      </c>
      <c r="DP51" s="703">
        <f t="shared" ca="1" si="72"/>
        <v>0</v>
      </c>
      <c r="DQ51" s="703">
        <f t="shared" ca="1" si="72"/>
        <v>0</v>
      </c>
      <c r="DR51" s="703">
        <f t="shared" ca="1" si="72"/>
        <v>0</v>
      </c>
      <c r="DS51" s="703">
        <f t="shared" ca="1" si="72"/>
        <v>0</v>
      </c>
      <c r="DT51" s="703">
        <f t="shared" ca="1" si="72"/>
        <v>0</v>
      </c>
      <c r="DU51" s="703">
        <f t="shared" ca="1" si="72"/>
        <v>0</v>
      </c>
      <c r="DV51" s="703">
        <f t="shared" ca="1" si="72"/>
        <v>0</v>
      </c>
      <c r="DW51" s="703">
        <f t="shared" ca="1" si="72"/>
        <v>-1.2732925824820992E-11</v>
      </c>
      <c r="DX51" s="703">
        <f t="shared" ca="1" si="72"/>
        <v>0</v>
      </c>
      <c r="DY51" s="703">
        <f t="shared" ca="1" si="72"/>
        <v>225299.85869653284</v>
      </c>
      <c r="DZ51" s="879"/>
      <c r="EA51" s="879"/>
    </row>
    <row r="52" spans="1:131" s="390" customFormat="1">
      <c r="A52" s="389"/>
      <c r="B52" s="389"/>
      <c r="C52" s="389"/>
      <c r="D52" s="389" t="str">
        <f>CONCATENATE("Promote to "&amp;$L$7)</f>
        <v>Promote to Sponsor</v>
      </c>
      <c r="E52" s="879"/>
      <c r="F52" s="879"/>
      <c r="G52" s="891">
        <f t="shared" ca="1" si="64"/>
        <v>1351799.1521791974</v>
      </c>
      <c r="H52" s="834"/>
      <c r="I52" s="713">
        <f t="shared" ref="I52:AN52" si="73">I47*$L$12</f>
        <v>0</v>
      </c>
      <c r="J52" s="713">
        <f t="shared" ca="1" si="73"/>
        <v>0</v>
      </c>
      <c r="K52" s="713">
        <f t="shared" ca="1" si="73"/>
        <v>0</v>
      </c>
      <c r="L52" s="713">
        <f t="shared" ca="1" si="73"/>
        <v>0</v>
      </c>
      <c r="M52" s="713">
        <f t="shared" ca="1" si="73"/>
        <v>0</v>
      </c>
      <c r="N52" s="713">
        <f t="shared" ca="1" si="73"/>
        <v>0</v>
      </c>
      <c r="O52" s="713">
        <f t="shared" ca="1" si="73"/>
        <v>0</v>
      </c>
      <c r="P52" s="713">
        <f t="shared" ca="1" si="73"/>
        <v>0</v>
      </c>
      <c r="Q52" s="713">
        <f t="shared" ca="1" si="73"/>
        <v>0</v>
      </c>
      <c r="R52" s="713">
        <f t="shared" ca="1" si="73"/>
        <v>0</v>
      </c>
      <c r="S52" s="713">
        <f t="shared" ca="1" si="73"/>
        <v>0</v>
      </c>
      <c r="T52" s="713">
        <f t="shared" ca="1" si="73"/>
        <v>0</v>
      </c>
      <c r="U52" s="713">
        <f t="shared" ca="1" si="73"/>
        <v>0</v>
      </c>
      <c r="V52" s="713">
        <f t="shared" ca="1" si="73"/>
        <v>0</v>
      </c>
      <c r="W52" s="713">
        <f t="shared" ca="1" si="73"/>
        <v>0</v>
      </c>
      <c r="X52" s="713">
        <f t="shared" ca="1" si="73"/>
        <v>0</v>
      </c>
      <c r="Y52" s="713">
        <f t="shared" ca="1" si="73"/>
        <v>0</v>
      </c>
      <c r="Z52" s="713">
        <f t="shared" ca="1" si="73"/>
        <v>0</v>
      </c>
      <c r="AA52" s="713">
        <f t="shared" ca="1" si="73"/>
        <v>0</v>
      </c>
      <c r="AB52" s="713">
        <f t="shared" ca="1" si="73"/>
        <v>0</v>
      </c>
      <c r="AC52" s="713">
        <f t="shared" ca="1" si="73"/>
        <v>0</v>
      </c>
      <c r="AD52" s="713">
        <f t="shared" ca="1" si="73"/>
        <v>0</v>
      </c>
      <c r="AE52" s="713">
        <f t="shared" ca="1" si="73"/>
        <v>0</v>
      </c>
      <c r="AF52" s="713">
        <f t="shared" ca="1" si="73"/>
        <v>0</v>
      </c>
      <c r="AG52" s="713">
        <f t="shared" ca="1" si="73"/>
        <v>0</v>
      </c>
      <c r="AH52" s="713">
        <f t="shared" ca="1" si="73"/>
        <v>0</v>
      </c>
      <c r="AI52" s="713">
        <f t="shared" ca="1" si="73"/>
        <v>0</v>
      </c>
      <c r="AJ52" s="713">
        <f t="shared" ca="1" si="73"/>
        <v>0</v>
      </c>
      <c r="AK52" s="713">
        <f t="shared" ca="1" si="73"/>
        <v>0</v>
      </c>
      <c r="AL52" s="713">
        <f t="shared" ca="1" si="73"/>
        <v>0</v>
      </c>
      <c r="AM52" s="713">
        <f t="shared" ca="1" si="73"/>
        <v>0</v>
      </c>
      <c r="AN52" s="713">
        <f t="shared" ca="1" si="73"/>
        <v>0</v>
      </c>
      <c r="AO52" s="713">
        <f t="shared" ref="AO52:BT52" ca="1" si="74">AO47*$L$12</f>
        <v>0</v>
      </c>
      <c r="AP52" s="713">
        <f t="shared" ca="1" si="74"/>
        <v>0</v>
      </c>
      <c r="AQ52" s="713">
        <f t="shared" ca="1" si="74"/>
        <v>0</v>
      </c>
      <c r="AR52" s="713">
        <f t="shared" ca="1" si="74"/>
        <v>0</v>
      </c>
      <c r="AS52" s="713">
        <f t="shared" ca="1" si="74"/>
        <v>0</v>
      </c>
      <c r="AT52" s="713">
        <f t="shared" ca="1" si="74"/>
        <v>0</v>
      </c>
      <c r="AU52" s="713">
        <f t="shared" ca="1" si="74"/>
        <v>0</v>
      </c>
      <c r="AV52" s="713">
        <f t="shared" ca="1" si="74"/>
        <v>0</v>
      </c>
      <c r="AW52" s="713">
        <f t="shared" ca="1" si="74"/>
        <v>0</v>
      </c>
      <c r="AX52" s="713">
        <f t="shared" ca="1" si="74"/>
        <v>0</v>
      </c>
      <c r="AY52" s="713">
        <f t="shared" ca="1" si="74"/>
        <v>0</v>
      </c>
      <c r="AZ52" s="713">
        <f t="shared" ca="1" si="74"/>
        <v>0</v>
      </c>
      <c r="BA52" s="713">
        <f t="shared" ca="1" si="74"/>
        <v>0</v>
      </c>
      <c r="BB52" s="713">
        <f t="shared" ca="1" si="74"/>
        <v>0</v>
      </c>
      <c r="BC52" s="713">
        <f t="shared" ca="1" si="74"/>
        <v>0</v>
      </c>
      <c r="BD52" s="713">
        <f t="shared" ca="1" si="74"/>
        <v>0</v>
      </c>
      <c r="BE52" s="713">
        <f t="shared" ca="1" si="74"/>
        <v>0</v>
      </c>
      <c r="BF52" s="713">
        <f t="shared" ca="1" si="74"/>
        <v>0</v>
      </c>
      <c r="BG52" s="713">
        <f t="shared" ca="1" si="74"/>
        <v>0</v>
      </c>
      <c r="BH52" s="713">
        <f t="shared" ca="1" si="74"/>
        <v>0</v>
      </c>
      <c r="BI52" s="713">
        <f t="shared" ca="1" si="74"/>
        <v>0</v>
      </c>
      <c r="BJ52" s="713">
        <f t="shared" ca="1" si="74"/>
        <v>0</v>
      </c>
      <c r="BK52" s="713">
        <f t="shared" ca="1" si="74"/>
        <v>0</v>
      </c>
      <c r="BL52" s="713">
        <f t="shared" ca="1" si="74"/>
        <v>0</v>
      </c>
      <c r="BM52" s="713">
        <f t="shared" ca="1" si="74"/>
        <v>0</v>
      </c>
      <c r="BN52" s="713">
        <f t="shared" ca="1" si="74"/>
        <v>0</v>
      </c>
      <c r="BO52" s="713">
        <f t="shared" ca="1" si="74"/>
        <v>0</v>
      </c>
      <c r="BP52" s="713">
        <f t="shared" ca="1" si="74"/>
        <v>0</v>
      </c>
      <c r="BQ52" s="713">
        <f t="shared" ca="1" si="74"/>
        <v>0</v>
      </c>
      <c r="BR52" s="713">
        <f t="shared" ca="1" si="74"/>
        <v>0</v>
      </c>
      <c r="BS52" s="713">
        <f t="shared" ca="1" si="74"/>
        <v>0</v>
      </c>
      <c r="BT52" s="713">
        <f t="shared" ca="1" si="74"/>
        <v>0</v>
      </c>
      <c r="BU52" s="713">
        <f t="shared" ref="BU52:CZ52" ca="1" si="75">BU47*$L$12</f>
        <v>0</v>
      </c>
      <c r="BV52" s="713">
        <f t="shared" ca="1" si="75"/>
        <v>0</v>
      </c>
      <c r="BW52" s="713">
        <f t="shared" ca="1" si="75"/>
        <v>0</v>
      </c>
      <c r="BX52" s="713">
        <f t="shared" ca="1" si="75"/>
        <v>0</v>
      </c>
      <c r="BY52" s="713">
        <f t="shared" ca="1" si="75"/>
        <v>0</v>
      </c>
      <c r="BZ52" s="713">
        <f t="shared" ca="1" si="75"/>
        <v>0</v>
      </c>
      <c r="CA52" s="713">
        <f t="shared" ca="1" si="75"/>
        <v>0</v>
      </c>
      <c r="CB52" s="713">
        <f t="shared" ca="1" si="75"/>
        <v>0</v>
      </c>
      <c r="CC52" s="713">
        <f t="shared" ca="1" si="75"/>
        <v>0</v>
      </c>
      <c r="CD52" s="713">
        <f t="shared" ca="1" si="75"/>
        <v>0</v>
      </c>
      <c r="CE52" s="713">
        <f t="shared" ca="1" si="75"/>
        <v>0</v>
      </c>
      <c r="CF52" s="713">
        <f t="shared" ca="1" si="75"/>
        <v>0</v>
      </c>
      <c r="CG52" s="713">
        <f t="shared" ca="1" si="75"/>
        <v>0</v>
      </c>
      <c r="CH52" s="713">
        <f t="shared" ca="1" si="75"/>
        <v>0</v>
      </c>
      <c r="CI52" s="713">
        <f t="shared" ca="1" si="75"/>
        <v>0</v>
      </c>
      <c r="CJ52" s="713">
        <f t="shared" ca="1" si="75"/>
        <v>0</v>
      </c>
      <c r="CK52" s="713">
        <f t="shared" ca="1" si="75"/>
        <v>0</v>
      </c>
      <c r="CL52" s="713">
        <f t="shared" ca="1" si="75"/>
        <v>0</v>
      </c>
      <c r="CM52" s="713">
        <f t="shared" ca="1" si="75"/>
        <v>0</v>
      </c>
      <c r="CN52" s="713">
        <f t="shared" ca="1" si="75"/>
        <v>0</v>
      </c>
      <c r="CO52" s="713">
        <f t="shared" ca="1" si="75"/>
        <v>0</v>
      </c>
      <c r="CP52" s="713">
        <f t="shared" ca="1" si="75"/>
        <v>0</v>
      </c>
      <c r="CQ52" s="713">
        <f t="shared" ca="1" si="75"/>
        <v>0</v>
      </c>
      <c r="CR52" s="713">
        <f t="shared" ca="1" si="75"/>
        <v>0</v>
      </c>
      <c r="CS52" s="713">
        <f t="shared" ca="1" si="75"/>
        <v>0</v>
      </c>
      <c r="CT52" s="713">
        <f t="shared" ca="1" si="75"/>
        <v>0</v>
      </c>
      <c r="CU52" s="713">
        <f t="shared" ca="1" si="75"/>
        <v>0</v>
      </c>
      <c r="CV52" s="713">
        <f t="shared" ca="1" si="75"/>
        <v>0</v>
      </c>
      <c r="CW52" s="713">
        <f t="shared" ca="1" si="75"/>
        <v>0</v>
      </c>
      <c r="CX52" s="713">
        <f t="shared" ca="1" si="75"/>
        <v>0</v>
      </c>
      <c r="CY52" s="713">
        <f t="shared" ca="1" si="75"/>
        <v>0</v>
      </c>
      <c r="CZ52" s="713">
        <f t="shared" ca="1" si="75"/>
        <v>0</v>
      </c>
      <c r="DA52" s="713">
        <f t="shared" ref="DA52:DY52" ca="1" si="76">DA47*$L$12</f>
        <v>0</v>
      </c>
      <c r="DB52" s="713">
        <f t="shared" ca="1" si="76"/>
        <v>0</v>
      </c>
      <c r="DC52" s="713">
        <f t="shared" ca="1" si="76"/>
        <v>0</v>
      </c>
      <c r="DD52" s="713">
        <f t="shared" ca="1" si="76"/>
        <v>0</v>
      </c>
      <c r="DE52" s="713">
        <f t="shared" ca="1" si="76"/>
        <v>0</v>
      </c>
      <c r="DF52" s="713">
        <f t="shared" ca="1" si="76"/>
        <v>0</v>
      </c>
      <c r="DG52" s="713">
        <f t="shared" ca="1" si="76"/>
        <v>0</v>
      </c>
      <c r="DH52" s="713">
        <f t="shared" ca="1" si="76"/>
        <v>0</v>
      </c>
      <c r="DI52" s="713">
        <f t="shared" ca="1" si="76"/>
        <v>0</v>
      </c>
      <c r="DJ52" s="713">
        <f t="shared" ca="1" si="76"/>
        <v>0</v>
      </c>
      <c r="DK52" s="713">
        <f t="shared" ca="1" si="76"/>
        <v>0</v>
      </c>
      <c r="DL52" s="713">
        <f t="shared" ca="1" si="76"/>
        <v>0</v>
      </c>
      <c r="DM52" s="713">
        <f t="shared" ca="1" si="76"/>
        <v>0</v>
      </c>
      <c r="DN52" s="713">
        <f t="shared" ca="1" si="76"/>
        <v>0</v>
      </c>
      <c r="DO52" s="713">
        <f t="shared" ca="1" si="76"/>
        <v>0</v>
      </c>
      <c r="DP52" s="713">
        <f t="shared" ca="1" si="76"/>
        <v>0</v>
      </c>
      <c r="DQ52" s="713">
        <f t="shared" ca="1" si="76"/>
        <v>0</v>
      </c>
      <c r="DR52" s="713">
        <f t="shared" ca="1" si="76"/>
        <v>0</v>
      </c>
      <c r="DS52" s="713">
        <f t="shared" ca="1" si="76"/>
        <v>0</v>
      </c>
      <c r="DT52" s="713">
        <f t="shared" ca="1" si="76"/>
        <v>0</v>
      </c>
      <c r="DU52" s="713">
        <f t="shared" ca="1" si="76"/>
        <v>0</v>
      </c>
      <c r="DV52" s="713">
        <f t="shared" ca="1" si="76"/>
        <v>0</v>
      </c>
      <c r="DW52" s="713">
        <f t="shared" ca="1" si="76"/>
        <v>-7.6397554948925972E-11</v>
      </c>
      <c r="DX52" s="713">
        <f t="shared" ca="1" si="76"/>
        <v>0</v>
      </c>
      <c r="DY52" s="713">
        <f t="shared" ca="1" si="76"/>
        <v>1351799.1521791974</v>
      </c>
      <c r="DZ52" s="879"/>
      <c r="EA52" s="879"/>
    </row>
    <row r="53" spans="1:131" s="390" customFormat="1">
      <c r="A53" s="389"/>
      <c r="B53" s="389"/>
      <c r="C53" s="389"/>
      <c r="D53" s="389" t="s">
        <v>11</v>
      </c>
      <c r="E53" s="879"/>
      <c r="F53" s="879"/>
      <c r="G53" s="795">
        <f t="shared" ca="1" si="64"/>
        <v>3604797.7391445264</v>
      </c>
      <c r="H53" s="834"/>
      <c r="I53" s="703">
        <f t="shared" ref="I53:BT53" si="77">SUM(I50:I52)</f>
        <v>0</v>
      </c>
      <c r="J53" s="703">
        <f t="shared" ca="1" si="77"/>
        <v>0</v>
      </c>
      <c r="K53" s="703">
        <f t="shared" ca="1" si="77"/>
        <v>0</v>
      </c>
      <c r="L53" s="703">
        <f t="shared" ca="1" si="77"/>
        <v>0</v>
      </c>
      <c r="M53" s="703">
        <f t="shared" ca="1" si="77"/>
        <v>0</v>
      </c>
      <c r="N53" s="703">
        <f t="shared" ca="1" si="77"/>
        <v>0</v>
      </c>
      <c r="O53" s="703">
        <f t="shared" ca="1" si="77"/>
        <v>0</v>
      </c>
      <c r="P53" s="703">
        <f t="shared" ca="1" si="77"/>
        <v>0</v>
      </c>
      <c r="Q53" s="703">
        <f t="shared" ca="1" si="77"/>
        <v>0</v>
      </c>
      <c r="R53" s="703">
        <f t="shared" ca="1" si="77"/>
        <v>0</v>
      </c>
      <c r="S53" s="703">
        <f t="shared" ca="1" si="77"/>
        <v>0</v>
      </c>
      <c r="T53" s="703">
        <f t="shared" ca="1" si="77"/>
        <v>0</v>
      </c>
      <c r="U53" s="703">
        <f t="shared" ca="1" si="77"/>
        <v>0</v>
      </c>
      <c r="V53" s="703">
        <f t="shared" ca="1" si="77"/>
        <v>0</v>
      </c>
      <c r="W53" s="703">
        <f t="shared" ca="1" si="77"/>
        <v>0</v>
      </c>
      <c r="X53" s="703">
        <f t="shared" ca="1" si="77"/>
        <v>0</v>
      </c>
      <c r="Y53" s="703">
        <f t="shared" ca="1" si="77"/>
        <v>0</v>
      </c>
      <c r="Z53" s="703">
        <f t="shared" ca="1" si="77"/>
        <v>0</v>
      </c>
      <c r="AA53" s="703">
        <f t="shared" ca="1" si="77"/>
        <v>0</v>
      </c>
      <c r="AB53" s="703">
        <f t="shared" ca="1" si="77"/>
        <v>0</v>
      </c>
      <c r="AC53" s="703">
        <f t="shared" ca="1" si="77"/>
        <v>0</v>
      </c>
      <c r="AD53" s="703">
        <f t="shared" ca="1" si="77"/>
        <v>0</v>
      </c>
      <c r="AE53" s="703">
        <f t="shared" ca="1" si="77"/>
        <v>0</v>
      </c>
      <c r="AF53" s="703">
        <f t="shared" ca="1" si="77"/>
        <v>0</v>
      </c>
      <c r="AG53" s="703">
        <f t="shared" ca="1" si="77"/>
        <v>0</v>
      </c>
      <c r="AH53" s="703">
        <f t="shared" ca="1" si="77"/>
        <v>0</v>
      </c>
      <c r="AI53" s="703">
        <f t="shared" ca="1" si="77"/>
        <v>0</v>
      </c>
      <c r="AJ53" s="703">
        <f t="shared" ca="1" si="77"/>
        <v>0</v>
      </c>
      <c r="AK53" s="703">
        <f t="shared" ca="1" si="77"/>
        <v>0</v>
      </c>
      <c r="AL53" s="703">
        <f t="shared" ca="1" si="77"/>
        <v>0</v>
      </c>
      <c r="AM53" s="703">
        <f t="shared" ca="1" si="77"/>
        <v>0</v>
      </c>
      <c r="AN53" s="703">
        <f t="shared" ca="1" si="77"/>
        <v>0</v>
      </c>
      <c r="AO53" s="703">
        <f t="shared" ca="1" si="77"/>
        <v>0</v>
      </c>
      <c r="AP53" s="703">
        <f t="shared" ca="1" si="77"/>
        <v>0</v>
      </c>
      <c r="AQ53" s="703">
        <f t="shared" ca="1" si="77"/>
        <v>0</v>
      </c>
      <c r="AR53" s="703">
        <f t="shared" ca="1" si="77"/>
        <v>0</v>
      </c>
      <c r="AS53" s="703">
        <f t="shared" ca="1" si="77"/>
        <v>0</v>
      </c>
      <c r="AT53" s="703">
        <f t="shared" ca="1" si="77"/>
        <v>0</v>
      </c>
      <c r="AU53" s="703">
        <f t="shared" ca="1" si="77"/>
        <v>0</v>
      </c>
      <c r="AV53" s="703">
        <f t="shared" ca="1" si="77"/>
        <v>0</v>
      </c>
      <c r="AW53" s="703">
        <f t="shared" ca="1" si="77"/>
        <v>0</v>
      </c>
      <c r="AX53" s="703">
        <f t="shared" ca="1" si="77"/>
        <v>0</v>
      </c>
      <c r="AY53" s="703">
        <f t="shared" ca="1" si="77"/>
        <v>0</v>
      </c>
      <c r="AZ53" s="703">
        <f t="shared" ca="1" si="77"/>
        <v>0</v>
      </c>
      <c r="BA53" s="703">
        <f t="shared" ca="1" si="77"/>
        <v>0</v>
      </c>
      <c r="BB53" s="703">
        <f t="shared" ca="1" si="77"/>
        <v>0</v>
      </c>
      <c r="BC53" s="703">
        <f t="shared" ca="1" si="77"/>
        <v>0</v>
      </c>
      <c r="BD53" s="703">
        <f t="shared" ca="1" si="77"/>
        <v>0</v>
      </c>
      <c r="BE53" s="703">
        <f t="shared" ca="1" si="77"/>
        <v>0</v>
      </c>
      <c r="BF53" s="703">
        <f t="shared" ca="1" si="77"/>
        <v>0</v>
      </c>
      <c r="BG53" s="703">
        <f t="shared" ca="1" si="77"/>
        <v>0</v>
      </c>
      <c r="BH53" s="703">
        <f t="shared" ca="1" si="77"/>
        <v>0</v>
      </c>
      <c r="BI53" s="703">
        <f t="shared" ca="1" si="77"/>
        <v>0</v>
      </c>
      <c r="BJ53" s="703">
        <f t="shared" ca="1" si="77"/>
        <v>0</v>
      </c>
      <c r="BK53" s="703">
        <f t="shared" ca="1" si="77"/>
        <v>0</v>
      </c>
      <c r="BL53" s="703">
        <f t="shared" ca="1" si="77"/>
        <v>0</v>
      </c>
      <c r="BM53" s="703">
        <f t="shared" ca="1" si="77"/>
        <v>0</v>
      </c>
      <c r="BN53" s="703">
        <f t="shared" ca="1" si="77"/>
        <v>0</v>
      </c>
      <c r="BO53" s="703">
        <f t="shared" ca="1" si="77"/>
        <v>0</v>
      </c>
      <c r="BP53" s="703">
        <f t="shared" ca="1" si="77"/>
        <v>0</v>
      </c>
      <c r="BQ53" s="703">
        <f t="shared" ca="1" si="77"/>
        <v>0</v>
      </c>
      <c r="BR53" s="703">
        <f t="shared" ca="1" si="77"/>
        <v>0</v>
      </c>
      <c r="BS53" s="703">
        <f t="shared" ca="1" si="77"/>
        <v>0</v>
      </c>
      <c r="BT53" s="703">
        <f t="shared" ca="1" si="77"/>
        <v>0</v>
      </c>
      <c r="BU53" s="703">
        <f t="shared" ref="BU53:DY53" ca="1" si="78">SUM(BU50:BU52)</f>
        <v>0</v>
      </c>
      <c r="BV53" s="703">
        <f t="shared" ca="1" si="78"/>
        <v>0</v>
      </c>
      <c r="BW53" s="703">
        <f t="shared" ca="1" si="78"/>
        <v>0</v>
      </c>
      <c r="BX53" s="703">
        <f t="shared" ca="1" si="78"/>
        <v>0</v>
      </c>
      <c r="BY53" s="703">
        <f t="shared" ca="1" si="78"/>
        <v>0</v>
      </c>
      <c r="BZ53" s="703">
        <f t="shared" ca="1" si="78"/>
        <v>0</v>
      </c>
      <c r="CA53" s="703">
        <f t="shared" ca="1" si="78"/>
        <v>0</v>
      </c>
      <c r="CB53" s="703">
        <f t="shared" ca="1" si="78"/>
        <v>0</v>
      </c>
      <c r="CC53" s="703">
        <f t="shared" ca="1" si="78"/>
        <v>0</v>
      </c>
      <c r="CD53" s="703">
        <f t="shared" ca="1" si="78"/>
        <v>0</v>
      </c>
      <c r="CE53" s="703">
        <f t="shared" ca="1" si="78"/>
        <v>0</v>
      </c>
      <c r="CF53" s="703">
        <f t="shared" ca="1" si="78"/>
        <v>0</v>
      </c>
      <c r="CG53" s="703">
        <f t="shared" ca="1" si="78"/>
        <v>0</v>
      </c>
      <c r="CH53" s="703">
        <f t="shared" ca="1" si="78"/>
        <v>0</v>
      </c>
      <c r="CI53" s="703">
        <f t="shared" ca="1" si="78"/>
        <v>0</v>
      </c>
      <c r="CJ53" s="703">
        <f t="shared" ca="1" si="78"/>
        <v>0</v>
      </c>
      <c r="CK53" s="703">
        <f t="shared" ca="1" si="78"/>
        <v>0</v>
      </c>
      <c r="CL53" s="703">
        <f t="shared" ca="1" si="78"/>
        <v>0</v>
      </c>
      <c r="CM53" s="703">
        <f t="shared" ca="1" si="78"/>
        <v>0</v>
      </c>
      <c r="CN53" s="703">
        <f t="shared" ca="1" si="78"/>
        <v>0</v>
      </c>
      <c r="CO53" s="703">
        <f t="shared" ca="1" si="78"/>
        <v>0</v>
      </c>
      <c r="CP53" s="703">
        <f t="shared" ca="1" si="78"/>
        <v>0</v>
      </c>
      <c r="CQ53" s="703">
        <f t="shared" ca="1" si="78"/>
        <v>0</v>
      </c>
      <c r="CR53" s="703">
        <f t="shared" ca="1" si="78"/>
        <v>0</v>
      </c>
      <c r="CS53" s="703">
        <f t="shared" ca="1" si="78"/>
        <v>0</v>
      </c>
      <c r="CT53" s="703">
        <f t="shared" ca="1" si="78"/>
        <v>0</v>
      </c>
      <c r="CU53" s="703">
        <f t="shared" ca="1" si="78"/>
        <v>0</v>
      </c>
      <c r="CV53" s="703">
        <f t="shared" ca="1" si="78"/>
        <v>0</v>
      </c>
      <c r="CW53" s="703">
        <f t="shared" ca="1" si="78"/>
        <v>0</v>
      </c>
      <c r="CX53" s="703">
        <f t="shared" ca="1" si="78"/>
        <v>0</v>
      </c>
      <c r="CY53" s="703">
        <f t="shared" ca="1" si="78"/>
        <v>0</v>
      </c>
      <c r="CZ53" s="703">
        <f t="shared" ca="1" si="78"/>
        <v>0</v>
      </c>
      <c r="DA53" s="703">
        <f t="shared" ca="1" si="78"/>
        <v>0</v>
      </c>
      <c r="DB53" s="703">
        <f t="shared" ca="1" si="78"/>
        <v>0</v>
      </c>
      <c r="DC53" s="703">
        <f t="shared" ca="1" si="78"/>
        <v>0</v>
      </c>
      <c r="DD53" s="703">
        <f t="shared" ca="1" si="78"/>
        <v>0</v>
      </c>
      <c r="DE53" s="703">
        <f t="shared" ca="1" si="78"/>
        <v>0</v>
      </c>
      <c r="DF53" s="703">
        <f t="shared" ca="1" si="78"/>
        <v>0</v>
      </c>
      <c r="DG53" s="703">
        <f t="shared" ca="1" si="78"/>
        <v>0</v>
      </c>
      <c r="DH53" s="703">
        <f t="shared" ca="1" si="78"/>
        <v>0</v>
      </c>
      <c r="DI53" s="703">
        <f t="shared" ca="1" si="78"/>
        <v>0</v>
      </c>
      <c r="DJ53" s="703">
        <f t="shared" ca="1" si="78"/>
        <v>0</v>
      </c>
      <c r="DK53" s="703">
        <f t="shared" ca="1" si="78"/>
        <v>0</v>
      </c>
      <c r="DL53" s="703">
        <f t="shared" ca="1" si="78"/>
        <v>0</v>
      </c>
      <c r="DM53" s="703">
        <f t="shared" ca="1" si="78"/>
        <v>0</v>
      </c>
      <c r="DN53" s="703">
        <f t="shared" ca="1" si="78"/>
        <v>0</v>
      </c>
      <c r="DO53" s="703">
        <f t="shared" ca="1" si="78"/>
        <v>0</v>
      </c>
      <c r="DP53" s="703">
        <f t="shared" ca="1" si="78"/>
        <v>0</v>
      </c>
      <c r="DQ53" s="703">
        <f t="shared" ca="1" si="78"/>
        <v>0</v>
      </c>
      <c r="DR53" s="703">
        <f t="shared" ca="1" si="78"/>
        <v>0</v>
      </c>
      <c r="DS53" s="703">
        <f t="shared" ca="1" si="78"/>
        <v>0</v>
      </c>
      <c r="DT53" s="703">
        <f t="shared" ca="1" si="78"/>
        <v>0</v>
      </c>
      <c r="DU53" s="703">
        <f t="shared" ca="1" si="78"/>
        <v>0</v>
      </c>
      <c r="DV53" s="703">
        <f t="shared" ca="1" si="78"/>
        <v>0</v>
      </c>
      <c r="DW53" s="703">
        <f t="shared" ca="1" si="78"/>
        <v>-2.0372681319713593E-10</v>
      </c>
      <c r="DX53" s="703">
        <f t="shared" ca="1" si="78"/>
        <v>0</v>
      </c>
      <c r="DY53" s="703">
        <f t="shared" ca="1" si="78"/>
        <v>3604797.7391445264</v>
      </c>
      <c r="DZ53" s="879"/>
      <c r="EA53" s="879"/>
    </row>
    <row r="54" spans="1:131" s="390" customFormat="1">
      <c r="A54" s="389"/>
      <c r="B54" s="389"/>
      <c r="C54" s="389"/>
      <c r="D54" s="389"/>
      <c r="E54" s="879"/>
      <c r="F54" s="879"/>
      <c r="G54" s="795"/>
      <c r="H54" s="834"/>
      <c r="I54" s="703"/>
      <c r="J54" s="703"/>
      <c r="K54" s="703"/>
      <c r="L54" s="703"/>
      <c r="M54" s="703"/>
      <c r="N54" s="703"/>
      <c r="O54" s="703"/>
      <c r="P54" s="703"/>
      <c r="Q54" s="703"/>
      <c r="R54" s="703"/>
      <c r="S54" s="703"/>
      <c r="T54" s="703"/>
      <c r="U54" s="703"/>
      <c r="V54" s="703"/>
      <c r="W54" s="703"/>
      <c r="X54" s="703"/>
      <c r="Y54" s="703"/>
      <c r="Z54" s="703"/>
      <c r="AA54" s="703"/>
      <c r="AB54" s="703"/>
      <c r="AC54" s="703"/>
      <c r="AD54" s="703"/>
      <c r="AE54" s="703"/>
      <c r="AF54" s="703"/>
      <c r="AG54" s="703"/>
      <c r="AH54" s="703"/>
      <c r="AI54" s="703"/>
      <c r="AJ54" s="703"/>
      <c r="AK54" s="703"/>
      <c r="AL54" s="703"/>
      <c r="AM54" s="703"/>
      <c r="AN54" s="703"/>
      <c r="AO54" s="703"/>
      <c r="AP54" s="703"/>
      <c r="AQ54" s="703"/>
      <c r="AR54" s="703"/>
      <c r="AS54" s="703"/>
      <c r="AT54" s="703"/>
      <c r="AU54" s="703"/>
      <c r="AV54" s="703"/>
      <c r="AW54" s="703"/>
      <c r="AX54" s="703"/>
      <c r="AY54" s="703"/>
      <c r="AZ54" s="703"/>
      <c r="BA54" s="703"/>
      <c r="BB54" s="703"/>
      <c r="BC54" s="703"/>
      <c r="BD54" s="703"/>
      <c r="BE54" s="703"/>
      <c r="BF54" s="703"/>
      <c r="BG54" s="703"/>
      <c r="BH54" s="703"/>
      <c r="BI54" s="703"/>
      <c r="BJ54" s="703"/>
      <c r="BK54" s="703"/>
      <c r="BL54" s="703"/>
      <c r="BM54" s="703"/>
      <c r="BN54" s="703"/>
      <c r="BO54" s="703"/>
      <c r="BP54" s="703"/>
      <c r="BQ54" s="703"/>
      <c r="BR54" s="703"/>
      <c r="BS54" s="703"/>
      <c r="BT54" s="703"/>
      <c r="BU54" s="703"/>
      <c r="BV54" s="703"/>
      <c r="BW54" s="703"/>
      <c r="BX54" s="703"/>
      <c r="BY54" s="703"/>
      <c r="BZ54" s="703"/>
      <c r="CA54" s="703"/>
      <c r="CB54" s="703"/>
      <c r="CC54" s="703"/>
      <c r="CD54" s="703"/>
      <c r="CE54" s="703"/>
      <c r="CF54" s="703"/>
      <c r="CG54" s="703"/>
      <c r="CH54" s="703"/>
      <c r="CI54" s="703"/>
      <c r="CJ54" s="703"/>
      <c r="CK54" s="703"/>
      <c r="CL54" s="703"/>
      <c r="CM54" s="703"/>
      <c r="CN54" s="703"/>
      <c r="CO54" s="703"/>
      <c r="CP54" s="703"/>
      <c r="CQ54" s="703"/>
      <c r="CR54" s="703"/>
      <c r="CS54" s="703"/>
      <c r="CT54" s="703"/>
      <c r="CU54" s="703"/>
      <c r="CV54" s="703"/>
      <c r="CW54" s="703"/>
      <c r="CX54" s="703"/>
      <c r="CY54" s="703"/>
      <c r="CZ54" s="703"/>
      <c r="DA54" s="703"/>
      <c r="DB54" s="703"/>
      <c r="DC54" s="703"/>
      <c r="DD54" s="703"/>
      <c r="DE54" s="703"/>
      <c r="DF54" s="703"/>
      <c r="DG54" s="703"/>
      <c r="DH54" s="703"/>
      <c r="DI54" s="703"/>
      <c r="DJ54" s="703"/>
      <c r="DK54" s="703"/>
      <c r="DL54" s="703"/>
      <c r="DM54" s="703"/>
      <c r="DN54" s="703"/>
      <c r="DO54" s="703"/>
      <c r="DP54" s="703"/>
      <c r="DQ54" s="703"/>
      <c r="DR54" s="703"/>
      <c r="DS54" s="703"/>
      <c r="DT54" s="703"/>
      <c r="DU54" s="703"/>
      <c r="DV54" s="703"/>
      <c r="DW54" s="703"/>
      <c r="DX54" s="703"/>
      <c r="DY54" s="703"/>
      <c r="DZ54" s="879"/>
      <c r="EA54" s="879"/>
    </row>
    <row r="55" spans="1:131" s="390" customFormat="1">
      <c r="A55" s="389"/>
      <c r="B55" s="389"/>
      <c r="C55" s="389"/>
      <c r="D55" s="389" t="s">
        <v>113</v>
      </c>
      <c r="E55" s="879"/>
      <c r="F55" s="879"/>
      <c r="G55" s="816"/>
      <c r="H55" s="834"/>
      <c r="I55" s="703">
        <f t="shared" ref="I55:BT55" si="79">I47-I53</f>
        <v>0</v>
      </c>
      <c r="J55" s="703">
        <f t="shared" ca="1" si="79"/>
        <v>0</v>
      </c>
      <c r="K55" s="703">
        <f t="shared" ca="1" si="79"/>
        <v>0</v>
      </c>
      <c r="L55" s="703">
        <f t="shared" ca="1" si="79"/>
        <v>0</v>
      </c>
      <c r="M55" s="703">
        <f t="shared" ca="1" si="79"/>
        <v>0</v>
      </c>
      <c r="N55" s="703">
        <f t="shared" ca="1" si="79"/>
        <v>0</v>
      </c>
      <c r="O55" s="703">
        <f t="shared" ca="1" si="79"/>
        <v>0</v>
      </c>
      <c r="P55" s="703">
        <f t="shared" ca="1" si="79"/>
        <v>0</v>
      </c>
      <c r="Q55" s="703">
        <f t="shared" ca="1" si="79"/>
        <v>0</v>
      </c>
      <c r="R55" s="703">
        <f t="shared" ca="1" si="79"/>
        <v>0</v>
      </c>
      <c r="S55" s="703">
        <f t="shared" ca="1" si="79"/>
        <v>0</v>
      </c>
      <c r="T55" s="703">
        <f t="shared" ca="1" si="79"/>
        <v>0</v>
      </c>
      <c r="U55" s="703">
        <f t="shared" ca="1" si="79"/>
        <v>0</v>
      </c>
      <c r="V55" s="703">
        <f t="shared" ca="1" si="79"/>
        <v>0</v>
      </c>
      <c r="W55" s="703">
        <f t="shared" ca="1" si="79"/>
        <v>0</v>
      </c>
      <c r="X55" s="703">
        <f t="shared" ca="1" si="79"/>
        <v>0</v>
      </c>
      <c r="Y55" s="703">
        <f t="shared" ca="1" si="79"/>
        <v>0</v>
      </c>
      <c r="Z55" s="703">
        <f t="shared" ca="1" si="79"/>
        <v>0</v>
      </c>
      <c r="AA55" s="703">
        <f t="shared" ca="1" si="79"/>
        <v>0</v>
      </c>
      <c r="AB55" s="703">
        <f t="shared" ca="1" si="79"/>
        <v>0</v>
      </c>
      <c r="AC55" s="703">
        <f t="shared" ca="1" si="79"/>
        <v>0</v>
      </c>
      <c r="AD55" s="703">
        <f t="shared" ca="1" si="79"/>
        <v>0</v>
      </c>
      <c r="AE55" s="703">
        <f t="shared" ca="1" si="79"/>
        <v>0</v>
      </c>
      <c r="AF55" s="703">
        <f t="shared" ca="1" si="79"/>
        <v>0</v>
      </c>
      <c r="AG55" s="703">
        <f t="shared" ca="1" si="79"/>
        <v>0</v>
      </c>
      <c r="AH55" s="703">
        <f t="shared" ca="1" si="79"/>
        <v>0</v>
      </c>
      <c r="AI55" s="703">
        <f t="shared" ca="1" si="79"/>
        <v>0</v>
      </c>
      <c r="AJ55" s="703">
        <f t="shared" ca="1" si="79"/>
        <v>0</v>
      </c>
      <c r="AK55" s="703">
        <f t="shared" ca="1" si="79"/>
        <v>0</v>
      </c>
      <c r="AL55" s="703">
        <f t="shared" ca="1" si="79"/>
        <v>0</v>
      </c>
      <c r="AM55" s="703">
        <f t="shared" ca="1" si="79"/>
        <v>0</v>
      </c>
      <c r="AN55" s="703">
        <f t="shared" ca="1" si="79"/>
        <v>0</v>
      </c>
      <c r="AO55" s="703">
        <f t="shared" ca="1" si="79"/>
        <v>0</v>
      </c>
      <c r="AP55" s="703">
        <f t="shared" ca="1" si="79"/>
        <v>0</v>
      </c>
      <c r="AQ55" s="703">
        <f t="shared" ca="1" si="79"/>
        <v>0</v>
      </c>
      <c r="AR55" s="703">
        <f t="shared" ca="1" si="79"/>
        <v>0</v>
      </c>
      <c r="AS55" s="703">
        <f t="shared" ca="1" si="79"/>
        <v>0</v>
      </c>
      <c r="AT55" s="703">
        <f t="shared" ca="1" si="79"/>
        <v>0</v>
      </c>
      <c r="AU55" s="703">
        <f t="shared" ca="1" si="79"/>
        <v>0</v>
      </c>
      <c r="AV55" s="703">
        <f t="shared" ca="1" si="79"/>
        <v>0</v>
      </c>
      <c r="AW55" s="703">
        <f t="shared" ca="1" si="79"/>
        <v>0</v>
      </c>
      <c r="AX55" s="703">
        <f t="shared" ca="1" si="79"/>
        <v>0</v>
      </c>
      <c r="AY55" s="703">
        <f t="shared" ca="1" si="79"/>
        <v>0</v>
      </c>
      <c r="AZ55" s="703">
        <f t="shared" ca="1" si="79"/>
        <v>0</v>
      </c>
      <c r="BA55" s="703">
        <f t="shared" ca="1" si="79"/>
        <v>0</v>
      </c>
      <c r="BB55" s="703">
        <f t="shared" ca="1" si="79"/>
        <v>0</v>
      </c>
      <c r="BC55" s="703">
        <f t="shared" ca="1" si="79"/>
        <v>0</v>
      </c>
      <c r="BD55" s="703">
        <f t="shared" ca="1" si="79"/>
        <v>0</v>
      </c>
      <c r="BE55" s="703">
        <f t="shared" ca="1" si="79"/>
        <v>0</v>
      </c>
      <c r="BF55" s="703">
        <f t="shared" ca="1" si="79"/>
        <v>0</v>
      </c>
      <c r="BG55" s="703">
        <f t="shared" ca="1" si="79"/>
        <v>0</v>
      </c>
      <c r="BH55" s="703">
        <f t="shared" ca="1" si="79"/>
        <v>0</v>
      </c>
      <c r="BI55" s="703">
        <f t="shared" ca="1" si="79"/>
        <v>0</v>
      </c>
      <c r="BJ55" s="703">
        <f t="shared" ca="1" si="79"/>
        <v>0</v>
      </c>
      <c r="BK55" s="703">
        <f t="shared" ca="1" si="79"/>
        <v>0</v>
      </c>
      <c r="BL55" s="703">
        <f t="shared" ca="1" si="79"/>
        <v>0</v>
      </c>
      <c r="BM55" s="703">
        <f t="shared" ca="1" si="79"/>
        <v>0</v>
      </c>
      <c r="BN55" s="703">
        <f t="shared" ca="1" si="79"/>
        <v>0</v>
      </c>
      <c r="BO55" s="703">
        <f t="shared" ca="1" si="79"/>
        <v>0</v>
      </c>
      <c r="BP55" s="703">
        <f t="shared" ca="1" si="79"/>
        <v>0</v>
      </c>
      <c r="BQ55" s="703">
        <f t="shared" ca="1" si="79"/>
        <v>0</v>
      </c>
      <c r="BR55" s="703">
        <f t="shared" ca="1" si="79"/>
        <v>0</v>
      </c>
      <c r="BS55" s="703">
        <f t="shared" ca="1" si="79"/>
        <v>0</v>
      </c>
      <c r="BT55" s="703">
        <f t="shared" ca="1" si="79"/>
        <v>0</v>
      </c>
      <c r="BU55" s="703">
        <f t="shared" ref="BU55:DY55" ca="1" si="80">BU47-BU53</f>
        <v>0</v>
      </c>
      <c r="BV55" s="703">
        <f t="shared" ca="1" si="80"/>
        <v>0</v>
      </c>
      <c r="BW55" s="703">
        <f t="shared" ca="1" si="80"/>
        <v>0</v>
      </c>
      <c r="BX55" s="703">
        <f t="shared" ca="1" si="80"/>
        <v>0</v>
      </c>
      <c r="BY55" s="703">
        <f t="shared" ca="1" si="80"/>
        <v>0</v>
      </c>
      <c r="BZ55" s="703">
        <f t="shared" ca="1" si="80"/>
        <v>0</v>
      </c>
      <c r="CA55" s="703">
        <f t="shared" ca="1" si="80"/>
        <v>0</v>
      </c>
      <c r="CB55" s="703">
        <f t="shared" ca="1" si="80"/>
        <v>0</v>
      </c>
      <c r="CC55" s="703">
        <f t="shared" ca="1" si="80"/>
        <v>0</v>
      </c>
      <c r="CD55" s="703">
        <f t="shared" ca="1" si="80"/>
        <v>0</v>
      </c>
      <c r="CE55" s="703">
        <f t="shared" ca="1" si="80"/>
        <v>0</v>
      </c>
      <c r="CF55" s="703">
        <f t="shared" ca="1" si="80"/>
        <v>0</v>
      </c>
      <c r="CG55" s="703">
        <f t="shared" ca="1" si="80"/>
        <v>0</v>
      </c>
      <c r="CH55" s="703">
        <f t="shared" ca="1" si="80"/>
        <v>0</v>
      </c>
      <c r="CI55" s="703">
        <f t="shared" ca="1" si="80"/>
        <v>0</v>
      </c>
      <c r="CJ55" s="703">
        <f t="shared" ca="1" si="80"/>
        <v>0</v>
      </c>
      <c r="CK55" s="703">
        <f t="shared" ca="1" si="80"/>
        <v>0</v>
      </c>
      <c r="CL55" s="703">
        <f t="shared" ca="1" si="80"/>
        <v>0</v>
      </c>
      <c r="CM55" s="703">
        <f t="shared" ca="1" si="80"/>
        <v>0</v>
      </c>
      <c r="CN55" s="703">
        <f t="shared" ca="1" si="80"/>
        <v>0</v>
      </c>
      <c r="CO55" s="703">
        <f t="shared" ca="1" si="80"/>
        <v>0</v>
      </c>
      <c r="CP55" s="703">
        <f t="shared" ca="1" si="80"/>
        <v>0</v>
      </c>
      <c r="CQ55" s="703">
        <f t="shared" ca="1" si="80"/>
        <v>0</v>
      </c>
      <c r="CR55" s="703">
        <f t="shared" ca="1" si="80"/>
        <v>0</v>
      </c>
      <c r="CS55" s="703">
        <f t="shared" ca="1" si="80"/>
        <v>0</v>
      </c>
      <c r="CT55" s="703">
        <f t="shared" ca="1" si="80"/>
        <v>0</v>
      </c>
      <c r="CU55" s="703">
        <f t="shared" ca="1" si="80"/>
        <v>0</v>
      </c>
      <c r="CV55" s="703">
        <f t="shared" ca="1" si="80"/>
        <v>0</v>
      </c>
      <c r="CW55" s="703">
        <f t="shared" ca="1" si="80"/>
        <v>0</v>
      </c>
      <c r="CX55" s="703">
        <f t="shared" ca="1" si="80"/>
        <v>0</v>
      </c>
      <c r="CY55" s="703">
        <f t="shared" ca="1" si="80"/>
        <v>0</v>
      </c>
      <c r="CZ55" s="703">
        <f t="shared" ca="1" si="80"/>
        <v>0</v>
      </c>
      <c r="DA55" s="703">
        <f t="shared" ca="1" si="80"/>
        <v>0</v>
      </c>
      <c r="DB55" s="703">
        <f t="shared" ca="1" si="80"/>
        <v>0</v>
      </c>
      <c r="DC55" s="703">
        <f t="shared" ca="1" si="80"/>
        <v>0</v>
      </c>
      <c r="DD55" s="703">
        <f t="shared" ca="1" si="80"/>
        <v>0</v>
      </c>
      <c r="DE55" s="703">
        <f t="shared" ca="1" si="80"/>
        <v>0</v>
      </c>
      <c r="DF55" s="703">
        <f t="shared" ca="1" si="80"/>
        <v>0</v>
      </c>
      <c r="DG55" s="703">
        <f t="shared" ca="1" si="80"/>
        <v>0</v>
      </c>
      <c r="DH55" s="703">
        <f t="shared" ca="1" si="80"/>
        <v>0</v>
      </c>
      <c r="DI55" s="703">
        <f t="shared" ca="1" si="80"/>
        <v>0</v>
      </c>
      <c r="DJ55" s="703">
        <f t="shared" ca="1" si="80"/>
        <v>0</v>
      </c>
      <c r="DK55" s="703">
        <f t="shared" ca="1" si="80"/>
        <v>0</v>
      </c>
      <c r="DL55" s="703">
        <f t="shared" ca="1" si="80"/>
        <v>0</v>
      </c>
      <c r="DM55" s="703">
        <f t="shared" ca="1" si="80"/>
        <v>0</v>
      </c>
      <c r="DN55" s="703">
        <f t="shared" ca="1" si="80"/>
        <v>0</v>
      </c>
      <c r="DO55" s="703">
        <f t="shared" ca="1" si="80"/>
        <v>0</v>
      </c>
      <c r="DP55" s="703">
        <f t="shared" ca="1" si="80"/>
        <v>0</v>
      </c>
      <c r="DQ55" s="703">
        <f t="shared" ca="1" si="80"/>
        <v>0</v>
      </c>
      <c r="DR55" s="703">
        <f t="shared" ca="1" si="80"/>
        <v>0</v>
      </c>
      <c r="DS55" s="703">
        <f t="shared" ca="1" si="80"/>
        <v>0</v>
      </c>
      <c r="DT55" s="703">
        <f t="shared" ca="1" si="80"/>
        <v>0</v>
      </c>
      <c r="DU55" s="703">
        <f t="shared" ca="1" si="80"/>
        <v>0</v>
      </c>
      <c r="DV55" s="703">
        <f t="shared" ca="1" si="80"/>
        <v>0</v>
      </c>
      <c r="DW55" s="703">
        <f t="shared" ca="1" si="80"/>
        <v>0</v>
      </c>
      <c r="DX55" s="703">
        <f t="shared" ca="1" si="80"/>
        <v>0</v>
      </c>
      <c r="DY55" s="703">
        <f t="shared" ca="1" si="80"/>
        <v>0</v>
      </c>
      <c r="DZ55" s="879"/>
      <c r="EA55" s="879"/>
    </row>
    <row r="56" spans="1:131" s="390" customFormat="1">
      <c r="A56" s="389"/>
      <c r="B56" s="389"/>
      <c r="C56" s="389"/>
      <c r="D56" s="389"/>
      <c r="E56" s="879"/>
      <c r="F56" s="879"/>
      <c r="G56" s="816"/>
      <c r="H56" s="834"/>
      <c r="I56" s="703"/>
      <c r="J56" s="703"/>
      <c r="K56" s="703"/>
      <c r="L56" s="703"/>
      <c r="M56" s="703"/>
      <c r="N56" s="703"/>
      <c r="O56" s="703"/>
      <c r="P56" s="703"/>
      <c r="Q56" s="703"/>
      <c r="R56" s="703"/>
      <c r="S56" s="703"/>
      <c r="T56" s="703"/>
      <c r="U56" s="703"/>
      <c r="V56" s="703"/>
      <c r="W56" s="703"/>
      <c r="X56" s="703"/>
      <c r="Y56" s="703"/>
      <c r="Z56" s="703"/>
      <c r="AA56" s="703"/>
      <c r="AB56" s="703"/>
      <c r="AC56" s="703"/>
      <c r="AD56" s="703"/>
      <c r="AE56" s="703"/>
      <c r="AF56" s="703"/>
      <c r="AG56" s="703"/>
      <c r="AH56" s="703"/>
      <c r="AI56" s="703"/>
      <c r="AJ56" s="703"/>
      <c r="AK56" s="703"/>
      <c r="AL56" s="703"/>
      <c r="AM56" s="703"/>
      <c r="AN56" s="703"/>
      <c r="AO56" s="703"/>
      <c r="AP56" s="703"/>
      <c r="AQ56" s="703"/>
      <c r="AR56" s="703"/>
      <c r="AS56" s="703"/>
      <c r="AT56" s="703"/>
      <c r="AU56" s="703"/>
      <c r="AV56" s="703"/>
      <c r="AW56" s="703"/>
      <c r="AX56" s="703"/>
      <c r="AY56" s="703"/>
      <c r="AZ56" s="703"/>
      <c r="BA56" s="703"/>
      <c r="BB56" s="703"/>
      <c r="BC56" s="703"/>
      <c r="BD56" s="703"/>
      <c r="BE56" s="703"/>
      <c r="BF56" s="703"/>
      <c r="BG56" s="703"/>
      <c r="BH56" s="703"/>
      <c r="BI56" s="703"/>
      <c r="BJ56" s="703"/>
      <c r="BK56" s="703"/>
      <c r="BL56" s="703"/>
      <c r="BM56" s="703"/>
      <c r="BN56" s="703"/>
      <c r="BO56" s="703"/>
      <c r="BP56" s="703"/>
      <c r="BQ56" s="703"/>
      <c r="BR56" s="703"/>
      <c r="BS56" s="703"/>
      <c r="BT56" s="703"/>
      <c r="BU56" s="703"/>
      <c r="BV56" s="703"/>
      <c r="BW56" s="703"/>
      <c r="BX56" s="703"/>
      <c r="BY56" s="703"/>
      <c r="BZ56" s="703"/>
      <c r="CA56" s="703"/>
      <c r="CB56" s="703"/>
      <c r="CC56" s="703"/>
      <c r="CD56" s="703"/>
      <c r="CE56" s="703"/>
      <c r="CF56" s="703"/>
      <c r="CG56" s="703"/>
      <c r="CH56" s="703"/>
      <c r="CI56" s="703"/>
      <c r="CJ56" s="703"/>
      <c r="CK56" s="703"/>
      <c r="CL56" s="703"/>
      <c r="CM56" s="703"/>
      <c r="CN56" s="703"/>
      <c r="CO56" s="703"/>
      <c r="CP56" s="703"/>
      <c r="CQ56" s="703"/>
      <c r="CR56" s="703"/>
      <c r="CS56" s="703"/>
      <c r="CT56" s="703"/>
      <c r="CU56" s="703"/>
      <c r="CV56" s="703"/>
      <c r="CW56" s="703"/>
      <c r="CX56" s="703"/>
      <c r="CY56" s="703"/>
      <c r="CZ56" s="703"/>
      <c r="DA56" s="703"/>
      <c r="DB56" s="703"/>
      <c r="DC56" s="703"/>
      <c r="DD56" s="703"/>
      <c r="DE56" s="703"/>
      <c r="DF56" s="703"/>
      <c r="DG56" s="703"/>
      <c r="DH56" s="703"/>
      <c r="DI56" s="703"/>
      <c r="DJ56" s="703"/>
      <c r="DK56" s="703"/>
      <c r="DL56" s="703"/>
      <c r="DM56" s="703"/>
      <c r="DN56" s="703"/>
      <c r="DO56" s="703"/>
      <c r="DP56" s="703"/>
      <c r="DQ56" s="703"/>
      <c r="DR56" s="703"/>
      <c r="DS56" s="703"/>
      <c r="DT56" s="703"/>
      <c r="DU56" s="703"/>
      <c r="DV56" s="703"/>
      <c r="DW56" s="703"/>
      <c r="DX56" s="703"/>
      <c r="DY56" s="703"/>
      <c r="DZ56" s="879"/>
      <c r="EA56" s="879"/>
    </row>
    <row r="57" spans="1:131" s="390" customFormat="1">
      <c r="A57" s="389"/>
      <c r="B57" s="433"/>
      <c r="C57" s="389"/>
      <c r="D57" s="436" t="s">
        <v>114</v>
      </c>
      <c r="E57" s="437"/>
      <c r="F57" s="437"/>
      <c r="G57" s="818"/>
      <c r="H57" s="835"/>
      <c r="I57" s="752"/>
      <c r="J57" s="752"/>
      <c r="K57" s="752"/>
      <c r="L57" s="752"/>
      <c r="M57" s="752"/>
      <c r="N57" s="752"/>
      <c r="O57" s="752"/>
      <c r="P57" s="752"/>
      <c r="Q57" s="752"/>
      <c r="R57" s="752"/>
      <c r="S57" s="752"/>
      <c r="T57" s="752"/>
      <c r="U57" s="752"/>
      <c r="V57" s="752"/>
      <c r="W57" s="752"/>
      <c r="X57" s="752"/>
      <c r="Y57" s="752"/>
      <c r="Z57" s="752"/>
      <c r="AA57" s="752"/>
      <c r="AB57" s="752"/>
      <c r="AC57" s="752"/>
      <c r="AD57" s="752"/>
      <c r="AE57" s="752"/>
      <c r="AF57" s="752"/>
      <c r="AG57" s="752"/>
      <c r="AH57" s="752"/>
      <c r="AI57" s="752"/>
      <c r="AJ57" s="752"/>
      <c r="AK57" s="752"/>
      <c r="AL57" s="752"/>
      <c r="AM57" s="752"/>
      <c r="AN57" s="752"/>
      <c r="AO57" s="752"/>
      <c r="AP57" s="752"/>
      <c r="AQ57" s="752"/>
      <c r="AR57" s="752"/>
      <c r="AS57" s="752"/>
      <c r="AT57" s="752"/>
      <c r="AU57" s="752"/>
      <c r="AV57" s="752"/>
      <c r="AW57" s="752"/>
      <c r="AX57" s="752"/>
      <c r="AY57" s="752"/>
      <c r="AZ57" s="752"/>
      <c r="BA57" s="752"/>
      <c r="BB57" s="752"/>
      <c r="BC57" s="752"/>
      <c r="BD57" s="752"/>
      <c r="BE57" s="752"/>
      <c r="BF57" s="752"/>
      <c r="BG57" s="752"/>
      <c r="BH57" s="752"/>
      <c r="BI57" s="752"/>
      <c r="BJ57" s="752"/>
      <c r="BK57" s="752"/>
      <c r="BL57" s="752"/>
      <c r="BM57" s="752"/>
      <c r="BN57" s="752"/>
      <c r="BO57" s="752"/>
      <c r="BP57" s="752"/>
      <c r="BQ57" s="752"/>
      <c r="BR57" s="752"/>
      <c r="BS57" s="752"/>
      <c r="BT57" s="752"/>
      <c r="BU57" s="752"/>
      <c r="BV57" s="752"/>
      <c r="BW57" s="752"/>
      <c r="BX57" s="752"/>
      <c r="BY57" s="752"/>
      <c r="BZ57" s="752"/>
      <c r="CA57" s="752"/>
      <c r="CB57" s="752"/>
      <c r="CC57" s="752"/>
      <c r="CD57" s="752"/>
      <c r="CE57" s="752"/>
      <c r="CF57" s="752"/>
      <c r="CG57" s="752"/>
      <c r="CH57" s="752"/>
      <c r="CI57" s="752"/>
      <c r="CJ57" s="752"/>
      <c r="CK57" s="752"/>
      <c r="CL57" s="752"/>
      <c r="CM57" s="752"/>
      <c r="CN57" s="752"/>
      <c r="CO57" s="752"/>
      <c r="CP57" s="752"/>
      <c r="CQ57" s="752"/>
      <c r="CR57" s="752"/>
      <c r="CS57" s="752"/>
      <c r="CT57" s="752"/>
      <c r="CU57" s="752"/>
      <c r="CV57" s="752"/>
      <c r="CW57" s="752"/>
      <c r="CX57" s="752"/>
      <c r="CY57" s="752"/>
      <c r="CZ57" s="752"/>
      <c r="DA57" s="752"/>
      <c r="DB57" s="752"/>
      <c r="DC57" s="752"/>
      <c r="DD57" s="752"/>
      <c r="DE57" s="752"/>
      <c r="DF57" s="752"/>
      <c r="DG57" s="752"/>
      <c r="DH57" s="752"/>
      <c r="DI57" s="752"/>
      <c r="DJ57" s="752"/>
      <c r="DK57" s="752"/>
      <c r="DL57" s="752"/>
      <c r="DM57" s="752"/>
      <c r="DN57" s="752"/>
      <c r="DO57" s="752"/>
      <c r="DP57" s="752"/>
      <c r="DQ57" s="752"/>
      <c r="DR57" s="752"/>
      <c r="DS57" s="752"/>
      <c r="DT57" s="752"/>
      <c r="DU57" s="752"/>
      <c r="DV57" s="752"/>
      <c r="DW57" s="752"/>
      <c r="DX57" s="752"/>
      <c r="DY57" s="752"/>
      <c r="DZ57" s="883"/>
      <c r="EA57" s="879"/>
    </row>
    <row r="58" spans="1:131" s="390" customFormat="1">
      <c r="A58" s="389"/>
      <c r="B58" s="422">
        <f ca="1">-SUMIFS('Monthly-Waterfall'!I58:DY58,'Monthly-Waterfall'!I58:DY58,"&lt;"&amp;0)</f>
        <v>19794331.906273816</v>
      </c>
      <c r="C58" s="389"/>
      <c r="D58" s="422" t="str">
        <f>J7</f>
        <v>Outside Investor</v>
      </c>
      <c r="E58" s="571">
        <f ca="1">+XIRR(J58:DY58,J14:DY14)</f>
        <v>0.15477971434593202</v>
      </c>
      <c r="F58" s="571"/>
      <c r="G58" s="819">
        <f t="shared" ref="G58:G63" ca="1" si="81">SUM(I58:DY58)</f>
        <v>35615955.529329158</v>
      </c>
      <c r="H58" s="836"/>
      <c r="I58" s="884">
        <f>I22+I27+I34+I42+I50</f>
        <v>0</v>
      </c>
      <c r="J58" s="788">
        <f ca="1">J22+J27+J34+J42+J50</f>
        <v>-4680000</v>
      </c>
      <c r="K58" s="788">
        <f t="shared" ref="I58:BT59" ca="1" si="82">K22+K27+K34+K42+K50</f>
        <v>-352037.7064366049</v>
      </c>
      <c r="L58" s="788">
        <f t="shared" ca="1" si="82"/>
        <v>-2475663.5995460674</v>
      </c>
      <c r="M58" s="788">
        <f t="shared" ca="1" si="82"/>
        <v>-2475663.5995460674</v>
      </c>
      <c r="N58" s="788">
        <f t="shared" ca="1" si="82"/>
        <v>-2475663.5995460674</v>
      </c>
      <c r="O58" s="788">
        <f t="shared" ca="1" si="82"/>
        <v>-2475663.5995460674</v>
      </c>
      <c r="P58" s="788">
        <f t="shared" ca="1" si="82"/>
        <v>-2475663.5995460674</v>
      </c>
      <c r="Q58" s="788">
        <f t="shared" ca="1" si="82"/>
        <v>-2383976.2021068749</v>
      </c>
      <c r="R58" s="788">
        <f t="shared" ca="1" si="82"/>
        <v>0</v>
      </c>
      <c r="S58" s="788">
        <f t="shared" ca="1" si="82"/>
        <v>0</v>
      </c>
      <c r="T58" s="788">
        <f t="shared" ca="1" si="82"/>
        <v>0</v>
      </c>
      <c r="U58" s="788">
        <f t="shared" ca="1" si="82"/>
        <v>0</v>
      </c>
      <c r="V58" s="788">
        <f t="shared" ca="1" si="82"/>
        <v>0</v>
      </c>
      <c r="W58" s="788">
        <f t="shared" ca="1" si="82"/>
        <v>0</v>
      </c>
      <c r="X58" s="788">
        <f t="shared" ca="1" si="82"/>
        <v>0</v>
      </c>
      <c r="Y58" s="788">
        <f t="shared" ca="1" si="82"/>
        <v>0</v>
      </c>
      <c r="Z58" s="788">
        <f t="shared" ca="1" si="82"/>
        <v>0</v>
      </c>
      <c r="AA58" s="788">
        <f t="shared" ca="1" si="82"/>
        <v>0</v>
      </c>
      <c r="AB58" s="788">
        <f t="shared" ca="1" si="82"/>
        <v>0</v>
      </c>
      <c r="AC58" s="788">
        <f t="shared" ca="1" si="82"/>
        <v>0</v>
      </c>
      <c r="AD58" s="788">
        <f t="shared" ca="1" si="82"/>
        <v>0</v>
      </c>
      <c r="AE58" s="788">
        <f t="shared" ca="1" si="82"/>
        <v>0</v>
      </c>
      <c r="AF58" s="788">
        <f t="shared" ca="1" si="82"/>
        <v>0</v>
      </c>
      <c r="AG58" s="788">
        <f t="shared" ca="1" si="82"/>
        <v>0</v>
      </c>
      <c r="AH58" s="788">
        <f t="shared" ca="1" si="82"/>
        <v>0</v>
      </c>
      <c r="AI58" s="788">
        <f t="shared" ca="1" si="82"/>
        <v>8282621.8027114943</v>
      </c>
      <c r="AJ58" s="788">
        <f t="shared" ca="1" si="82"/>
        <v>0</v>
      </c>
      <c r="AK58" s="788">
        <f t="shared" ca="1" si="82"/>
        <v>7859.725154927618</v>
      </c>
      <c r="AL58" s="788">
        <f t="shared" ca="1" si="82"/>
        <v>109154.5983063013</v>
      </c>
      <c r="AM58" s="788">
        <f t="shared" ca="1" si="82"/>
        <v>6526.5311953254632</v>
      </c>
      <c r="AN58" s="788">
        <f t="shared" ca="1" si="82"/>
        <v>0</v>
      </c>
      <c r="AO58" s="788">
        <f t="shared" ca="1" si="82"/>
        <v>0</v>
      </c>
      <c r="AP58" s="788">
        <f t="shared" ca="1" si="82"/>
        <v>0</v>
      </c>
      <c r="AQ58" s="788">
        <f t="shared" ca="1" si="82"/>
        <v>0</v>
      </c>
      <c r="AR58" s="788">
        <f t="shared" ca="1" si="82"/>
        <v>58873.429848790242</v>
      </c>
      <c r="AS58" s="788">
        <f t="shared" ca="1" si="82"/>
        <v>139791.69164142892</v>
      </c>
      <c r="AT58" s="788">
        <f t="shared" ca="1" si="82"/>
        <v>159769.65777109182</v>
      </c>
      <c r="AU58" s="788">
        <f t="shared" ca="1" si="82"/>
        <v>89759.594867420892</v>
      </c>
      <c r="AV58" s="788">
        <f t="shared" ca="1" si="82"/>
        <v>87185.795961210359</v>
      </c>
      <c r="AW58" s="788">
        <f t="shared" ca="1" si="82"/>
        <v>123455.35304279767</v>
      </c>
      <c r="AX58" s="788">
        <f t="shared" ca="1" si="82"/>
        <v>214792.55441089167</v>
      </c>
      <c r="AY58" s="788">
        <f t="shared" ca="1" si="82"/>
        <v>76942.031111739183</v>
      </c>
      <c r="AZ58" s="788">
        <f t="shared" ca="1" si="82"/>
        <v>0</v>
      </c>
      <c r="BA58" s="788">
        <f t="shared" ca="1" si="82"/>
        <v>0</v>
      </c>
      <c r="BB58" s="788">
        <f t="shared" ca="1" si="82"/>
        <v>0</v>
      </c>
      <c r="BC58" s="788">
        <f t="shared" ca="1" si="82"/>
        <v>95343.489281013433</v>
      </c>
      <c r="BD58" s="788">
        <f t="shared" ca="1" si="82"/>
        <v>140581.4953809962</v>
      </c>
      <c r="BE58" s="788">
        <f t="shared" ca="1" si="82"/>
        <v>152508.51249168252</v>
      </c>
      <c r="BF58" s="788">
        <f t="shared" ca="1" si="82"/>
        <v>160874.01105573258</v>
      </c>
      <c r="BG58" s="788">
        <f t="shared" ca="1" si="82"/>
        <v>89749.687736345368</v>
      </c>
      <c r="BH58" s="788">
        <f t="shared" ca="1" si="82"/>
        <v>87143.457497537223</v>
      </c>
      <c r="BI58" s="788">
        <f t="shared" ca="1" si="82"/>
        <v>123987.76392719038</v>
      </c>
      <c r="BJ58" s="788">
        <f t="shared" ca="1" si="82"/>
        <v>216730.57733726793</v>
      </c>
      <c r="BK58" s="788">
        <f t="shared" ca="1" si="82"/>
        <v>76772.469337475603</v>
      </c>
      <c r="BL58" s="788">
        <f t="shared" ca="1" si="82"/>
        <v>0</v>
      </c>
      <c r="BM58" s="788">
        <f t="shared" ca="1" si="82"/>
        <v>0</v>
      </c>
      <c r="BN58" s="788">
        <f t="shared" ca="1" si="82"/>
        <v>0</v>
      </c>
      <c r="BO58" s="788">
        <f t="shared" ca="1" si="82"/>
        <v>115146.09185555542</v>
      </c>
      <c r="BP58" s="788">
        <f t="shared" ca="1" si="82"/>
        <v>144143.81078301906</v>
      </c>
      <c r="BQ58" s="788">
        <f t="shared" ca="1" si="82"/>
        <v>156240.53107943202</v>
      </c>
      <c r="BR58" s="788">
        <f t="shared" ca="1" si="82"/>
        <v>164755.02266349838</v>
      </c>
      <c r="BS58" s="788">
        <f t="shared" ca="1" si="82"/>
        <v>92512.592360065391</v>
      </c>
      <c r="BT58" s="788">
        <f t="shared" ca="1" si="82"/>
        <v>89874.30132771896</v>
      </c>
      <c r="BU58" s="788">
        <f t="shared" ref="BU58:DX59" ca="1" si="83">BU22+BU27+BU34+BU42+BU50</f>
        <v>127295.19946494866</v>
      </c>
      <c r="BV58" s="788">
        <f t="shared" ca="1" si="83"/>
        <v>221445.75815829771</v>
      </c>
      <c r="BW58" s="788">
        <f t="shared" ca="1" si="83"/>
        <v>79377.675846796192</v>
      </c>
      <c r="BX58" s="788">
        <f t="shared" ca="1" si="83"/>
        <v>0</v>
      </c>
      <c r="BY58" s="788">
        <f t="shared" ca="1" si="83"/>
        <v>0</v>
      </c>
      <c r="BZ58" s="788">
        <f t="shared" ca="1" si="83"/>
        <v>0</v>
      </c>
      <c r="CA58" s="788">
        <f t="shared" ca="1" si="83"/>
        <v>106604.99152433057</v>
      </c>
      <c r="CB58" s="788">
        <f t="shared" ca="1" si="83"/>
        <v>147563.4590823171</v>
      </c>
      <c r="CC58" s="788">
        <f t="shared" ca="1" si="83"/>
        <v>159829.3304402011</v>
      </c>
      <c r="CD58" s="788">
        <f t="shared" ca="1" si="83"/>
        <v>168494.10933132426</v>
      </c>
      <c r="CE58" s="788">
        <f t="shared" ca="1" si="83"/>
        <v>95130.49751579015</v>
      </c>
      <c r="CF58" s="788">
        <f t="shared" ca="1" si="83"/>
        <v>92460.567649508375</v>
      </c>
      <c r="CG58" s="788">
        <f t="shared" ca="1" si="83"/>
        <v>130459.49312098254</v>
      </c>
      <c r="CH58" s="788">
        <f t="shared" ca="1" si="83"/>
        <v>226018.79328252989</v>
      </c>
      <c r="CI58" s="788">
        <f t="shared" ca="1" si="83"/>
        <v>81840.100497816791</v>
      </c>
      <c r="CJ58" s="788">
        <f t="shared" ca="1" si="83"/>
        <v>0</v>
      </c>
      <c r="CK58" s="788">
        <f t="shared" ca="1" si="83"/>
        <v>0</v>
      </c>
      <c r="CL58" s="788">
        <f t="shared" ca="1" si="83"/>
        <v>0</v>
      </c>
      <c r="CM58" s="788">
        <f t="shared" ca="1" si="83"/>
        <v>112807.25230762165</v>
      </c>
      <c r="CN58" s="788">
        <f t="shared" ca="1" si="83"/>
        <v>150828.55782341232</v>
      </c>
      <c r="CO58" s="788">
        <f t="shared" ca="1" si="83"/>
        <v>163262.84225818858</v>
      </c>
      <c r="CP58" s="788">
        <f t="shared" ca="1" si="83"/>
        <v>174724.57172044981</v>
      </c>
      <c r="CQ58" s="788">
        <f t="shared" ca="1" si="83"/>
        <v>100237.52568936143</v>
      </c>
      <c r="CR58" s="788">
        <f t="shared" ca="1" si="83"/>
        <v>97536.433121037247</v>
      </c>
      <c r="CS58" s="788">
        <f t="shared" ca="1" si="83"/>
        <v>136114.38875848716</v>
      </c>
      <c r="CT58" s="788">
        <f t="shared" ca="1" si="83"/>
        <v>233082.21937350102</v>
      </c>
      <c r="CU58" s="788">
        <f t="shared" ca="1" si="83"/>
        <v>86794.140761263741</v>
      </c>
      <c r="CV58" s="788">
        <f t="shared" ca="1" si="83"/>
        <v>0</v>
      </c>
      <c r="CW58" s="788">
        <f t="shared" ca="1" si="83"/>
        <v>0</v>
      </c>
      <c r="CX58" s="788">
        <f t="shared" ca="1" si="83"/>
        <v>0</v>
      </c>
      <c r="CY58" s="788">
        <f t="shared" ca="1" si="83"/>
        <v>151488.89944722888</v>
      </c>
      <c r="CZ58" s="788">
        <f t="shared" ca="1" si="83"/>
        <v>165830.75523480636</v>
      </c>
      <c r="DA58" s="788">
        <f t="shared" ca="1" si="83"/>
        <v>178638.06820262584</v>
      </c>
      <c r="DB58" s="788">
        <f t="shared" ca="1" si="83"/>
        <v>167442.04987787068</v>
      </c>
      <c r="DC58" s="788">
        <f t="shared" ca="1" si="83"/>
        <v>90720.392465850004</v>
      </c>
      <c r="DD58" s="788">
        <f t="shared" ca="1" si="83"/>
        <v>87938.267120476201</v>
      </c>
      <c r="DE58" s="788">
        <f t="shared" ca="1" si="83"/>
        <v>127673.56142704944</v>
      </c>
      <c r="DF58" s="788">
        <f t="shared" ca="1" si="83"/>
        <v>227550.42696051361</v>
      </c>
      <c r="DG58" s="788">
        <f t="shared" ca="1" si="83"/>
        <v>76873.705989909198</v>
      </c>
      <c r="DH58" s="788">
        <f t="shared" ca="1" si="83"/>
        <v>0</v>
      </c>
      <c r="DI58" s="788">
        <f t="shared" ca="1" si="83"/>
        <v>0</v>
      </c>
      <c r="DJ58" s="788">
        <f t="shared" ca="1" si="83"/>
        <v>0</v>
      </c>
      <c r="DK58" s="788">
        <f t="shared" ca="1" si="83"/>
        <v>122679.47158351005</v>
      </c>
      <c r="DL58" s="788">
        <f t="shared" ca="1" si="83"/>
        <v>158281.41889765786</v>
      </c>
      <c r="DM58" s="788">
        <f t="shared" ca="1" si="83"/>
        <v>171472.95125451233</v>
      </c>
      <c r="DN58" s="788">
        <f t="shared" ca="1" si="83"/>
        <v>179314.17121900115</v>
      </c>
      <c r="DO58" s="788">
        <f t="shared" ca="1" si="83"/>
        <v>100290.86408461993</v>
      </c>
      <c r="DP58" s="788">
        <f t="shared" ca="1" si="83"/>
        <v>97425.274978884583</v>
      </c>
      <c r="DQ58" s="788">
        <f ca="1">DQ22+DQ27+DQ34+DQ42+DQ50</f>
        <v>138352.62811465538</v>
      </c>
      <c r="DR58" s="788">
        <f t="shared" ca="1" si="83"/>
        <v>241225.79961412365</v>
      </c>
      <c r="DS58" s="788">
        <f t="shared" ca="1" si="83"/>
        <v>86028.77701440097</v>
      </c>
      <c r="DT58" s="788">
        <f t="shared" ca="1" si="83"/>
        <v>0</v>
      </c>
      <c r="DU58" s="788">
        <f t="shared" ca="1" si="83"/>
        <v>0</v>
      </c>
      <c r="DV58" s="788">
        <f t="shared" ca="1" si="83"/>
        <v>0</v>
      </c>
      <c r="DW58" s="788">
        <f t="shared" ca="1" si="83"/>
        <v>136510.06574666969</v>
      </c>
      <c r="DX58" s="788">
        <f t="shared" ca="1" si="83"/>
        <v>169878.72130938232</v>
      </c>
      <c r="DY58" s="788">
        <f ca="1">DY22+DY27+DY34+DY42+DY50</f>
        <v>38379666.677193105</v>
      </c>
      <c r="DZ58" s="422"/>
      <c r="EA58" s="879"/>
    </row>
    <row r="59" spans="1:131" s="390" customFormat="1">
      <c r="A59" s="389"/>
      <c r="B59" s="422"/>
      <c r="C59" s="389"/>
      <c r="D59" s="439" t="str">
        <f>K7</f>
        <v>Sponsor Investors</v>
      </c>
      <c r="E59" s="438">
        <f ca="1">+XIRR(J59:DY59,J14:DY14)</f>
        <v>0.15477971434593202</v>
      </c>
      <c r="F59" s="438"/>
      <c r="G59" s="820">
        <f t="shared" ca="1" si="81"/>
        <v>3957328.3921476821</v>
      </c>
      <c r="H59" s="836"/>
      <c r="I59" s="753">
        <f t="shared" si="82"/>
        <v>0</v>
      </c>
      <c r="J59" s="754">
        <f t="shared" ca="1" si="82"/>
        <v>-519999.99999999988</v>
      </c>
      <c r="K59" s="754">
        <f t="shared" ca="1" si="82"/>
        <v>-39115.300715178309</v>
      </c>
      <c r="L59" s="754">
        <f t="shared" ca="1" si="82"/>
        <v>-275073.73328289628</v>
      </c>
      <c r="M59" s="754">
        <f t="shared" ca="1" si="82"/>
        <v>-275073.73328289628</v>
      </c>
      <c r="N59" s="754">
        <f t="shared" ca="1" si="82"/>
        <v>-275073.73328289628</v>
      </c>
      <c r="O59" s="754">
        <f t="shared" ca="1" si="82"/>
        <v>-275073.73328289628</v>
      </c>
      <c r="P59" s="754">
        <f t="shared" ca="1" si="82"/>
        <v>-275073.73328289628</v>
      </c>
      <c r="Q59" s="754">
        <f t="shared" ca="1" si="82"/>
        <v>-264886.24467854161</v>
      </c>
      <c r="R59" s="754">
        <f t="shared" ca="1" si="82"/>
        <v>0</v>
      </c>
      <c r="S59" s="754">
        <f t="shared" ca="1" si="82"/>
        <v>0</v>
      </c>
      <c r="T59" s="754">
        <f t="shared" ca="1" si="82"/>
        <v>0</v>
      </c>
      <c r="U59" s="754">
        <f t="shared" ca="1" si="82"/>
        <v>0</v>
      </c>
      <c r="V59" s="754">
        <f t="shared" ca="1" si="82"/>
        <v>0</v>
      </c>
      <c r="W59" s="754">
        <f t="shared" ca="1" si="82"/>
        <v>0</v>
      </c>
      <c r="X59" s="754">
        <f t="shared" ca="1" si="82"/>
        <v>0</v>
      </c>
      <c r="Y59" s="754">
        <f t="shared" ca="1" si="82"/>
        <v>0</v>
      </c>
      <c r="Z59" s="754">
        <f t="shared" ca="1" si="82"/>
        <v>0</v>
      </c>
      <c r="AA59" s="754">
        <f t="shared" ca="1" si="82"/>
        <v>0</v>
      </c>
      <c r="AB59" s="754">
        <f t="shared" ca="1" si="82"/>
        <v>0</v>
      </c>
      <c r="AC59" s="754">
        <f t="shared" ca="1" si="82"/>
        <v>0</v>
      </c>
      <c r="AD59" s="754">
        <f t="shared" ca="1" si="82"/>
        <v>0</v>
      </c>
      <c r="AE59" s="754">
        <f t="shared" ca="1" si="82"/>
        <v>0</v>
      </c>
      <c r="AF59" s="754">
        <f t="shared" ca="1" si="82"/>
        <v>0</v>
      </c>
      <c r="AG59" s="754">
        <f t="shared" ca="1" si="82"/>
        <v>0</v>
      </c>
      <c r="AH59" s="754">
        <f t="shared" ca="1" si="82"/>
        <v>0</v>
      </c>
      <c r="AI59" s="754">
        <f t="shared" ca="1" si="82"/>
        <v>920291.31141238811</v>
      </c>
      <c r="AJ59" s="754">
        <f t="shared" ca="1" si="82"/>
        <v>0</v>
      </c>
      <c r="AK59" s="754">
        <f t="shared" ca="1" si="82"/>
        <v>873.30279499195728</v>
      </c>
      <c r="AL59" s="754">
        <f t="shared" ca="1" si="82"/>
        <v>12128.288700700141</v>
      </c>
      <c r="AM59" s="754">
        <f t="shared" ca="1" si="82"/>
        <v>725.17013281394009</v>
      </c>
      <c r="AN59" s="754">
        <f t="shared" ca="1" si="82"/>
        <v>0</v>
      </c>
      <c r="AO59" s="754">
        <f t="shared" ca="1" si="82"/>
        <v>0</v>
      </c>
      <c r="AP59" s="754">
        <f t="shared" ca="1" si="82"/>
        <v>0</v>
      </c>
      <c r="AQ59" s="754">
        <f t="shared" ca="1" si="82"/>
        <v>0</v>
      </c>
      <c r="AR59" s="754">
        <f t="shared" ca="1" si="82"/>
        <v>6541.4922054211365</v>
      </c>
      <c r="AS59" s="754">
        <f t="shared" ca="1" si="82"/>
        <v>15532.410182380987</v>
      </c>
      <c r="AT59" s="754">
        <f t="shared" ca="1" si="82"/>
        <v>17752.184196787977</v>
      </c>
      <c r="AU59" s="754">
        <f t="shared" ca="1" si="82"/>
        <v>9973.2883186023191</v>
      </c>
      <c r="AV59" s="754">
        <f t="shared" ca="1" si="82"/>
        <v>9687.3106623567037</v>
      </c>
      <c r="AW59" s="754">
        <f t="shared" ca="1" si="82"/>
        <v>13717.261449199737</v>
      </c>
      <c r="AX59" s="754">
        <f t="shared" ca="1" si="82"/>
        <v>23865.839378987959</v>
      </c>
      <c r="AY59" s="754">
        <f t="shared" ca="1" si="82"/>
        <v>8549.1145679710189</v>
      </c>
      <c r="AZ59" s="754">
        <f t="shared" ca="1" si="82"/>
        <v>0</v>
      </c>
      <c r="BA59" s="754">
        <f t="shared" ca="1" si="82"/>
        <v>0</v>
      </c>
      <c r="BB59" s="754">
        <f t="shared" ca="1" si="82"/>
        <v>0</v>
      </c>
      <c r="BC59" s="754">
        <f t="shared" ca="1" si="82"/>
        <v>10593.721031223713</v>
      </c>
      <c r="BD59" s="754">
        <f t="shared" ca="1" si="82"/>
        <v>15620.166153444021</v>
      </c>
      <c r="BE59" s="754">
        <f t="shared" ca="1" si="82"/>
        <v>16945.39027685361</v>
      </c>
      <c r="BF59" s="754">
        <f t="shared" ca="1" si="82"/>
        <v>17874.890117303617</v>
      </c>
      <c r="BG59" s="754">
        <f t="shared" ca="1" si="82"/>
        <v>9972.1875262605936</v>
      </c>
      <c r="BH59" s="754">
        <f t="shared" ca="1" si="82"/>
        <v>9682.6063886152442</v>
      </c>
      <c r="BI59" s="754">
        <f t="shared" ca="1" si="82"/>
        <v>13776.418214132262</v>
      </c>
      <c r="BJ59" s="754">
        <f t="shared" ca="1" si="82"/>
        <v>24081.175259696432</v>
      </c>
      <c r="BK59" s="754">
        <f t="shared" ca="1" si="82"/>
        <v>8530.2743708306207</v>
      </c>
      <c r="BL59" s="754">
        <f t="shared" ca="1" si="82"/>
        <v>0</v>
      </c>
      <c r="BM59" s="754">
        <f t="shared" ca="1" si="82"/>
        <v>0</v>
      </c>
      <c r="BN59" s="754">
        <f t="shared" ca="1" si="82"/>
        <v>0</v>
      </c>
      <c r="BO59" s="754">
        <f t="shared" ca="1" si="82"/>
        <v>12794.010206172821</v>
      </c>
      <c r="BP59" s="754">
        <f t="shared" ca="1" si="82"/>
        <v>16015.978975891005</v>
      </c>
      <c r="BQ59" s="754">
        <f t="shared" ca="1" si="82"/>
        <v>17360.059008825778</v>
      </c>
      <c r="BR59" s="754">
        <f t="shared" ca="1" si="82"/>
        <v>18306.113629277592</v>
      </c>
      <c r="BS59" s="754">
        <f t="shared" ca="1" si="82"/>
        <v>10279.176928896151</v>
      </c>
      <c r="BT59" s="754">
        <f t="shared" ca="1" si="82"/>
        <v>9986.033480857659</v>
      </c>
      <c r="BU59" s="754">
        <f t="shared" ca="1" si="83"/>
        <v>14143.91105166096</v>
      </c>
      <c r="BV59" s="754">
        <f t="shared" ca="1" si="83"/>
        <v>24605.084239810851</v>
      </c>
      <c r="BW59" s="754">
        <f t="shared" ca="1" si="83"/>
        <v>8819.7417607551306</v>
      </c>
      <c r="BX59" s="754">
        <f t="shared" ca="1" si="83"/>
        <v>0</v>
      </c>
      <c r="BY59" s="754">
        <f t="shared" ca="1" si="83"/>
        <v>0</v>
      </c>
      <c r="BZ59" s="754">
        <f t="shared" ca="1" si="83"/>
        <v>0</v>
      </c>
      <c r="CA59" s="754">
        <f t="shared" ca="1" si="83"/>
        <v>11844.999058258951</v>
      </c>
      <c r="CB59" s="754">
        <f t="shared" ca="1" si="83"/>
        <v>16395.939898035231</v>
      </c>
      <c r="CC59" s="754">
        <f t="shared" ca="1" si="83"/>
        <v>17758.814493355676</v>
      </c>
      <c r="CD59" s="754">
        <f t="shared" ca="1" si="83"/>
        <v>18721.567703480468</v>
      </c>
      <c r="CE59" s="754">
        <f t="shared" ca="1" si="83"/>
        <v>10570.055279532236</v>
      </c>
      <c r="CF59" s="754">
        <f t="shared" ca="1" si="83"/>
        <v>10273.396405500927</v>
      </c>
      <c r="CG59" s="754">
        <f t="shared" ca="1" si="83"/>
        <v>14495.499235664724</v>
      </c>
      <c r="CH59" s="754">
        <f t="shared" ca="1" si="83"/>
        <v>25113.199253614428</v>
      </c>
      <c r="CI59" s="754">
        <f t="shared" ca="1" si="83"/>
        <v>9093.3444997574188</v>
      </c>
      <c r="CJ59" s="754">
        <f t="shared" ca="1" si="83"/>
        <v>0</v>
      </c>
      <c r="CK59" s="754">
        <f t="shared" ca="1" si="83"/>
        <v>0</v>
      </c>
      <c r="CL59" s="754">
        <f t="shared" ca="1" si="83"/>
        <v>0</v>
      </c>
      <c r="CM59" s="754">
        <f t="shared" ca="1" si="83"/>
        <v>12534.13914529129</v>
      </c>
      <c r="CN59" s="754">
        <f t="shared" ca="1" si="83"/>
        <v>16758.728647045809</v>
      </c>
      <c r="CO59" s="754">
        <f t="shared" ca="1" si="83"/>
        <v>18140.315806465394</v>
      </c>
      <c r="CP59" s="754">
        <f t="shared" ca="1" si="83"/>
        <v>19413.841302272194</v>
      </c>
      <c r="CQ59" s="754">
        <f t="shared" ca="1" si="83"/>
        <v>11137.50285437349</v>
      </c>
      <c r="CR59" s="754">
        <f t="shared" ca="1" si="83"/>
        <v>10837.381457893023</v>
      </c>
      <c r="CS59" s="754">
        <f t="shared" ca="1" si="83"/>
        <v>15123.820973165237</v>
      </c>
      <c r="CT59" s="754">
        <f t="shared" ca="1" si="83"/>
        <v>25898.02437483344</v>
      </c>
      <c r="CU59" s="754">
        <f t="shared" ca="1" si="83"/>
        <v>9643.7934179181902</v>
      </c>
      <c r="CV59" s="754">
        <f t="shared" ca="1" si="83"/>
        <v>0</v>
      </c>
      <c r="CW59" s="754">
        <f t="shared" ca="1" si="83"/>
        <v>0</v>
      </c>
      <c r="CX59" s="754">
        <f t="shared" ca="1" si="83"/>
        <v>0</v>
      </c>
      <c r="CY59" s="754">
        <f t="shared" ca="1" si="83"/>
        <v>16832.099938580985</v>
      </c>
      <c r="CZ59" s="754">
        <f t="shared" ca="1" si="83"/>
        <v>18425.639470534035</v>
      </c>
      <c r="DA59" s="754">
        <f t="shared" ca="1" si="83"/>
        <v>19848.674244736201</v>
      </c>
      <c r="DB59" s="754">
        <f t="shared" ca="1" si="83"/>
        <v>18604.672208652293</v>
      </c>
      <c r="DC59" s="754">
        <f t="shared" ca="1" si="83"/>
        <v>10080.043607316664</v>
      </c>
      <c r="DD59" s="754">
        <f t="shared" ca="1" si="83"/>
        <v>9770.9185689417973</v>
      </c>
      <c r="DE59" s="754">
        <f t="shared" ca="1" si="83"/>
        <v>14185.951269672156</v>
      </c>
      <c r="DF59" s="754">
        <f t="shared" ca="1" si="83"/>
        <v>25283.380773390392</v>
      </c>
      <c r="DG59" s="754">
        <f t="shared" ca="1" si="83"/>
        <v>8541.5228877676873</v>
      </c>
      <c r="DH59" s="754">
        <f t="shared" ca="1" si="83"/>
        <v>0</v>
      </c>
      <c r="DI59" s="754">
        <f t="shared" ca="1" si="83"/>
        <v>0</v>
      </c>
      <c r="DJ59" s="754">
        <f t="shared" ca="1" si="83"/>
        <v>0</v>
      </c>
      <c r="DK59" s="754">
        <f t="shared" ca="1" si="83"/>
        <v>13631.05239816778</v>
      </c>
      <c r="DL59" s="754">
        <f t="shared" ca="1" si="83"/>
        <v>17586.82432196198</v>
      </c>
      <c r="DM59" s="754">
        <f t="shared" ca="1" si="83"/>
        <v>19052.550139390252</v>
      </c>
      <c r="DN59" s="754">
        <f t="shared" ca="1" si="83"/>
        <v>19923.796802111232</v>
      </c>
      <c r="DO59" s="754">
        <f t="shared" ca="1" si="83"/>
        <v>11143.429342735544</v>
      </c>
      <c r="DP59" s="754">
        <f t="shared" ca="1" si="83"/>
        <v>10825.030553209395</v>
      </c>
      <c r="DQ59" s="754">
        <f t="shared" ca="1" si="83"/>
        <v>15372.514234961705</v>
      </c>
      <c r="DR59" s="754">
        <f t="shared" ca="1" si="83"/>
        <v>26802.866623791509</v>
      </c>
      <c r="DS59" s="754">
        <f t="shared" ca="1" si="83"/>
        <v>9558.7530016001056</v>
      </c>
      <c r="DT59" s="754">
        <f t="shared" ca="1" si="83"/>
        <v>0</v>
      </c>
      <c r="DU59" s="754">
        <f t="shared" ca="1" si="83"/>
        <v>0</v>
      </c>
      <c r="DV59" s="754">
        <f t="shared" ca="1" si="83"/>
        <v>0</v>
      </c>
      <c r="DW59" s="754">
        <f t="shared" ca="1" si="83"/>
        <v>15167.785082963293</v>
      </c>
      <c r="DX59" s="754">
        <f t="shared" ca="1" si="83"/>
        <v>18875.413478820254</v>
      </c>
      <c r="DY59" s="754">
        <f ca="1">DY23+DY28+DY35+DY43+DY51</f>
        <v>4264407.40857701</v>
      </c>
      <c r="DZ59" s="422"/>
      <c r="EA59" s="879"/>
    </row>
    <row r="60" spans="1:131" s="390" customFormat="1">
      <c r="A60" s="389"/>
      <c r="B60" s="403"/>
      <c r="C60" s="389"/>
      <c r="D60" s="403" t="s">
        <v>115</v>
      </c>
      <c r="E60" s="422"/>
      <c r="F60" s="422"/>
      <c r="G60" s="796">
        <f t="shared" ca="1" si="81"/>
        <v>39573283.921476841</v>
      </c>
      <c r="H60" s="446"/>
      <c r="I60" s="885">
        <f t="shared" ref="I60:BT60" si="84">SUM(I58:I59)</f>
        <v>0</v>
      </c>
      <c r="J60" s="703">
        <f t="shared" ca="1" si="84"/>
        <v>-5200000</v>
      </c>
      <c r="K60" s="703">
        <f t="shared" ca="1" si="84"/>
        <v>-391153.00715178321</v>
      </c>
      <c r="L60" s="703">
        <f t="shared" ca="1" si="84"/>
        <v>-2750737.3328289636</v>
      </c>
      <c r="M60" s="703">
        <f t="shared" ca="1" si="84"/>
        <v>-2750737.3328289636</v>
      </c>
      <c r="N60" s="703">
        <f t="shared" ca="1" si="84"/>
        <v>-2750737.3328289636</v>
      </c>
      <c r="O60" s="703">
        <f t="shared" ca="1" si="84"/>
        <v>-2750737.3328289636</v>
      </c>
      <c r="P60" s="703">
        <f t="shared" ca="1" si="84"/>
        <v>-2750737.3328289636</v>
      </c>
      <c r="Q60" s="703">
        <f t="shared" ca="1" si="84"/>
        <v>-2648862.4467854165</v>
      </c>
      <c r="R60" s="703">
        <f t="shared" ca="1" si="84"/>
        <v>0</v>
      </c>
      <c r="S60" s="703">
        <f t="shared" ca="1" si="84"/>
        <v>0</v>
      </c>
      <c r="T60" s="703">
        <f t="shared" ca="1" si="84"/>
        <v>0</v>
      </c>
      <c r="U60" s="703">
        <f t="shared" ca="1" si="84"/>
        <v>0</v>
      </c>
      <c r="V60" s="703">
        <f t="shared" ca="1" si="84"/>
        <v>0</v>
      </c>
      <c r="W60" s="703">
        <f t="shared" ca="1" si="84"/>
        <v>0</v>
      </c>
      <c r="X60" s="703">
        <f t="shared" ca="1" si="84"/>
        <v>0</v>
      </c>
      <c r="Y60" s="703">
        <f t="shared" ca="1" si="84"/>
        <v>0</v>
      </c>
      <c r="Z60" s="703">
        <f t="shared" ca="1" si="84"/>
        <v>0</v>
      </c>
      <c r="AA60" s="703">
        <f t="shared" ca="1" si="84"/>
        <v>0</v>
      </c>
      <c r="AB60" s="703">
        <f t="shared" ca="1" si="84"/>
        <v>0</v>
      </c>
      <c r="AC60" s="703">
        <f t="shared" ca="1" si="84"/>
        <v>0</v>
      </c>
      <c r="AD60" s="703">
        <f t="shared" ca="1" si="84"/>
        <v>0</v>
      </c>
      <c r="AE60" s="703">
        <f t="shared" ca="1" si="84"/>
        <v>0</v>
      </c>
      <c r="AF60" s="703">
        <f t="shared" ca="1" si="84"/>
        <v>0</v>
      </c>
      <c r="AG60" s="703">
        <f t="shared" ca="1" si="84"/>
        <v>0</v>
      </c>
      <c r="AH60" s="703">
        <f t="shared" ca="1" si="84"/>
        <v>0</v>
      </c>
      <c r="AI60" s="703">
        <f t="shared" ca="1" si="84"/>
        <v>9202913.1141238827</v>
      </c>
      <c r="AJ60" s="703">
        <f t="shared" ca="1" si="84"/>
        <v>0</v>
      </c>
      <c r="AK60" s="703">
        <f t="shared" ca="1" si="84"/>
        <v>8733.0279499195749</v>
      </c>
      <c r="AL60" s="703">
        <f t="shared" ca="1" si="84"/>
        <v>121282.88700700144</v>
      </c>
      <c r="AM60" s="703">
        <f t="shared" ca="1" si="84"/>
        <v>7251.7013281394029</v>
      </c>
      <c r="AN60" s="703">
        <f t="shared" ca="1" si="84"/>
        <v>0</v>
      </c>
      <c r="AO60" s="703">
        <f t="shared" ca="1" si="84"/>
        <v>0</v>
      </c>
      <c r="AP60" s="703">
        <f t="shared" ca="1" si="84"/>
        <v>0</v>
      </c>
      <c r="AQ60" s="703">
        <f t="shared" ca="1" si="84"/>
        <v>0</v>
      </c>
      <c r="AR60" s="703">
        <f t="shared" ca="1" si="84"/>
        <v>65414.922054211376</v>
      </c>
      <c r="AS60" s="703">
        <f t="shared" ca="1" si="84"/>
        <v>155324.10182380991</v>
      </c>
      <c r="AT60" s="703">
        <f t="shared" ca="1" si="84"/>
        <v>177521.84196787979</v>
      </c>
      <c r="AU60" s="703">
        <f t="shared" ca="1" si="84"/>
        <v>99732.883186023217</v>
      </c>
      <c r="AV60" s="703">
        <f t="shared" ca="1" si="84"/>
        <v>96873.106623567059</v>
      </c>
      <c r="AW60" s="703">
        <f t="shared" ca="1" si="84"/>
        <v>137172.6144919974</v>
      </c>
      <c r="AX60" s="703">
        <f t="shared" ca="1" si="84"/>
        <v>238658.39378987963</v>
      </c>
      <c r="AY60" s="703">
        <f t="shared" ca="1" si="84"/>
        <v>85491.1456797102</v>
      </c>
      <c r="AZ60" s="703">
        <f t="shared" ca="1" si="84"/>
        <v>0</v>
      </c>
      <c r="BA60" s="703">
        <f t="shared" ca="1" si="84"/>
        <v>0</v>
      </c>
      <c r="BB60" s="703">
        <f t="shared" ca="1" si="84"/>
        <v>0</v>
      </c>
      <c r="BC60" s="703">
        <f t="shared" ca="1" si="84"/>
        <v>105937.21031223715</v>
      </c>
      <c r="BD60" s="703">
        <f t="shared" ca="1" si="84"/>
        <v>156201.66153444024</v>
      </c>
      <c r="BE60" s="703">
        <f t="shared" ca="1" si="84"/>
        <v>169453.90276853612</v>
      </c>
      <c r="BF60" s="703">
        <f t="shared" ca="1" si="84"/>
        <v>178748.9011730362</v>
      </c>
      <c r="BG60" s="703">
        <f t="shared" ca="1" si="84"/>
        <v>99721.875262605958</v>
      </c>
      <c r="BH60" s="703">
        <f t="shared" ca="1" si="84"/>
        <v>96826.063886152464</v>
      </c>
      <c r="BI60" s="703">
        <f t="shared" ca="1" si="84"/>
        <v>137764.18214132264</v>
      </c>
      <c r="BJ60" s="703">
        <f t="shared" ca="1" si="84"/>
        <v>240811.75259696436</v>
      </c>
      <c r="BK60" s="703">
        <f t="shared" ca="1" si="84"/>
        <v>85302.743708306225</v>
      </c>
      <c r="BL60" s="703">
        <f t="shared" ca="1" si="84"/>
        <v>0</v>
      </c>
      <c r="BM60" s="703">
        <f t="shared" ca="1" si="84"/>
        <v>0</v>
      </c>
      <c r="BN60" s="703">
        <f t="shared" ca="1" si="84"/>
        <v>0</v>
      </c>
      <c r="BO60" s="703">
        <f t="shared" ca="1" si="84"/>
        <v>127940.10206172825</v>
      </c>
      <c r="BP60" s="703">
        <f t="shared" ca="1" si="84"/>
        <v>160159.78975891008</v>
      </c>
      <c r="BQ60" s="703">
        <f t="shared" ca="1" si="84"/>
        <v>173600.5900882578</v>
      </c>
      <c r="BR60" s="703">
        <f t="shared" ca="1" si="84"/>
        <v>183061.13629277598</v>
      </c>
      <c r="BS60" s="703">
        <f t="shared" ca="1" si="84"/>
        <v>102791.76928896154</v>
      </c>
      <c r="BT60" s="703">
        <f t="shared" ca="1" si="84"/>
        <v>99860.334808576619</v>
      </c>
      <c r="BU60" s="703">
        <f t="shared" ref="BU60:DY60" ca="1" si="85">SUM(BU58:BU59)</f>
        <v>141439.11051660962</v>
      </c>
      <c r="BV60" s="703">
        <f t="shared" ca="1" si="85"/>
        <v>246050.84239810857</v>
      </c>
      <c r="BW60" s="703">
        <f t="shared" ca="1" si="85"/>
        <v>88197.417607551324</v>
      </c>
      <c r="BX60" s="703">
        <f t="shared" ca="1" si="85"/>
        <v>0</v>
      </c>
      <c r="BY60" s="703">
        <f t="shared" ca="1" si="85"/>
        <v>0</v>
      </c>
      <c r="BZ60" s="703">
        <f t="shared" ca="1" si="85"/>
        <v>0</v>
      </c>
      <c r="CA60" s="703">
        <f t="shared" ca="1" si="85"/>
        <v>118449.99058258953</v>
      </c>
      <c r="CB60" s="703">
        <f t="shared" ca="1" si="85"/>
        <v>163959.39898035233</v>
      </c>
      <c r="CC60" s="703">
        <f t="shared" ca="1" si="85"/>
        <v>177588.14493355679</v>
      </c>
      <c r="CD60" s="703">
        <f t="shared" ca="1" si="85"/>
        <v>187215.67703480471</v>
      </c>
      <c r="CE60" s="703">
        <f t="shared" ca="1" si="85"/>
        <v>105700.55279532238</v>
      </c>
      <c r="CF60" s="703">
        <f t="shared" ca="1" si="85"/>
        <v>102733.9640550093</v>
      </c>
      <c r="CG60" s="703">
        <f t="shared" ca="1" si="85"/>
        <v>144954.99235664727</v>
      </c>
      <c r="CH60" s="703">
        <f t="shared" ca="1" si="85"/>
        <v>251131.99253614433</v>
      </c>
      <c r="CI60" s="703">
        <f t="shared" ca="1" si="85"/>
        <v>90933.444997574203</v>
      </c>
      <c r="CJ60" s="703">
        <f t="shared" ca="1" si="85"/>
        <v>0</v>
      </c>
      <c r="CK60" s="703">
        <f t="shared" ca="1" si="85"/>
        <v>0</v>
      </c>
      <c r="CL60" s="703">
        <f t="shared" ca="1" si="85"/>
        <v>0</v>
      </c>
      <c r="CM60" s="703">
        <f t="shared" ca="1" si="85"/>
        <v>125341.39145291294</v>
      </c>
      <c r="CN60" s="703">
        <f t="shared" ca="1" si="85"/>
        <v>167587.28647045814</v>
      </c>
      <c r="CO60" s="703">
        <f t="shared" ca="1" si="85"/>
        <v>181403.15806465398</v>
      </c>
      <c r="CP60" s="703">
        <f t="shared" ca="1" si="85"/>
        <v>194138.413022722</v>
      </c>
      <c r="CQ60" s="703">
        <f t="shared" ca="1" si="85"/>
        <v>111375.02854373492</v>
      </c>
      <c r="CR60" s="703">
        <f t="shared" ca="1" si="85"/>
        <v>108373.81457893027</v>
      </c>
      <c r="CS60" s="703">
        <f t="shared" ca="1" si="85"/>
        <v>151238.2097316524</v>
      </c>
      <c r="CT60" s="703">
        <f t="shared" ca="1" si="85"/>
        <v>258980.24374833447</v>
      </c>
      <c r="CU60" s="703">
        <f t="shared" ca="1" si="85"/>
        <v>96437.934179181932</v>
      </c>
      <c r="CV60" s="703">
        <f t="shared" ca="1" si="85"/>
        <v>0</v>
      </c>
      <c r="CW60" s="703">
        <f t="shared" ca="1" si="85"/>
        <v>0</v>
      </c>
      <c r="CX60" s="703">
        <f t="shared" ca="1" si="85"/>
        <v>0</v>
      </c>
      <c r="CY60" s="703">
        <f t="shared" ca="1" si="85"/>
        <v>168320.99938580988</v>
      </c>
      <c r="CZ60" s="703">
        <f t="shared" ca="1" si="85"/>
        <v>184256.39470534038</v>
      </c>
      <c r="DA60" s="703">
        <f t="shared" ca="1" si="85"/>
        <v>198486.74244736205</v>
      </c>
      <c r="DB60" s="703">
        <f t="shared" ca="1" si="85"/>
        <v>186046.72208652296</v>
      </c>
      <c r="DC60" s="703">
        <f t="shared" ca="1" si="85"/>
        <v>100800.43607316667</v>
      </c>
      <c r="DD60" s="703">
        <f t="shared" ca="1" si="85"/>
        <v>97709.185689417995</v>
      </c>
      <c r="DE60" s="703">
        <f t="shared" ca="1" si="85"/>
        <v>141859.51269672159</v>
      </c>
      <c r="DF60" s="703">
        <f t="shared" ca="1" si="85"/>
        <v>252833.80773390399</v>
      </c>
      <c r="DG60" s="703">
        <f t="shared" ca="1" si="85"/>
        <v>85415.228877676884</v>
      </c>
      <c r="DH60" s="703">
        <f t="shared" ca="1" si="85"/>
        <v>0</v>
      </c>
      <c r="DI60" s="703">
        <f t="shared" ca="1" si="85"/>
        <v>0</v>
      </c>
      <c r="DJ60" s="703">
        <f t="shared" ca="1" si="85"/>
        <v>0</v>
      </c>
      <c r="DK60" s="703">
        <f t="shared" ca="1" si="85"/>
        <v>136310.52398167783</v>
      </c>
      <c r="DL60" s="703">
        <f t="shared" ca="1" si="85"/>
        <v>175868.24321961985</v>
      </c>
      <c r="DM60" s="703">
        <f t="shared" ca="1" si="85"/>
        <v>190525.50139390258</v>
      </c>
      <c r="DN60" s="703">
        <f t="shared" ca="1" si="85"/>
        <v>199237.96802111238</v>
      </c>
      <c r="DO60" s="703">
        <f t="shared" ca="1" si="85"/>
        <v>111434.29342735547</v>
      </c>
      <c r="DP60" s="703">
        <f t="shared" ca="1" si="85"/>
        <v>108250.30553209397</v>
      </c>
      <c r="DQ60" s="703">
        <f t="shared" ca="1" si="85"/>
        <v>153725.14234961709</v>
      </c>
      <c r="DR60" s="703">
        <f t="shared" ca="1" si="85"/>
        <v>268028.66623791517</v>
      </c>
      <c r="DS60" s="703">
        <f t="shared" ca="1" si="85"/>
        <v>95587.530016001081</v>
      </c>
      <c r="DT60" s="703">
        <f t="shared" ca="1" si="85"/>
        <v>0</v>
      </c>
      <c r="DU60" s="703">
        <f t="shared" ca="1" si="85"/>
        <v>0</v>
      </c>
      <c r="DV60" s="703">
        <f t="shared" ca="1" si="85"/>
        <v>0</v>
      </c>
      <c r="DW60" s="703">
        <f t="shared" ca="1" si="85"/>
        <v>151677.85082963298</v>
      </c>
      <c r="DX60" s="703">
        <f t="shared" ca="1" si="85"/>
        <v>188754.13478820259</v>
      </c>
      <c r="DY60" s="703">
        <f t="shared" ca="1" si="85"/>
        <v>42644074.085770115</v>
      </c>
      <c r="DZ60" s="422"/>
      <c r="EA60" s="879"/>
    </row>
    <row r="61" spans="1:131" s="390" customFormat="1">
      <c r="A61" s="389"/>
      <c r="B61" s="422"/>
      <c r="C61" s="389"/>
      <c r="D61" s="422" t="s">
        <v>105</v>
      </c>
      <c r="E61" s="422"/>
      <c r="F61" s="422"/>
      <c r="G61" s="819">
        <f t="shared" ca="1" si="81"/>
        <v>9525691.8006811254</v>
      </c>
      <c r="H61" s="446"/>
      <c r="I61" s="884">
        <f t="shared" ref="I61:BT61" si="86">I36+I44+I52</f>
        <v>0</v>
      </c>
      <c r="J61" s="788">
        <f t="shared" ca="1" si="86"/>
        <v>0</v>
      </c>
      <c r="K61" s="788">
        <f t="shared" ca="1" si="86"/>
        <v>0</v>
      </c>
      <c r="L61" s="788">
        <f ca="1">L36+L44+L52</f>
        <v>0</v>
      </c>
      <c r="M61" s="788">
        <f t="shared" ca="1" si="86"/>
        <v>0</v>
      </c>
      <c r="N61" s="788">
        <f t="shared" ca="1" si="86"/>
        <v>0</v>
      </c>
      <c r="O61" s="788">
        <f t="shared" ca="1" si="86"/>
        <v>0</v>
      </c>
      <c r="P61" s="788">
        <f t="shared" ca="1" si="86"/>
        <v>0</v>
      </c>
      <c r="Q61" s="788">
        <f t="shared" ca="1" si="86"/>
        <v>0</v>
      </c>
      <c r="R61" s="788">
        <f t="shared" ca="1" si="86"/>
        <v>0</v>
      </c>
      <c r="S61" s="788">
        <f t="shared" ca="1" si="86"/>
        <v>0</v>
      </c>
      <c r="T61" s="788">
        <f t="shared" ca="1" si="86"/>
        <v>0</v>
      </c>
      <c r="U61" s="788">
        <f t="shared" ca="1" si="86"/>
        <v>0</v>
      </c>
      <c r="V61" s="788">
        <f t="shared" ca="1" si="86"/>
        <v>0</v>
      </c>
      <c r="W61" s="788">
        <f t="shared" ca="1" si="86"/>
        <v>0</v>
      </c>
      <c r="X61" s="788">
        <f t="shared" ca="1" si="86"/>
        <v>0</v>
      </c>
      <c r="Y61" s="788">
        <f t="shared" ca="1" si="86"/>
        <v>0</v>
      </c>
      <c r="Z61" s="788">
        <f t="shared" ca="1" si="86"/>
        <v>0</v>
      </c>
      <c r="AA61" s="788">
        <f t="shared" ca="1" si="86"/>
        <v>0</v>
      </c>
      <c r="AB61" s="788">
        <f t="shared" ca="1" si="86"/>
        <v>0</v>
      </c>
      <c r="AC61" s="788">
        <f t="shared" ca="1" si="86"/>
        <v>0</v>
      </c>
      <c r="AD61" s="788">
        <f t="shared" ca="1" si="86"/>
        <v>0</v>
      </c>
      <c r="AE61" s="788">
        <f t="shared" ca="1" si="86"/>
        <v>0</v>
      </c>
      <c r="AF61" s="788">
        <f t="shared" ca="1" si="86"/>
        <v>0</v>
      </c>
      <c r="AG61" s="788">
        <f t="shared" ca="1" si="86"/>
        <v>0</v>
      </c>
      <c r="AH61" s="788">
        <f t="shared" ca="1" si="86"/>
        <v>0</v>
      </c>
      <c r="AI61" s="788">
        <f t="shared" ca="1" si="86"/>
        <v>0</v>
      </c>
      <c r="AJ61" s="788">
        <f t="shared" ca="1" si="86"/>
        <v>0</v>
      </c>
      <c r="AK61" s="788">
        <f t="shared" ca="1" si="86"/>
        <v>0</v>
      </c>
      <c r="AL61" s="788">
        <f t="shared" ca="1" si="86"/>
        <v>0</v>
      </c>
      <c r="AM61" s="788">
        <f t="shared" ca="1" si="86"/>
        <v>0</v>
      </c>
      <c r="AN61" s="788">
        <f t="shared" ca="1" si="86"/>
        <v>0</v>
      </c>
      <c r="AO61" s="788">
        <f t="shared" ca="1" si="86"/>
        <v>0</v>
      </c>
      <c r="AP61" s="788">
        <f t="shared" ca="1" si="86"/>
        <v>0</v>
      </c>
      <c r="AQ61" s="788">
        <f t="shared" ca="1" si="86"/>
        <v>0</v>
      </c>
      <c r="AR61" s="788">
        <f t="shared" ca="1" si="86"/>
        <v>0</v>
      </c>
      <c r="AS61" s="788">
        <f t="shared" ca="1" si="86"/>
        <v>0</v>
      </c>
      <c r="AT61" s="788">
        <f t="shared" ca="1" si="86"/>
        <v>0</v>
      </c>
      <c r="AU61" s="788">
        <f t="shared" ca="1" si="86"/>
        <v>0</v>
      </c>
      <c r="AV61" s="788">
        <f t="shared" ca="1" si="86"/>
        <v>0</v>
      </c>
      <c r="AW61" s="788">
        <f t="shared" ca="1" si="86"/>
        <v>0</v>
      </c>
      <c r="AX61" s="788">
        <f t="shared" ca="1" si="86"/>
        <v>0</v>
      </c>
      <c r="AY61" s="788">
        <f t="shared" ca="1" si="86"/>
        <v>0</v>
      </c>
      <c r="AZ61" s="788">
        <f t="shared" ca="1" si="86"/>
        <v>0</v>
      </c>
      <c r="BA61" s="788">
        <f t="shared" ca="1" si="86"/>
        <v>0</v>
      </c>
      <c r="BB61" s="788">
        <f t="shared" ca="1" si="86"/>
        <v>0</v>
      </c>
      <c r="BC61" s="788">
        <f t="shared" ca="1" si="86"/>
        <v>0</v>
      </c>
      <c r="BD61" s="788">
        <f t="shared" ca="1" si="86"/>
        <v>-5.820766091346741E-12</v>
      </c>
      <c r="BE61" s="788">
        <f t="shared" ca="1" si="86"/>
        <v>0</v>
      </c>
      <c r="BF61" s="788">
        <f t="shared" ca="1" si="86"/>
        <v>0</v>
      </c>
      <c r="BG61" s="788">
        <f t="shared" ca="1" si="86"/>
        <v>0</v>
      </c>
      <c r="BH61" s="788">
        <f t="shared" ca="1" si="86"/>
        <v>0</v>
      </c>
      <c r="BI61" s="788">
        <f ca="1">BI36+BI44+BI52</f>
        <v>0</v>
      </c>
      <c r="BJ61" s="788">
        <f t="shared" ca="1" si="86"/>
        <v>0</v>
      </c>
      <c r="BK61" s="788">
        <f t="shared" ca="1" si="86"/>
        <v>0</v>
      </c>
      <c r="BL61" s="788">
        <f t="shared" ca="1" si="86"/>
        <v>0</v>
      </c>
      <c r="BM61" s="788">
        <f t="shared" ca="1" si="86"/>
        <v>0</v>
      </c>
      <c r="BN61" s="788">
        <f t="shared" ca="1" si="86"/>
        <v>0</v>
      </c>
      <c r="BO61" s="788">
        <f t="shared" ca="1" si="86"/>
        <v>0</v>
      </c>
      <c r="BP61" s="788">
        <f t="shared" ca="1" si="86"/>
        <v>-5.820766091346741E-12</v>
      </c>
      <c r="BQ61" s="788">
        <f t="shared" ca="1" si="86"/>
        <v>0</v>
      </c>
      <c r="BR61" s="788">
        <f t="shared" ca="1" si="86"/>
        <v>0</v>
      </c>
      <c r="BS61" s="788">
        <f t="shared" ca="1" si="86"/>
        <v>0</v>
      </c>
      <c r="BT61" s="788">
        <f t="shared" ca="1" si="86"/>
        <v>0</v>
      </c>
      <c r="BU61" s="788">
        <f t="shared" ref="BU61:DX61" ca="1" si="87">BU36+BU44+BU52</f>
        <v>0</v>
      </c>
      <c r="BV61" s="788">
        <f t="shared" ca="1" si="87"/>
        <v>0</v>
      </c>
      <c r="BW61" s="788">
        <f t="shared" ca="1" si="87"/>
        <v>0</v>
      </c>
      <c r="BX61" s="788">
        <f t="shared" ca="1" si="87"/>
        <v>0</v>
      </c>
      <c r="BY61" s="788">
        <f t="shared" ca="1" si="87"/>
        <v>0</v>
      </c>
      <c r="BZ61" s="788">
        <f t="shared" ca="1" si="87"/>
        <v>0</v>
      </c>
      <c r="CA61" s="788">
        <f t="shared" ca="1" si="87"/>
        <v>0</v>
      </c>
      <c r="CB61" s="788">
        <f t="shared" ca="1" si="87"/>
        <v>0</v>
      </c>
      <c r="CC61" s="788">
        <f t="shared" ca="1" si="87"/>
        <v>-5.820766091346741E-12</v>
      </c>
      <c r="CD61" s="788">
        <f t="shared" ca="1" si="87"/>
        <v>0</v>
      </c>
      <c r="CE61" s="788">
        <f t="shared" ca="1" si="87"/>
        <v>0</v>
      </c>
      <c r="CF61" s="788">
        <f t="shared" ca="1" si="87"/>
        <v>0</v>
      </c>
      <c r="CG61" s="788">
        <f t="shared" ca="1" si="87"/>
        <v>0</v>
      </c>
      <c r="CH61" s="788">
        <f t="shared" ca="1" si="87"/>
        <v>0</v>
      </c>
      <c r="CI61" s="788">
        <f t="shared" ca="1" si="87"/>
        <v>0</v>
      </c>
      <c r="CJ61" s="788">
        <f t="shared" ca="1" si="87"/>
        <v>0</v>
      </c>
      <c r="CK61" s="788">
        <f t="shared" ca="1" si="87"/>
        <v>0</v>
      </c>
      <c r="CL61" s="788">
        <f t="shared" ca="1" si="87"/>
        <v>0</v>
      </c>
      <c r="CM61" s="788">
        <f t="shared" ca="1" si="87"/>
        <v>0</v>
      </c>
      <c r="CN61" s="788">
        <f t="shared" ca="1" si="87"/>
        <v>0</v>
      </c>
      <c r="CO61" s="788">
        <f t="shared" ca="1" si="87"/>
        <v>0</v>
      </c>
      <c r="CP61" s="788">
        <f t="shared" ca="1" si="87"/>
        <v>0</v>
      </c>
      <c r="CQ61" s="788">
        <f t="shared" ca="1" si="87"/>
        <v>0</v>
      </c>
      <c r="CR61" s="788">
        <f t="shared" ca="1" si="87"/>
        <v>0</v>
      </c>
      <c r="CS61" s="788">
        <f t="shared" ca="1" si="87"/>
        <v>0</v>
      </c>
      <c r="CT61" s="788">
        <f t="shared" ca="1" si="87"/>
        <v>0</v>
      </c>
      <c r="CU61" s="788">
        <f t="shared" ca="1" si="87"/>
        <v>0</v>
      </c>
      <c r="CV61" s="788">
        <f t="shared" ca="1" si="87"/>
        <v>0</v>
      </c>
      <c r="CW61" s="788">
        <f t="shared" ca="1" si="87"/>
        <v>0</v>
      </c>
      <c r="CX61" s="788">
        <f t="shared" ca="1" si="87"/>
        <v>0</v>
      </c>
      <c r="CY61" s="788">
        <f t="shared" ca="1" si="87"/>
        <v>-5.820766091346741E-12</v>
      </c>
      <c r="CZ61" s="788">
        <f t="shared" ca="1" si="87"/>
        <v>0</v>
      </c>
      <c r="DA61" s="788">
        <f t="shared" ca="1" si="87"/>
        <v>0</v>
      </c>
      <c r="DB61" s="788">
        <f t="shared" ca="1" si="87"/>
        <v>0</v>
      </c>
      <c r="DC61" s="788">
        <f t="shared" ca="1" si="87"/>
        <v>0</v>
      </c>
      <c r="DD61" s="788">
        <f t="shared" ca="1" si="87"/>
        <v>0</v>
      </c>
      <c r="DE61" s="788">
        <f t="shared" ca="1" si="87"/>
        <v>0</v>
      </c>
      <c r="DF61" s="788">
        <f t="shared" ca="1" si="87"/>
        <v>0</v>
      </c>
      <c r="DG61" s="788">
        <f t="shared" ca="1" si="87"/>
        <v>0</v>
      </c>
      <c r="DH61" s="788">
        <f t="shared" ca="1" si="87"/>
        <v>0</v>
      </c>
      <c r="DI61" s="788">
        <f t="shared" ca="1" si="87"/>
        <v>0</v>
      </c>
      <c r="DJ61" s="788">
        <f t="shared" ca="1" si="87"/>
        <v>0</v>
      </c>
      <c r="DK61" s="788">
        <f t="shared" ca="1" si="87"/>
        <v>0</v>
      </c>
      <c r="DL61" s="788">
        <f t="shared" ca="1" si="87"/>
        <v>0</v>
      </c>
      <c r="DM61" s="788">
        <f t="shared" ca="1" si="87"/>
        <v>0</v>
      </c>
      <c r="DN61" s="788">
        <f t="shared" ca="1" si="87"/>
        <v>0</v>
      </c>
      <c r="DO61" s="788">
        <f t="shared" ca="1" si="87"/>
        <v>0</v>
      </c>
      <c r="DP61" s="788">
        <f t="shared" ca="1" si="87"/>
        <v>0</v>
      </c>
      <c r="DQ61" s="788">
        <f ca="1">DQ36+DQ44+DQ52</f>
        <v>0</v>
      </c>
      <c r="DR61" s="788">
        <f t="shared" ca="1" si="87"/>
        <v>0</v>
      </c>
      <c r="DS61" s="788">
        <f t="shared" ca="1" si="87"/>
        <v>0</v>
      </c>
      <c r="DT61" s="788">
        <f t="shared" ca="1" si="87"/>
        <v>0</v>
      </c>
      <c r="DU61" s="788">
        <f t="shared" ca="1" si="87"/>
        <v>0</v>
      </c>
      <c r="DV61" s="788">
        <f t="shared" ca="1" si="87"/>
        <v>0</v>
      </c>
      <c r="DW61" s="788">
        <f t="shared" ca="1" si="87"/>
        <v>-2.4010660126805304E-11</v>
      </c>
      <c r="DX61" s="788">
        <f t="shared" ca="1" si="87"/>
        <v>0</v>
      </c>
      <c r="DY61" s="788">
        <f ca="1">DY36+DY44+DY52</f>
        <v>9525691.8006811254</v>
      </c>
      <c r="DZ61" s="422"/>
      <c r="EA61" s="879"/>
    </row>
    <row r="62" spans="1:131" s="390" customFormat="1">
      <c r="A62" s="389"/>
      <c r="B62" s="389"/>
      <c r="C62" s="389"/>
      <c r="D62" s="440" t="s">
        <v>442</v>
      </c>
      <c r="E62" s="871">
        <f ca="1">XIRR(J62:DY62,J14:DY14)</f>
        <v>0.17306911349296569</v>
      </c>
      <c r="F62" s="441"/>
      <c r="G62" s="821">
        <f t="shared" ca="1" si="81"/>
        <v>49098975.72215797</v>
      </c>
      <c r="H62" s="835"/>
      <c r="I62" s="755">
        <f>SUM(I60:I61)</f>
        <v>0</v>
      </c>
      <c r="J62" s="755">
        <f t="shared" ref="J62:BU62" ca="1" si="88">SUM(J60:J61)</f>
        <v>-5200000</v>
      </c>
      <c r="K62" s="755">
        <f t="shared" ca="1" si="88"/>
        <v>-391153.00715178321</v>
      </c>
      <c r="L62" s="755">
        <f ca="1">SUM(L60:L61)</f>
        <v>-2750737.3328289636</v>
      </c>
      <c r="M62" s="755">
        <f t="shared" ca="1" si="88"/>
        <v>-2750737.3328289636</v>
      </c>
      <c r="N62" s="755">
        <f t="shared" ca="1" si="88"/>
        <v>-2750737.3328289636</v>
      </c>
      <c r="O62" s="755">
        <f t="shared" ca="1" si="88"/>
        <v>-2750737.3328289636</v>
      </c>
      <c r="P62" s="755">
        <f t="shared" ca="1" si="88"/>
        <v>-2750737.3328289636</v>
      </c>
      <c r="Q62" s="755">
        <f t="shared" ca="1" si="88"/>
        <v>-2648862.4467854165</v>
      </c>
      <c r="R62" s="755">
        <f t="shared" ca="1" si="88"/>
        <v>0</v>
      </c>
      <c r="S62" s="755">
        <f t="shared" ca="1" si="88"/>
        <v>0</v>
      </c>
      <c r="T62" s="755">
        <f t="shared" ca="1" si="88"/>
        <v>0</v>
      </c>
      <c r="U62" s="755">
        <f t="shared" ca="1" si="88"/>
        <v>0</v>
      </c>
      <c r="V62" s="755">
        <f t="shared" ca="1" si="88"/>
        <v>0</v>
      </c>
      <c r="W62" s="755">
        <f t="shared" ca="1" si="88"/>
        <v>0</v>
      </c>
      <c r="X62" s="755">
        <f t="shared" ca="1" si="88"/>
        <v>0</v>
      </c>
      <c r="Y62" s="755">
        <f t="shared" ca="1" si="88"/>
        <v>0</v>
      </c>
      <c r="Z62" s="755">
        <f t="shared" ca="1" si="88"/>
        <v>0</v>
      </c>
      <c r="AA62" s="755">
        <f t="shared" ca="1" si="88"/>
        <v>0</v>
      </c>
      <c r="AB62" s="755">
        <f t="shared" ca="1" si="88"/>
        <v>0</v>
      </c>
      <c r="AC62" s="755">
        <f t="shared" ca="1" si="88"/>
        <v>0</v>
      </c>
      <c r="AD62" s="755">
        <f t="shared" ca="1" si="88"/>
        <v>0</v>
      </c>
      <c r="AE62" s="755">
        <f t="shared" ca="1" si="88"/>
        <v>0</v>
      </c>
      <c r="AF62" s="755">
        <f t="shared" ca="1" si="88"/>
        <v>0</v>
      </c>
      <c r="AG62" s="755">
        <f t="shared" ca="1" si="88"/>
        <v>0</v>
      </c>
      <c r="AH62" s="755">
        <f t="shared" ca="1" si="88"/>
        <v>0</v>
      </c>
      <c r="AI62" s="755">
        <f t="shared" ca="1" si="88"/>
        <v>9202913.1141238827</v>
      </c>
      <c r="AJ62" s="755">
        <f t="shared" ca="1" si="88"/>
        <v>0</v>
      </c>
      <c r="AK62" s="755">
        <f t="shared" ca="1" si="88"/>
        <v>8733.0279499195749</v>
      </c>
      <c r="AL62" s="755">
        <f t="shared" ca="1" si="88"/>
        <v>121282.88700700144</v>
      </c>
      <c r="AM62" s="755">
        <f t="shared" ca="1" si="88"/>
        <v>7251.7013281394029</v>
      </c>
      <c r="AN62" s="755">
        <f t="shared" ca="1" si="88"/>
        <v>0</v>
      </c>
      <c r="AO62" s="755">
        <f t="shared" ca="1" si="88"/>
        <v>0</v>
      </c>
      <c r="AP62" s="755">
        <f t="shared" ca="1" si="88"/>
        <v>0</v>
      </c>
      <c r="AQ62" s="755">
        <f t="shared" ca="1" si="88"/>
        <v>0</v>
      </c>
      <c r="AR62" s="755">
        <f t="shared" ca="1" si="88"/>
        <v>65414.922054211376</v>
      </c>
      <c r="AS62" s="755">
        <f t="shared" ca="1" si="88"/>
        <v>155324.10182380991</v>
      </c>
      <c r="AT62" s="755">
        <f t="shared" ca="1" si="88"/>
        <v>177521.84196787979</v>
      </c>
      <c r="AU62" s="755">
        <f t="shared" ca="1" si="88"/>
        <v>99732.883186023217</v>
      </c>
      <c r="AV62" s="755">
        <f t="shared" ca="1" si="88"/>
        <v>96873.106623567059</v>
      </c>
      <c r="AW62" s="755">
        <f t="shared" ca="1" si="88"/>
        <v>137172.6144919974</v>
      </c>
      <c r="AX62" s="755">
        <f t="shared" ca="1" si="88"/>
        <v>238658.39378987963</v>
      </c>
      <c r="AY62" s="755">
        <f t="shared" ca="1" si="88"/>
        <v>85491.1456797102</v>
      </c>
      <c r="AZ62" s="755">
        <f t="shared" ca="1" si="88"/>
        <v>0</v>
      </c>
      <c r="BA62" s="755">
        <f t="shared" ca="1" si="88"/>
        <v>0</v>
      </c>
      <c r="BB62" s="755">
        <f t="shared" ca="1" si="88"/>
        <v>0</v>
      </c>
      <c r="BC62" s="755">
        <f t="shared" ca="1" si="88"/>
        <v>105937.21031223715</v>
      </c>
      <c r="BD62" s="755">
        <f t="shared" ca="1" si="88"/>
        <v>156201.66153444024</v>
      </c>
      <c r="BE62" s="755">
        <f t="shared" ca="1" si="88"/>
        <v>169453.90276853612</v>
      </c>
      <c r="BF62" s="755">
        <f t="shared" ca="1" si="88"/>
        <v>178748.9011730362</v>
      </c>
      <c r="BG62" s="755">
        <f t="shared" ca="1" si="88"/>
        <v>99721.875262605958</v>
      </c>
      <c r="BH62" s="755">
        <f t="shared" ca="1" si="88"/>
        <v>96826.063886152464</v>
      </c>
      <c r="BI62" s="755">
        <f ca="1">SUM(BI60:BI61)</f>
        <v>137764.18214132264</v>
      </c>
      <c r="BJ62" s="755">
        <f t="shared" ca="1" si="88"/>
        <v>240811.75259696436</v>
      </c>
      <c r="BK62" s="755">
        <f t="shared" ca="1" si="88"/>
        <v>85302.743708306225</v>
      </c>
      <c r="BL62" s="755">
        <f t="shared" ca="1" si="88"/>
        <v>0</v>
      </c>
      <c r="BM62" s="755">
        <f t="shared" ca="1" si="88"/>
        <v>0</v>
      </c>
      <c r="BN62" s="755">
        <f t="shared" ca="1" si="88"/>
        <v>0</v>
      </c>
      <c r="BO62" s="755">
        <f t="shared" ca="1" si="88"/>
        <v>127940.10206172825</v>
      </c>
      <c r="BP62" s="755">
        <f t="shared" ca="1" si="88"/>
        <v>160159.78975891008</v>
      </c>
      <c r="BQ62" s="755">
        <f t="shared" ca="1" si="88"/>
        <v>173600.5900882578</v>
      </c>
      <c r="BR62" s="755">
        <f t="shared" ca="1" si="88"/>
        <v>183061.13629277598</v>
      </c>
      <c r="BS62" s="755">
        <f t="shared" ca="1" si="88"/>
        <v>102791.76928896154</v>
      </c>
      <c r="BT62" s="755">
        <f t="shared" ca="1" si="88"/>
        <v>99860.334808576619</v>
      </c>
      <c r="BU62" s="755">
        <f t="shared" ca="1" si="88"/>
        <v>141439.11051660962</v>
      </c>
      <c r="BV62" s="755">
        <f t="shared" ref="BV62:DY62" ca="1" si="89">SUM(BV60:BV61)</f>
        <v>246050.84239810857</v>
      </c>
      <c r="BW62" s="755">
        <f t="shared" ca="1" si="89"/>
        <v>88197.417607551324</v>
      </c>
      <c r="BX62" s="755">
        <f t="shared" ca="1" si="89"/>
        <v>0</v>
      </c>
      <c r="BY62" s="755">
        <f t="shared" ca="1" si="89"/>
        <v>0</v>
      </c>
      <c r="BZ62" s="755">
        <f t="shared" ca="1" si="89"/>
        <v>0</v>
      </c>
      <c r="CA62" s="755">
        <f t="shared" ca="1" si="89"/>
        <v>118449.99058258953</v>
      </c>
      <c r="CB62" s="755">
        <f t="shared" ca="1" si="89"/>
        <v>163959.39898035233</v>
      </c>
      <c r="CC62" s="755">
        <f t="shared" ca="1" si="89"/>
        <v>177588.14493355679</v>
      </c>
      <c r="CD62" s="755">
        <f t="shared" ca="1" si="89"/>
        <v>187215.67703480471</v>
      </c>
      <c r="CE62" s="755">
        <f t="shared" ca="1" si="89"/>
        <v>105700.55279532238</v>
      </c>
      <c r="CF62" s="755">
        <f t="shared" ca="1" si="89"/>
        <v>102733.9640550093</v>
      </c>
      <c r="CG62" s="755">
        <f t="shared" ca="1" si="89"/>
        <v>144954.99235664727</v>
      </c>
      <c r="CH62" s="755">
        <f t="shared" ca="1" si="89"/>
        <v>251131.99253614433</v>
      </c>
      <c r="CI62" s="755">
        <f t="shared" ca="1" si="89"/>
        <v>90933.444997574203</v>
      </c>
      <c r="CJ62" s="755">
        <f t="shared" ca="1" si="89"/>
        <v>0</v>
      </c>
      <c r="CK62" s="755">
        <f t="shared" ca="1" si="89"/>
        <v>0</v>
      </c>
      <c r="CL62" s="755">
        <f t="shared" ca="1" si="89"/>
        <v>0</v>
      </c>
      <c r="CM62" s="755">
        <f t="shared" ca="1" si="89"/>
        <v>125341.39145291294</v>
      </c>
      <c r="CN62" s="755">
        <f t="shared" ca="1" si="89"/>
        <v>167587.28647045814</v>
      </c>
      <c r="CO62" s="755">
        <f t="shared" ca="1" si="89"/>
        <v>181403.15806465398</v>
      </c>
      <c r="CP62" s="755">
        <f t="shared" ca="1" si="89"/>
        <v>194138.413022722</v>
      </c>
      <c r="CQ62" s="755">
        <f t="shared" ca="1" si="89"/>
        <v>111375.02854373492</v>
      </c>
      <c r="CR62" s="755">
        <f t="shared" ca="1" si="89"/>
        <v>108373.81457893027</v>
      </c>
      <c r="CS62" s="755">
        <f t="shared" ca="1" si="89"/>
        <v>151238.2097316524</v>
      </c>
      <c r="CT62" s="755">
        <f t="shared" ca="1" si="89"/>
        <v>258980.24374833447</v>
      </c>
      <c r="CU62" s="755">
        <f t="shared" ca="1" si="89"/>
        <v>96437.934179181932</v>
      </c>
      <c r="CV62" s="755">
        <f t="shared" ca="1" si="89"/>
        <v>0</v>
      </c>
      <c r="CW62" s="755">
        <f t="shared" ca="1" si="89"/>
        <v>0</v>
      </c>
      <c r="CX62" s="755">
        <f t="shared" ca="1" si="89"/>
        <v>0</v>
      </c>
      <c r="CY62" s="755">
        <f t="shared" ca="1" si="89"/>
        <v>168320.99938580988</v>
      </c>
      <c r="CZ62" s="755">
        <f t="shared" ca="1" si="89"/>
        <v>184256.39470534038</v>
      </c>
      <c r="DA62" s="755">
        <f t="shared" ca="1" si="89"/>
        <v>198486.74244736205</v>
      </c>
      <c r="DB62" s="755">
        <f t="shared" ca="1" si="89"/>
        <v>186046.72208652296</v>
      </c>
      <c r="DC62" s="755">
        <f t="shared" ca="1" si="89"/>
        <v>100800.43607316667</v>
      </c>
      <c r="DD62" s="755">
        <f t="shared" ca="1" si="89"/>
        <v>97709.185689417995</v>
      </c>
      <c r="DE62" s="755">
        <f t="shared" ca="1" si="89"/>
        <v>141859.51269672159</v>
      </c>
      <c r="DF62" s="755">
        <f t="shared" ca="1" si="89"/>
        <v>252833.80773390399</v>
      </c>
      <c r="DG62" s="755">
        <f t="shared" ca="1" si="89"/>
        <v>85415.228877676884</v>
      </c>
      <c r="DH62" s="755">
        <f t="shared" ca="1" si="89"/>
        <v>0</v>
      </c>
      <c r="DI62" s="755">
        <f t="shared" ca="1" si="89"/>
        <v>0</v>
      </c>
      <c r="DJ62" s="755">
        <f t="shared" ca="1" si="89"/>
        <v>0</v>
      </c>
      <c r="DK62" s="755">
        <f t="shared" ca="1" si="89"/>
        <v>136310.52398167783</v>
      </c>
      <c r="DL62" s="755">
        <f t="shared" ca="1" si="89"/>
        <v>175868.24321961985</v>
      </c>
      <c r="DM62" s="755">
        <f t="shared" ca="1" si="89"/>
        <v>190525.50139390258</v>
      </c>
      <c r="DN62" s="755">
        <f t="shared" ca="1" si="89"/>
        <v>199237.96802111238</v>
      </c>
      <c r="DO62" s="755">
        <f t="shared" ca="1" si="89"/>
        <v>111434.29342735547</v>
      </c>
      <c r="DP62" s="755">
        <f t="shared" ca="1" si="89"/>
        <v>108250.30553209397</v>
      </c>
      <c r="DQ62" s="755">
        <f t="shared" ca="1" si="89"/>
        <v>153725.14234961709</v>
      </c>
      <c r="DR62" s="755">
        <f t="shared" ca="1" si="89"/>
        <v>268028.66623791517</v>
      </c>
      <c r="DS62" s="755">
        <f t="shared" ca="1" si="89"/>
        <v>95587.530016001081</v>
      </c>
      <c r="DT62" s="755">
        <f t="shared" ca="1" si="89"/>
        <v>0</v>
      </c>
      <c r="DU62" s="755">
        <f t="shared" ca="1" si="89"/>
        <v>0</v>
      </c>
      <c r="DV62" s="755">
        <f t="shared" ca="1" si="89"/>
        <v>0</v>
      </c>
      <c r="DW62" s="755">
        <f t="shared" ca="1" si="89"/>
        <v>151677.85082963295</v>
      </c>
      <c r="DX62" s="755">
        <f t="shared" ca="1" si="89"/>
        <v>188754.13478820259</v>
      </c>
      <c r="DY62" s="755">
        <f t="shared" ca="1" si="89"/>
        <v>52169765.886451244</v>
      </c>
      <c r="DZ62" s="883"/>
      <c r="EA62" s="879"/>
    </row>
    <row r="63" spans="1:131" s="390" customFormat="1">
      <c r="A63" s="389"/>
      <c r="B63" s="389"/>
      <c r="C63" s="389"/>
      <c r="D63" s="389" t="s">
        <v>116</v>
      </c>
      <c r="E63" s="442">
        <f ca="1">XIRR(J63:DY63,J14:DY14)</f>
        <v>0.27251419425010692</v>
      </c>
      <c r="F63" s="442"/>
      <c r="G63" s="822">
        <f t="shared" ca="1" si="81"/>
        <v>13483020.192828808</v>
      </c>
      <c r="H63" s="837"/>
      <c r="I63" s="788">
        <f>I61+I59</f>
        <v>0</v>
      </c>
      <c r="J63" s="788">
        <f ca="1">J61+J59</f>
        <v>-519999.99999999988</v>
      </c>
      <c r="K63" s="788">
        <f t="shared" ref="K63:BV63" ca="1" si="90">K61+K59</f>
        <v>-39115.300715178309</v>
      </c>
      <c r="L63" s="788">
        <f ca="1">L61+L59</f>
        <v>-275073.73328289628</v>
      </c>
      <c r="M63" s="788">
        <f t="shared" ca="1" si="90"/>
        <v>-275073.73328289628</v>
      </c>
      <c r="N63" s="788">
        <f t="shared" ca="1" si="90"/>
        <v>-275073.73328289628</v>
      </c>
      <c r="O63" s="788">
        <f t="shared" ca="1" si="90"/>
        <v>-275073.73328289628</v>
      </c>
      <c r="P63" s="788">
        <f t="shared" ca="1" si="90"/>
        <v>-275073.73328289628</v>
      </c>
      <c r="Q63" s="788">
        <f t="shared" ca="1" si="90"/>
        <v>-264886.24467854161</v>
      </c>
      <c r="R63" s="788">
        <f t="shared" ca="1" si="90"/>
        <v>0</v>
      </c>
      <c r="S63" s="788">
        <f t="shared" ca="1" si="90"/>
        <v>0</v>
      </c>
      <c r="T63" s="788">
        <f t="shared" ca="1" si="90"/>
        <v>0</v>
      </c>
      <c r="U63" s="788">
        <f t="shared" ca="1" si="90"/>
        <v>0</v>
      </c>
      <c r="V63" s="788">
        <f t="shared" ca="1" si="90"/>
        <v>0</v>
      </c>
      <c r="W63" s="788">
        <f t="shared" ca="1" si="90"/>
        <v>0</v>
      </c>
      <c r="X63" s="788">
        <f t="shared" ca="1" si="90"/>
        <v>0</v>
      </c>
      <c r="Y63" s="788">
        <f t="shared" ca="1" si="90"/>
        <v>0</v>
      </c>
      <c r="Z63" s="788">
        <f t="shared" ca="1" si="90"/>
        <v>0</v>
      </c>
      <c r="AA63" s="788">
        <f t="shared" ca="1" si="90"/>
        <v>0</v>
      </c>
      <c r="AB63" s="788">
        <f t="shared" ca="1" si="90"/>
        <v>0</v>
      </c>
      <c r="AC63" s="788">
        <f t="shared" ca="1" si="90"/>
        <v>0</v>
      </c>
      <c r="AD63" s="788">
        <f t="shared" ca="1" si="90"/>
        <v>0</v>
      </c>
      <c r="AE63" s="788">
        <f t="shared" ca="1" si="90"/>
        <v>0</v>
      </c>
      <c r="AF63" s="788">
        <f t="shared" ca="1" si="90"/>
        <v>0</v>
      </c>
      <c r="AG63" s="788">
        <f t="shared" ca="1" si="90"/>
        <v>0</v>
      </c>
      <c r="AH63" s="788">
        <f t="shared" ca="1" si="90"/>
        <v>0</v>
      </c>
      <c r="AI63" s="788">
        <f t="shared" ca="1" si="90"/>
        <v>920291.31141238811</v>
      </c>
      <c r="AJ63" s="788">
        <f t="shared" ca="1" si="90"/>
        <v>0</v>
      </c>
      <c r="AK63" s="788">
        <f t="shared" ca="1" si="90"/>
        <v>873.30279499195728</v>
      </c>
      <c r="AL63" s="788">
        <f t="shared" ca="1" si="90"/>
        <v>12128.288700700141</v>
      </c>
      <c r="AM63" s="788">
        <f t="shared" ca="1" si="90"/>
        <v>725.17013281394009</v>
      </c>
      <c r="AN63" s="788">
        <f t="shared" ca="1" si="90"/>
        <v>0</v>
      </c>
      <c r="AO63" s="788">
        <f t="shared" ca="1" si="90"/>
        <v>0</v>
      </c>
      <c r="AP63" s="788">
        <f t="shared" ca="1" si="90"/>
        <v>0</v>
      </c>
      <c r="AQ63" s="788">
        <f t="shared" ca="1" si="90"/>
        <v>0</v>
      </c>
      <c r="AR63" s="788">
        <f t="shared" ca="1" si="90"/>
        <v>6541.4922054211365</v>
      </c>
      <c r="AS63" s="788">
        <f t="shared" ca="1" si="90"/>
        <v>15532.410182380987</v>
      </c>
      <c r="AT63" s="788">
        <f t="shared" ca="1" si="90"/>
        <v>17752.184196787977</v>
      </c>
      <c r="AU63" s="788">
        <f t="shared" ca="1" si="90"/>
        <v>9973.2883186023191</v>
      </c>
      <c r="AV63" s="788">
        <f t="shared" ca="1" si="90"/>
        <v>9687.3106623567037</v>
      </c>
      <c r="AW63" s="788">
        <f t="shared" ca="1" si="90"/>
        <v>13717.261449199737</v>
      </c>
      <c r="AX63" s="788">
        <f t="shared" ca="1" si="90"/>
        <v>23865.839378987959</v>
      </c>
      <c r="AY63" s="788">
        <f t="shared" ca="1" si="90"/>
        <v>8549.1145679710189</v>
      </c>
      <c r="AZ63" s="788">
        <f t="shared" ca="1" si="90"/>
        <v>0</v>
      </c>
      <c r="BA63" s="788">
        <f t="shared" ca="1" si="90"/>
        <v>0</v>
      </c>
      <c r="BB63" s="788">
        <f t="shared" ca="1" si="90"/>
        <v>0</v>
      </c>
      <c r="BC63" s="788">
        <f t="shared" ca="1" si="90"/>
        <v>10593.721031223713</v>
      </c>
      <c r="BD63" s="788">
        <f t="shared" ca="1" si="90"/>
        <v>15620.166153444015</v>
      </c>
      <c r="BE63" s="788">
        <f t="shared" ca="1" si="90"/>
        <v>16945.39027685361</v>
      </c>
      <c r="BF63" s="788">
        <f t="shared" ca="1" si="90"/>
        <v>17874.890117303617</v>
      </c>
      <c r="BG63" s="788">
        <f t="shared" ca="1" si="90"/>
        <v>9972.1875262605936</v>
      </c>
      <c r="BH63" s="788">
        <f t="shared" ca="1" si="90"/>
        <v>9682.6063886152442</v>
      </c>
      <c r="BI63" s="788">
        <f ca="1">BI61+BI59</f>
        <v>13776.418214132262</v>
      </c>
      <c r="BJ63" s="788">
        <f t="shared" ca="1" si="90"/>
        <v>24081.175259696432</v>
      </c>
      <c r="BK63" s="788">
        <f t="shared" ca="1" si="90"/>
        <v>8530.2743708306207</v>
      </c>
      <c r="BL63" s="788">
        <f t="shared" ca="1" si="90"/>
        <v>0</v>
      </c>
      <c r="BM63" s="788">
        <f t="shared" ca="1" si="90"/>
        <v>0</v>
      </c>
      <c r="BN63" s="788">
        <f t="shared" ca="1" si="90"/>
        <v>0</v>
      </c>
      <c r="BO63" s="788">
        <f t="shared" ca="1" si="90"/>
        <v>12794.010206172821</v>
      </c>
      <c r="BP63" s="788">
        <f t="shared" ca="1" si="90"/>
        <v>16015.978975890999</v>
      </c>
      <c r="BQ63" s="788">
        <f t="shared" ca="1" si="90"/>
        <v>17360.059008825778</v>
      </c>
      <c r="BR63" s="788">
        <f t="shared" ca="1" si="90"/>
        <v>18306.113629277592</v>
      </c>
      <c r="BS63" s="788">
        <f t="shared" ca="1" si="90"/>
        <v>10279.176928896151</v>
      </c>
      <c r="BT63" s="788">
        <f t="shared" ca="1" si="90"/>
        <v>9986.033480857659</v>
      </c>
      <c r="BU63" s="788">
        <f t="shared" ca="1" si="90"/>
        <v>14143.91105166096</v>
      </c>
      <c r="BV63" s="788">
        <f t="shared" ca="1" si="90"/>
        <v>24605.084239810851</v>
      </c>
      <c r="BW63" s="788">
        <f t="shared" ref="BW63:DY63" ca="1" si="91">BW61+BW59</f>
        <v>8819.7417607551306</v>
      </c>
      <c r="BX63" s="788">
        <f t="shared" ca="1" si="91"/>
        <v>0</v>
      </c>
      <c r="BY63" s="788">
        <f t="shared" ca="1" si="91"/>
        <v>0</v>
      </c>
      <c r="BZ63" s="788">
        <f t="shared" ca="1" si="91"/>
        <v>0</v>
      </c>
      <c r="CA63" s="788">
        <f t="shared" ca="1" si="91"/>
        <v>11844.999058258951</v>
      </c>
      <c r="CB63" s="788">
        <f t="shared" ca="1" si="91"/>
        <v>16395.939898035231</v>
      </c>
      <c r="CC63" s="788">
        <f t="shared" ca="1" si="91"/>
        <v>17758.814493355669</v>
      </c>
      <c r="CD63" s="788">
        <f t="shared" ca="1" si="91"/>
        <v>18721.567703480468</v>
      </c>
      <c r="CE63" s="788">
        <f t="shared" ca="1" si="91"/>
        <v>10570.055279532236</v>
      </c>
      <c r="CF63" s="788">
        <f t="shared" ca="1" si="91"/>
        <v>10273.396405500927</v>
      </c>
      <c r="CG63" s="788">
        <f t="shared" ca="1" si="91"/>
        <v>14495.499235664724</v>
      </c>
      <c r="CH63" s="788">
        <f t="shared" ca="1" si="91"/>
        <v>25113.199253614428</v>
      </c>
      <c r="CI63" s="788">
        <f t="shared" ca="1" si="91"/>
        <v>9093.3444997574188</v>
      </c>
      <c r="CJ63" s="788">
        <f t="shared" ca="1" si="91"/>
        <v>0</v>
      </c>
      <c r="CK63" s="788">
        <f t="shared" ca="1" si="91"/>
        <v>0</v>
      </c>
      <c r="CL63" s="788">
        <f t="shared" ca="1" si="91"/>
        <v>0</v>
      </c>
      <c r="CM63" s="788">
        <f t="shared" ca="1" si="91"/>
        <v>12534.13914529129</v>
      </c>
      <c r="CN63" s="788">
        <f t="shared" ca="1" si="91"/>
        <v>16758.728647045809</v>
      </c>
      <c r="CO63" s="788">
        <f t="shared" ca="1" si="91"/>
        <v>18140.315806465394</v>
      </c>
      <c r="CP63" s="788">
        <f t="shared" ca="1" si="91"/>
        <v>19413.841302272194</v>
      </c>
      <c r="CQ63" s="788">
        <f t="shared" ca="1" si="91"/>
        <v>11137.50285437349</v>
      </c>
      <c r="CR63" s="788">
        <f t="shared" ca="1" si="91"/>
        <v>10837.381457893023</v>
      </c>
      <c r="CS63" s="788">
        <f t="shared" ca="1" si="91"/>
        <v>15123.820973165237</v>
      </c>
      <c r="CT63" s="788">
        <f t="shared" ca="1" si="91"/>
        <v>25898.02437483344</v>
      </c>
      <c r="CU63" s="788">
        <f t="shared" ca="1" si="91"/>
        <v>9643.7934179181902</v>
      </c>
      <c r="CV63" s="788">
        <f t="shared" ca="1" si="91"/>
        <v>0</v>
      </c>
      <c r="CW63" s="788">
        <f t="shared" ca="1" si="91"/>
        <v>0</v>
      </c>
      <c r="CX63" s="788">
        <f t="shared" ca="1" si="91"/>
        <v>0</v>
      </c>
      <c r="CY63" s="788">
        <f t="shared" ca="1" si="91"/>
        <v>16832.099938580977</v>
      </c>
      <c r="CZ63" s="788">
        <f t="shared" ca="1" si="91"/>
        <v>18425.639470534035</v>
      </c>
      <c r="DA63" s="788">
        <f t="shared" ca="1" si="91"/>
        <v>19848.674244736201</v>
      </c>
      <c r="DB63" s="788">
        <f t="shared" ca="1" si="91"/>
        <v>18604.672208652293</v>
      </c>
      <c r="DC63" s="788">
        <f t="shared" ca="1" si="91"/>
        <v>10080.043607316664</v>
      </c>
      <c r="DD63" s="788">
        <f t="shared" ca="1" si="91"/>
        <v>9770.9185689417973</v>
      </c>
      <c r="DE63" s="788">
        <f t="shared" ca="1" si="91"/>
        <v>14185.951269672156</v>
      </c>
      <c r="DF63" s="788">
        <f t="shared" ca="1" si="91"/>
        <v>25283.380773390392</v>
      </c>
      <c r="DG63" s="788">
        <f t="shared" ca="1" si="91"/>
        <v>8541.5228877676873</v>
      </c>
      <c r="DH63" s="788">
        <f t="shared" ca="1" si="91"/>
        <v>0</v>
      </c>
      <c r="DI63" s="788">
        <f t="shared" ca="1" si="91"/>
        <v>0</v>
      </c>
      <c r="DJ63" s="788">
        <f t="shared" ca="1" si="91"/>
        <v>0</v>
      </c>
      <c r="DK63" s="788">
        <f t="shared" ca="1" si="91"/>
        <v>13631.05239816778</v>
      </c>
      <c r="DL63" s="788">
        <f t="shared" ca="1" si="91"/>
        <v>17586.82432196198</v>
      </c>
      <c r="DM63" s="788">
        <f t="shared" ca="1" si="91"/>
        <v>19052.550139390252</v>
      </c>
      <c r="DN63" s="788">
        <f t="shared" ca="1" si="91"/>
        <v>19923.796802111232</v>
      </c>
      <c r="DO63" s="788">
        <f t="shared" ca="1" si="91"/>
        <v>11143.429342735544</v>
      </c>
      <c r="DP63" s="788">
        <f t="shared" ca="1" si="91"/>
        <v>10825.030553209395</v>
      </c>
      <c r="DQ63" s="788">
        <f ca="1">DQ61+DQ59</f>
        <v>15372.514234961705</v>
      </c>
      <c r="DR63" s="788">
        <f t="shared" ref="DR63:DX63" ca="1" si="92">DR61+DR59</f>
        <v>26802.866623791509</v>
      </c>
      <c r="DS63" s="788">
        <f t="shared" ca="1" si="92"/>
        <v>9558.7530016001056</v>
      </c>
      <c r="DT63" s="788">
        <f t="shared" ca="1" si="92"/>
        <v>0</v>
      </c>
      <c r="DU63" s="788">
        <f t="shared" ca="1" si="92"/>
        <v>0</v>
      </c>
      <c r="DV63" s="788">
        <f t="shared" ca="1" si="92"/>
        <v>0</v>
      </c>
      <c r="DW63" s="788">
        <f t="shared" ca="1" si="92"/>
        <v>15167.78508296327</v>
      </c>
      <c r="DX63" s="788">
        <f t="shared" ca="1" si="92"/>
        <v>18875.413478820254</v>
      </c>
      <c r="DY63" s="788">
        <f t="shared" ca="1" si="91"/>
        <v>13790099.209258135</v>
      </c>
      <c r="DZ63" s="883"/>
      <c r="EA63" s="879"/>
    </row>
    <row r="64" spans="1:131" s="390" customFormat="1">
      <c r="A64" s="389"/>
      <c r="B64" s="389"/>
      <c r="C64" s="389"/>
      <c r="D64" s="389"/>
      <c r="E64" s="879"/>
      <c r="F64" s="879"/>
      <c r="G64" s="816"/>
      <c r="H64" s="834"/>
      <c r="I64" s="879"/>
      <c r="J64" s="879"/>
      <c r="K64" s="879"/>
      <c r="L64" s="879"/>
      <c r="M64" s="879"/>
      <c r="N64" s="879"/>
      <c r="O64" s="879"/>
      <c r="P64" s="879"/>
      <c r="Q64" s="879"/>
      <c r="R64" s="879"/>
      <c r="S64" s="879"/>
      <c r="T64" s="879"/>
      <c r="U64" s="879"/>
      <c r="V64" s="879"/>
      <c r="W64" s="879"/>
      <c r="X64" s="879"/>
      <c r="Y64" s="879"/>
      <c r="Z64" s="879"/>
      <c r="AA64" s="879"/>
      <c r="AB64" s="879"/>
      <c r="AC64" s="879"/>
      <c r="AD64" s="879"/>
      <c r="AE64" s="879"/>
      <c r="AF64" s="879"/>
      <c r="AG64" s="879"/>
      <c r="AH64" s="879"/>
      <c r="AI64" s="879"/>
      <c r="AJ64" s="879"/>
      <c r="AK64" s="879"/>
      <c r="AL64" s="879"/>
      <c r="AM64" s="879"/>
      <c r="AN64" s="879"/>
      <c r="AO64" s="879"/>
      <c r="AP64" s="879"/>
      <c r="AQ64" s="879"/>
      <c r="AR64" s="879"/>
      <c r="AS64" s="879"/>
      <c r="AT64" s="879"/>
      <c r="AU64" s="879"/>
      <c r="AV64" s="879"/>
      <c r="AW64" s="879"/>
      <c r="AX64" s="879"/>
      <c r="AY64" s="879"/>
      <c r="AZ64" s="879"/>
      <c r="BA64" s="879"/>
      <c r="BB64" s="879"/>
      <c r="BC64" s="879"/>
      <c r="BD64" s="879"/>
      <c r="BE64" s="879"/>
      <c r="BF64" s="879"/>
      <c r="BG64" s="879"/>
      <c r="BH64" s="879"/>
      <c r="BI64" s="879"/>
      <c r="BJ64" s="879"/>
      <c r="BK64" s="879"/>
      <c r="BL64" s="879"/>
      <c r="BM64" s="879"/>
      <c r="BN64" s="879"/>
      <c r="BO64" s="879"/>
      <c r="BP64" s="879"/>
      <c r="BQ64" s="879"/>
      <c r="BR64" s="879"/>
      <c r="BS64" s="879"/>
      <c r="BT64" s="879"/>
      <c r="BU64" s="879"/>
      <c r="BV64" s="879"/>
      <c r="BW64" s="879"/>
      <c r="BX64" s="879"/>
      <c r="BY64" s="879"/>
      <c r="BZ64" s="879"/>
      <c r="CA64" s="879"/>
      <c r="CB64" s="879"/>
      <c r="CC64" s="879"/>
      <c r="CD64" s="879"/>
      <c r="CE64" s="879"/>
      <c r="CF64" s="879"/>
      <c r="CG64" s="879"/>
      <c r="CH64" s="879"/>
      <c r="CI64" s="879"/>
      <c r="CJ64" s="879"/>
      <c r="CK64" s="879"/>
      <c r="CL64" s="879"/>
      <c r="CM64" s="879"/>
      <c r="CN64" s="879"/>
      <c r="CO64" s="879"/>
      <c r="CP64" s="879"/>
      <c r="CQ64" s="879"/>
      <c r="CR64" s="879"/>
      <c r="CS64" s="879"/>
      <c r="CT64" s="879"/>
      <c r="CU64" s="879"/>
      <c r="CV64" s="879"/>
      <c r="CW64" s="879"/>
      <c r="CX64" s="879"/>
      <c r="CY64" s="879"/>
      <c r="CZ64" s="879"/>
      <c r="DA64" s="879"/>
      <c r="DB64" s="879"/>
      <c r="DC64" s="879"/>
      <c r="DD64" s="879"/>
      <c r="DE64" s="879"/>
      <c r="DF64" s="879"/>
      <c r="DG64" s="879"/>
      <c r="DH64" s="879"/>
      <c r="DI64" s="879"/>
      <c r="DJ64" s="879"/>
      <c r="DK64" s="879"/>
      <c r="DL64" s="879"/>
      <c r="DM64" s="879"/>
      <c r="DN64" s="879"/>
      <c r="DO64" s="879"/>
      <c r="DP64" s="879"/>
      <c r="DQ64" s="879"/>
      <c r="DR64" s="879"/>
      <c r="DS64" s="879"/>
      <c r="DT64" s="879"/>
      <c r="DU64" s="879"/>
      <c r="DV64" s="879"/>
      <c r="DW64" s="879"/>
      <c r="DX64" s="879"/>
      <c r="DY64" s="879"/>
      <c r="DZ64" s="879"/>
      <c r="EA64" s="879"/>
    </row>
    <row r="65" spans="1:131" s="390" customFormat="1" ht="24.6" customHeight="1">
      <c r="A65" s="389"/>
      <c r="B65" s="422"/>
      <c r="C65" s="389"/>
      <c r="D65" s="443" t="s">
        <v>117</v>
      </c>
      <c r="E65" s="444">
        <f ca="1">IF(ISERROR(XIRR(I58:DY58,I14:DY14)),"N/A",XIRR(I58:DY58,$I$14:$DY$14))</f>
        <v>2.9802322387695314E-9</v>
      </c>
      <c r="F65" s="444"/>
      <c r="G65" s="823"/>
      <c r="H65" s="838"/>
      <c r="I65" s="2014" t="s">
        <v>118</v>
      </c>
      <c r="J65" s="2015"/>
      <c r="K65" s="445">
        <f ca="1">(SUM(I58:DY58)-SUM(I22:DY22))/-SUM(I22:DY22)</f>
        <v>2.7993007138594397</v>
      </c>
      <c r="L65" s="2016" t="s">
        <v>119</v>
      </c>
      <c r="M65" s="2017"/>
      <c r="N65" s="850"/>
      <c r="O65" s="850"/>
      <c r="P65" s="850"/>
      <c r="Q65" s="850"/>
      <c r="R65" s="850"/>
      <c r="S65" s="850"/>
      <c r="T65" s="850"/>
      <c r="U65" s="850"/>
      <c r="V65" s="850"/>
      <c r="W65" s="850"/>
      <c r="X65" s="850"/>
      <c r="Y65" s="850"/>
      <c r="Z65" s="850"/>
      <c r="AA65" s="850"/>
      <c r="AB65" s="850"/>
      <c r="AC65" s="850"/>
      <c r="AD65" s="850"/>
      <c r="AE65" s="850"/>
      <c r="AF65" s="850"/>
      <c r="AG65" s="850"/>
      <c r="AH65" s="850"/>
      <c r="AI65" s="850"/>
      <c r="AJ65" s="850"/>
      <c r="AK65" s="850"/>
      <c r="AL65" s="850"/>
      <c r="AM65" s="850"/>
      <c r="AN65" s="850"/>
      <c r="AO65" s="850"/>
      <c r="AP65" s="850"/>
      <c r="AQ65" s="850"/>
      <c r="AR65" s="850"/>
      <c r="AS65" s="850"/>
      <c r="AT65" s="850"/>
      <c r="AU65" s="850"/>
      <c r="AV65" s="850"/>
      <c r="AW65" s="850"/>
      <c r="AX65" s="850"/>
      <c r="AY65" s="850"/>
      <c r="AZ65" s="850"/>
      <c r="BA65" s="850"/>
      <c r="BB65" s="850"/>
      <c r="BC65" s="850"/>
      <c r="BD65" s="850"/>
      <c r="BE65" s="850"/>
      <c r="BF65" s="850"/>
      <c r="BG65" s="850"/>
      <c r="BH65" s="850"/>
      <c r="BI65" s="850"/>
      <c r="BJ65" s="850"/>
      <c r="BK65" s="850"/>
      <c r="BL65" s="850"/>
      <c r="BM65" s="850"/>
      <c r="BN65" s="850"/>
      <c r="BO65" s="850"/>
      <c r="BP65" s="850"/>
      <c r="BQ65" s="850"/>
      <c r="BR65" s="850"/>
      <c r="BS65" s="850"/>
      <c r="BT65" s="850"/>
      <c r="BU65" s="850"/>
      <c r="BV65" s="850"/>
      <c r="BW65" s="850"/>
      <c r="BX65" s="850"/>
      <c r="BY65" s="850"/>
      <c r="BZ65" s="850"/>
      <c r="CA65" s="850"/>
      <c r="CB65" s="850"/>
      <c r="CC65" s="850"/>
      <c r="CD65" s="850"/>
      <c r="CE65" s="850"/>
      <c r="CF65" s="850"/>
      <c r="CG65" s="850"/>
      <c r="CH65" s="850"/>
      <c r="CI65" s="850"/>
      <c r="CJ65" s="850"/>
      <c r="CK65" s="850"/>
      <c r="CL65" s="850"/>
      <c r="CM65" s="850"/>
      <c r="CN65" s="850"/>
      <c r="CO65" s="850"/>
      <c r="CP65" s="850"/>
      <c r="CQ65" s="850"/>
      <c r="CR65" s="850"/>
      <c r="CS65" s="850"/>
      <c r="CT65" s="850"/>
      <c r="CU65" s="850"/>
      <c r="CV65" s="850"/>
      <c r="CW65" s="850"/>
      <c r="CX65" s="850"/>
      <c r="CY65" s="850"/>
      <c r="CZ65" s="850"/>
      <c r="DA65" s="850"/>
      <c r="DB65" s="850"/>
      <c r="DC65" s="850"/>
      <c r="DD65" s="850"/>
      <c r="DE65" s="850"/>
      <c r="DF65" s="850"/>
      <c r="DG65" s="850"/>
      <c r="DH65" s="850"/>
      <c r="DI65" s="850"/>
      <c r="DJ65" s="850"/>
      <c r="DK65" s="850"/>
      <c r="DL65" s="850"/>
      <c r="DM65" s="850"/>
      <c r="DN65" s="850"/>
      <c r="DO65" s="850"/>
      <c r="DP65" s="850"/>
      <c r="DQ65" s="850"/>
      <c r="DR65" s="850"/>
      <c r="DS65" s="850"/>
      <c r="DT65" s="850"/>
      <c r="DU65" s="850"/>
      <c r="DV65" s="850"/>
      <c r="DW65" s="850"/>
      <c r="DX65" s="850"/>
      <c r="DY65" s="850"/>
      <c r="DZ65" s="422"/>
      <c r="EA65" s="879"/>
    </row>
    <row r="66" spans="1:131" s="390" customFormat="1">
      <c r="A66" s="389"/>
      <c r="B66" s="422"/>
      <c r="C66" s="389"/>
      <c r="D66" s="446" t="str">
        <f>CONCATENATE(K7&amp;" IRR")</f>
        <v>Sponsor Investors IRR</v>
      </c>
      <c r="E66" s="447">
        <f ca="1">E65</f>
        <v>2.9802322387695314E-9</v>
      </c>
      <c r="F66" s="447"/>
      <c r="G66" s="824"/>
      <c r="H66" s="838"/>
      <c r="I66" s="2018" t="str">
        <f>CONCATENATE(K7&amp;" ROI Multiple")</f>
        <v>Sponsor Investors ROI Multiple</v>
      </c>
      <c r="J66" s="2019"/>
      <c r="K66" s="448">
        <f ca="1">(SUM(I63:DY63)-SUM(I23:DY23))/-SUM(I23:DY23)</f>
        <v>7.13040047575429</v>
      </c>
      <c r="L66" s="883" t="str">
        <f>CONCATENATE("Promote to "&amp;L7)</f>
        <v>Promote to Sponsor</v>
      </c>
      <c r="M66" s="879"/>
      <c r="N66" s="879"/>
      <c r="O66" s="879"/>
      <c r="P66" s="879"/>
      <c r="Q66" s="879"/>
      <c r="R66" s="879"/>
      <c r="S66" s="879"/>
      <c r="T66" s="879"/>
      <c r="U66" s="879"/>
      <c r="V66" s="879"/>
      <c r="W66" s="879"/>
      <c r="X66" s="879"/>
      <c r="Y66" s="879"/>
      <c r="Z66" s="879"/>
      <c r="AA66" s="879"/>
      <c r="AB66" s="879"/>
      <c r="AC66" s="879"/>
      <c r="AD66" s="879"/>
      <c r="AE66" s="879"/>
      <c r="AF66" s="879"/>
      <c r="AG66" s="879"/>
      <c r="AH66" s="879"/>
      <c r="AI66" s="879"/>
      <c r="AJ66" s="879"/>
      <c r="AK66" s="879"/>
      <c r="AL66" s="879"/>
      <c r="AM66" s="879"/>
      <c r="AN66" s="879"/>
      <c r="AO66" s="879"/>
      <c r="AP66" s="879"/>
      <c r="AQ66" s="879"/>
      <c r="AR66" s="879"/>
      <c r="AS66" s="879"/>
      <c r="AT66" s="879"/>
      <c r="AU66" s="879"/>
      <c r="AV66" s="879"/>
      <c r="AW66" s="879"/>
      <c r="AX66" s="879"/>
      <c r="AY66" s="879"/>
      <c r="AZ66" s="879"/>
      <c r="BA66" s="879"/>
      <c r="BB66" s="879"/>
      <c r="BC66" s="879"/>
      <c r="BD66" s="879"/>
      <c r="BE66" s="879"/>
      <c r="BF66" s="879"/>
      <c r="BG66" s="879"/>
      <c r="BH66" s="879"/>
      <c r="BI66" s="879"/>
      <c r="BJ66" s="879"/>
      <c r="BK66" s="879"/>
      <c r="BL66" s="879"/>
      <c r="BM66" s="879"/>
      <c r="BN66" s="879"/>
      <c r="BO66" s="879"/>
      <c r="BP66" s="879"/>
      <c r="BQ66" s="879"/>
      <c r="BR66" s="879"/>
      <c r="BS66" s="879"/>
      <c r="BT66" s="879"/>
      <c r="BU66" s="879"/>
      <c r="BV66" s="879"/>
      <c r="BW66" s="879"/>
      <c r="BX66" s="879"/>
      <c r="BY66" s="879"/>
      <c r="BZ66" s="879"/>
      <c r="CA66" s="879"/>
      <c r="CB66" s="879"/>
      <c r="CC66" s="879"/>
      <c r="CD66" s="879"/>
      <c r="CE66" s="879"/>
      <c r="CF66" s="879"/>
      <c r="CG66" s="879"/>
      <c r="CH66" s="879"/>
      <c r="CI66" s="879"/>
      <c r="CJ66" s="879"/>
      <c r="CK66" s="879"/>
      <c r="CL66" s="879"/>
      <c r="CM66" s="879"/>
      <c r="CN66" s="879"/>
      <c r="CO66" s="879"/>
      <c r="CP66" s="879"/>
      <c r="CQ66" s="879"/>
      <c r="CR66" s="879"/>
      <c r="CS66" s="879"/>
      <c r="CT66" s="879"/>
      <c r="CU66" s="879"/>
      <c r="CV66" s="879"/>
      <c r="CW66" s="879"/>
      <c r="CX66" s="879"/>
      <c r="CY66" s="879"/>
      <c r="CZ66" s="879"/>
      <c r="DA66" s="879"/>
      <c r="DB66" s="879"/>
      <c r="DC66" s="879"/>
      <c r="DD66" s="879"/>
      <c r="DE66" s="879"/>
      <c r="DF66" s="879"/>
      <c r="DG66" s="879"/>
      <c r="DH66" s="879"/>
      <c r="DI66" s="879"/>
      <c r="DJ66" s="879"/>
      <c r="DK66" s="879"/>
      <c r="DL66" s="879"/>
      <c r="DM66" s="879"/>
      <c r="DN66" s="879"/>
      <c r="DO66" s="879"/>
      <c r="DP66" s="879"/>
      <c r="DQ66" s="879"/>
      <c r="DR66" s="879"/>
      <c r="DS66" s="879"/>
      <c r="DT66" s="879"/>
      <c r="DU66" s="879"/>
      <c r="DV66" s="879"/>
      <c r="DW66" s="879"/>
      <c r="DX66" s="879"/>
      <c r="DY66" s="879"/>
      <c r="DZ66" s="883"/>
      <c r="EA66" s="879"/>
    </row>
    <row r="67" spans="1:131" s="390" customFormat="1">
      <c r="A67" s="389"/>
      <c r="B67" s="422"/>
      <c r="C67" s="389"/>
      <c r="D67" s="449" t="s">
        <v>120</v>
      </c>
      <c r="E67" s="450">
        <f ca="1">IF(ISERROR(XIRR(I62:DY62,I14:DY14)),"N/A",XIRR(I62:DY62,$I$14:$DY$14))</f>
        <v>2.9802322387695314E-9</v>
      </c>
      <c r="F67" s="450"/>
      <c r="G67" s="825"/>
      <c r="H67" s="838"/>
      <c r="I67" s="2020" t="s">
        <v>121</v>
      </c>
      <c r="J67" s="2021"/>
      <c r="K67" s="451">
        <f ca="1">(SUM(I62:DY62)-SUM(I24:DY24))/-SUM(I24:DY24)</f>
        <v>3.2324106900489245</v>
      </c>
      <c r="L67" s="452" t="s">
        <v>122</v>
      </c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Z67" s="435"/>
      <c r="AA67" s="435"/>
      <c r="AB67" s="435"/>
      <c r="AC67" s="435"/>
      <c r="AD67" s="435"/>
      <c r="AE67" s="435"/>
      <c r="AF67" s="435"/>
      <c r="AG67" s="435"/>
      <c r="AH67" s="435"/>
      <c r="AI67" s="435"/>
      <c r="AJ67" s="435"/>
      <c r="AK67" s="435"/>
      <c r="AL67" s="435"/>
      <c r="AM67" s="435"/>
      <c r="AN67" s="435"/>
      <c r="AO67" s="435"/>
      <c r="AP67" s="435"/>
      <c r="AQ67" s="435"/>
      <c r="AR67" s="435"/>
      <c r="AS67" s="435"/>
      <c r="AT67" s="435"/>
      <c r="AU67" s="435"/>
      <c r="AV67" s="435"/>
      <c r="AW67" s="435"/>
      <c r="AX67" s="435"/>
      <c r="AY67" s="435"/>
      <c r="AZ67" s="435"/>
      <c r="BA67" s="435"/>
      <c r="BB67" s="435"/>
      <c r="BC67" s="435"/>
      <c r="BD67" s="435"/>
      <c r="BE67" s="435"/>
      <c r="BF67" s="435"/>
      <c r="BG67" s="435"/>
      <c r="BH67" s="435"/>
      <c r="BI67" s="435"/>
      <c r="BJ67" s="435"/>
      <c r="BK67" s="435"/>
      <c r="BL67" s="435"/>
      <c r="BM67" s="435"/>
      <c r="BN67" s="435"/>
      <c r="BO67" s="435"/>
      <c r="BP67" s="435"/>
      <c r="BQ67" s="435"/>
      <c r="BR67" s="435"/>
      <c r="BS67" s="435"/>
      <c r="BT67" s="435"/>
      <c r="BU67" s="435"/>
      <c r="BV67" s="435"/>
      <c r="BW67" s="435"/>
      <c r="BX67" s="435"/>
      <c r="BY67" s="435"/>
      <c r="BZ67" s="435"/>
      <c r="CA67" s="435"/>
      <c r="CB67" s="435"/>
      <c r="CC67" s="435"/>
      <c r="CD67" s="435"/>
      <c r="CE67" s="435"/>
      <c r="CF67" s="435"/>
      <c r="CG67" s="435"/>
      <c r="CH67" s="435"/>
      <c r="CI67" s="435"/>
      <c r="CJ67" s="435"/>
      <c r="CK67" s="435"/>
      <c r="CL67" s="435"/>
      <c r="CM67" s="435"/>
      <c r="CN67" s="435"/>
      <c r="CO67" s="435"/>
      <c r="CP67" s="435"/>
      <c r="CQ67" s="435"/>
      <c r="CR67" s="435"/>
      <c r="CS67" s="435"/>
      <c r="CT67" s="435"/>
      <c r="CU67" s="435"/>
      <c r="CV67" s="435"/>
      <c r="CW67" s="435"/>
      <c r="CX67" s="435"/>
      <c r="CY67" s="435"/>
      <c r="CZ67" s="435"/>
      <c r="DA67" s="435"/>
      <c r="DB67" s="435"/>
      <c r="DC67" s="435"/>
      <c r="DD67" s="435"/>
      <c r="DE67" s="435"/>
      <c r="DF67" s="435"/>
      <c r="DG67" s="435"/>
      <c r="DH67" s="435"/>
      <c r="DI67" s="435"/>
      <c r="DJ67" s="435"/>
      <c r="DK67" s="435"/>
      <c r="DL67" s="435"/>
      <c r="DM67" s="435"/>
      <c r="DN67" s="435"/>
      <c r="DO67" s="435"/>
      <c r="DP67" s="435"/>
      <c r="DQ67" s="435"/>
      <c r="DR67" s="435"/>
      <c r="DS67" s="435"/>
      <c r="DT67" s="435"/>
      <c r="DU67" s="435"/>
      <c r="DV67" s="435"/>
      <c r="DW67" s="435"/>
      <c r="DX67" s="435"/>
      <c r="DY67" s="435"/>
      <c r="DZ67" s="453"/>
      <c r="EA67" s="879"/>
    </row>
    <row r="68" spans="1:131" s="390" customFormat="1">
      <c r="A68" s="389"/>
      <c r="B68" s="389"/>
      <c r="C68" s="389"/>
      <c r="D68" s="389"/>
      <c r="E68" s="454"/>
      <c r="F68" s="454"/>
      <c r="G68" s="826"/>
      <c r="H68" s="839"/>
      <c r="I68" s="879"/>
      <c r="J68" s="879"/>
      <c r="K68" s="886"/>
      <c r="L68" s="879"/>
      <c r="M68" s="879"/>
      <c r="N68" s="879"/>
      <c r="O68" s="879"/>
      <c r="P68" s="879"/>
      <c r="Q68" s="879"/>
      <c r="R68" s="879"/>
      <c r="S68" s="879"/>
      <c r="T68" s="879"/>
      <c r="U68" s="879"/>
      <c r="V68" s="879"/>
      <c r="W68" s="879"/>
      <c r="X68" s="879"/>
      <c r="Y68" s="879"/>
      <c r="Z68" s="879"/>
      <c r="AA68" s="879"/>
      <c r="AB68" s="879"/>
      <c r="AC68" s="879"/>
      <c r="AD68" s="879"/>
      <c r="AE68" s="879"/>
      <c r="AF68" s="879"/>
      <c r="AG68" s="879"/>
      <c r="AH68" s="879"/>
      <c r="AI68" s="879"/>
      <c r="AJ68" s="879"/>
      <c r="AK68" s="879"/>
      <c r="AL68" s="879"/>
      <c r="AM68" s="879"/>
      <c r="AN68" s="879"/>
      <c r="AO68" s="879"/>
      <c r="AP68" s="879"/>
      <c r="AQ68" s="879"/>
      <c r="AR68" s="879"/>
      <c r="AS68" s="879"/>
      <c r="AT68" s="879"/>
      <c r="AU68" s="879"/>
      <c r="AV68" s="879"/>
      <c r="AW68" s="879"/>
      <c r="AX68" s="879"/>
      <c r="AY68" s="879"/>
      <c r="AZ68" s="879"/>
      <c r="BA68" s="879"/>
      <c r="BB68" s="879"/>
      <c r="BC68" s="879"/>
      <c r="BD68" s="879"/>
      <c r="BE68" s="879"/>
      <c r="BF68" s="879"/>
      <c r="BG68" s="879"/>
      <c r="BH68" s="879"/>
      <c r="BI68" s="879"/>
      <c r="BJ68" s="879"/>
      <c r="BK68" s="879"/>
      <c r="BL68" s="879"/>
      <c r="BM68" s="879"/>
      <c r="BN68" s="879"/>
      <c r="BO68" s="879"/>
      <c r="BP68" s="879"/>
      <c r="BQ68" s="879"/>
      <c r="BR68" s="879"/>
      <c r="BS68" s="879"/>
      <c r="BT68" s="879"/>
      <c r="BU68" s="879"/>
      <c r="BV68" s="879"/>
      <c r="BW68" s="879"/>
      <c r="BX68" s="879"/>
      <c r="BY68" s="879"/>
      <c r="BZ68" s="879"/>
      <c r="CA68" s="879"/>
      <c r="CB68" s="879"/>
      <c r="CC68" s="879"/>
      <c r="CD68" s="879"/>
      <c r="CE68" s="879"/>
      <c r="CF68" s="879"/>
      <c r="CG68" s="879"/>
      <c r="CH68" s="879"/>
      <c r="CI68" s="879"/>
      <c r="CJ68" s="879"/>
      <c r="CK68" s="879"/>
      <c r="CL68" s="879"/>
      <c r="CM68" s="879"/>
      <c r="CN68" s="879"/>
      <c r="CO68" s="879"/>
      <c r="CP68" s="879"/>
      <c r="CQ68" s="879"/>
      <c r="CR68" s="879"/>
      <c r="CS68" s="879"/>
      <c r="CT68" s="879"/>
      <c r="CU68" s="879"/>
      <c r="CV68" s="879"/>
      <c r="CW68" s="879"/>
      <c r="CX68" s="879"/>
      <c r="CY68" s="879"/>
      <c r="CZ68" s="879"/>
      <c r="DA68" s="879"/>
      <c r="DB68" s="879"/>
      <c r="DC68" s="879"/>
      <c r="DD68" s="879"/>
      <c r="DE68" s="879"/>
      <c r="DF68" s="879"/>
      <c r="DG68" s="879"/>
      <c r="DH68" s="879"/>
      <c r="DI68" s="879"/>
      <c r="DJ68" s="879"/>
      <c r="DK68" s="879"/>
      <c r="DL68" s="879"/>
      <c r="DM68" s="879"/>
      <c r="DN68" s="879"/>
      <c r="DO68" s="879"/>
      <c r="DP68" s="879"/>
      <c r="DQ68" s="879"/>
      <c r="DR68" s="879"/>
      <c r="DS68" s="879"/>
      <c r="DT68" s="879"/>
      <c r="DU68" s="879"/>
      <c r="DV68" s="879"/>
      <c r="DW68" s="879"/>
      <c r="DX68" s="879"/>
      <c r="DY68" s="879"/>
      <c r="DZ68" s="879"/>
      <c r="EA68" s="879"/>
    </row>
    <row r="69" spans="1:131" s="390" customFormat="1">
      <c r="A69" s="389"/>
      <c r="B69" s="389"/>
      <c r="C69" s="389"/>
      <c r="D69" s="389"/>
      <c r="E69" s="454"/>
      <c r="F69" s="454"/>
      <c r="G69" s="796"/>
      <c r="H69" s="83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  <c r="BT69" s="389"/>
      <c r="BU69" s="389"/>
      <c r="BV69" s="389"/>
      <c r="BW69" s="389"/>
      <c r="BX69" s="389"/>
      <c r="BY69" s="389"/>
      <c r="BZ69" s="389"/>
      <c r="CA69" s="389"/>
      <c r="CB69" s="389"/>
      <c r="CC69" s="389"/>
      <c r="CD69" s="389"/>
      <c r="CE69" s="389"/>
      <c r="CF69" s="389"/>
      <c r="CG69" s="389"/>
      <c r="CH69" s="389"/>
      <c r="CI69" s="389"/>
      <c r="CJ69" s="389"/>
      <c r="CK69" s="389"/>
      <c r="CL69" s="389"/>
      <c r="CM69" s="389"/>
      <c r="CN69" s="389"/>
      <c r="CO69" s="389"/>
      <c r="CP69" s="389"/>
      <c r="CQ69" s="389"/>
      <c r="CR69" s="389"/>
      <c r="CS69" s="389"/>
      <c r="CT69" s="389"/>
      <c r="CU69" s="389"/>
      <c r="CV69" s="389"/>
      <c r="CW69" s="389"/>
      <c r="CX69" s="389"/>
      <c r="CY69" s="389"/>
      <c r="CZ69" s="389"/>
      <c r="DA69" s="389"/>
      <c r="DB69" s="389"/>
      <c r="DC69" s="389"/>
      <c r="DD69" s="389"/>
      <c r="DE69" s="389"/>
      <c r="DF69" s="389"/>
      <c r="DG69" s="389"/>
      <c r="DH69" s="389"/>
      <c r="DI69" s="389"/>
      <c r="DJ69" s="389"/>
      <c r="DK69" s="389"/>
      <c r="DL69" s="389"/>
      <c r="DM69" s="389"/>
      <c r="DN69" s="389"/>
      <c r="DO69" s="389"/>
      <c r="DP69" s="389"/>
      <c r="DQ69" s="389"/>
      <c r="DR69" s="389"/>
      <c r="DS69" s="389"/>
      <c r="DT69" s="389"/>
      <c r="DU69" s="389"/>
      <c r="DV69" s="389"/>
      <c r="DW69" s="389"/>
      <c r="DX69" s="389"/>
      <c r="DY69" s="389"/>
      <c r="DZ69" s="389"/>
      <c r="EA69" s="389"/>
    </row>
    <row r="70" spans="1:131" s="390" customFormat="1">
      <c r="A70" s="389"/>
      <c r="B70" s="433"/>
      <c r="C70" s="389"/>
      <c r="D70" s="433" t="s">
        <v>123</v>
      </c>
      <c r="E70" s="389"/>
      <c r="F70" s="389"/>
      <c r="G70" s="827"/>
      <c r="H70" s="829"/>
      <c r="I70" s="401" t="s">
        <v>110</v>
      </c>
      <c r="J70" s="40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2"/>
      <c r="EA70" s="389"/>
    </row>
    <row r="71" spans="1:131" s="390" customFormat="1">
      <c r="A71" s="389"/>
      <c r="B71" s="389"/>
      <c r="C71" s="389"/>
      <c r="D71" s="389"/>
      <c r="E71" s="389"/>
      <c r="F71" s="389"/>
      <c r="G71" s="796"/>
      <c r="H71" s="82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  <c r="BT71" s="389"/>
      <c r="BU71" s="389"/>
      <c r="BV71" s="389"/>
      <c r="BW71" s="389"/>
      <c r="BX71" s="389"/>
      <c r="BY71" s="389"/>
      <c r="BZ71" s="389"/>
      <c r="CA71" s="389"/>
      <c r="CB71" s="389"/>
      <c r="CC71" s="389"/>
      <c r="CD71" s="389"/>
      <c r="CE71" s="389"/>
      <c r="CF71" s="389"/>
      <c r="CG71" s="389"/>
      <c r="CH71" s="389"/>
      <c r="CI71" s="389"/>
      <c r="CJ71" s="389"/>
      <c r="CK71" s="389"/>
      <c r="CL71" s="389"/>
      <c r="CM71" s="389"/>
      <c r="CN71" s="389"/>
      <c r="CO71" s="389"/>
      <c r="CP71" s="389"/>
      <c r="CQ71" s="389"/>
      <c r="CR71" s="389"/>
      <c r="CS71" s="389"/>
      <c r="CT71" s="389"/>
      <c r="CU71" s="389"/>
      <c r="CV71" s="389"/>
      <c r="CW71" s="389"/>
      <c r="CX71" s="389"/>
      <c r="CY71" s="389"/>
      <c r="CZ71" s="389"/>
      <c r="DA71" s="389"/>
      <c r="DB71" s="389"/>
      <c r="DC71" s="389"/>
      <c r="DD71" s="389"/>
      <c r="DE71" s="389"/>
      <c r="DF71" s="389"/>
      <c r="DG71" s="389"/>
      <c r="DH71" s="389"/>
      <c r="DI71" s="389"/>
      <c r="DJ71" s="389"/>
      <c r="DK71" s="389"/>
      <c r="DL71" s="389"/>
      <c r="DM71" s="389"/>
      <c r="DN71" s="389"/>
      <c r="DO71" s="389"/>
      <c r="DP71" s="389"/>
      <c r="DQ71" s="389"/>
      <c r="DR71" s="389"/>
      <c r="DS71" s="389"/>
      <c r="DT71" s="389"/>
      <c r="DU71" s="389"/>
      <c r="DV71" s="389"/>
      <c r="DW71" s="389"/>
      <c r="DX71" s="389"/>
      <c r="DY71" s="389"/>
      <c r="DZ71" s="389"/>
      <c r="EA71" s="389"/>
    </row>
    <row r="72" spans="1:131" s="390" customFormat="1">
      <c r="A72" s="389"/>
      <c r="B72" s="433"/>
      <c r="C72" s="389"/>
      <c r="D72" s="433" t="s">
        <v>106</v>
      </c>
      <c r="E72" s="455">
        <f>I9</f>
        <v>0.08</v>
      </c>
      <c r="F72" s="572"/>
      <c r="G72" s="796"/>
      <c r="H72" s="840"/>
      <c r="I72" s="389"/>
      <c r="J72" s="389"/>
      <c r="K72" s="389"/>
      <c r="L72" s="456"/>
      <c r="M72" s="456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  <c r="BT72" s="389"/>
      <c r="BU72" s="389"/>
      <c r="BV72" s="389"/>
      <c r="BW72" s="389"/>
      <c r="BX72" s="389"/>
      <c r="BY72" s="389"/>
      <c r="BZ72" s="389"/>
      <c r="CA72" s="389"/>
      <c r="CB72" s="389"/>
      <c r="CC72" s="389"/>
      <c r="CD72" s="389"/>
      <c r="CE72" s="389"/>
      <c r="CF72" s="389"/>
      <c r="CG72" s="389"/>
      <c r="CH72" s="389"/>
      <c r="CI72" s="389"/>
      <c r="CJ72" s="389"/>
      <c r="CK72" s="389"/>
      <c r="CL72" s="389"/>
      <c r="CM72" s="389"/>
      <c r="CN72" s="389"/>
      <c r="CO72" s="389"/>
      <c r="CP72" s="389"/>
      <c r="CQ72" s="389"/>
      <c r="CR72" s="389"/>
      <c r="CS72" s="389"/>
      <c r="CT72" s="389"/>
      <c r="CU72" s="389"/>
      <c r="CV72" s="389"/>
      <c r="CW72" s="389"/>
      <c r="CX72" s="389"/>
      <c r="CY72" s="389"/>
      <c r="CZ72" s="389"/>
      <c r="DA72" s="389"/>
      <c r="DB72" s="389"/>
      <c r="DC72" s="389"/>
      <c r="DD72" s="389"/>
      <c r="DE72" s="389"/>
      <c r="DF72" s="389"/>
      <c r="DG72" s="389"/>
      <c r="DH72" s="389"/>
      <c r="DI72" s="389"/>
      <c r="DJ72" s="389"/>
      <c r="DK72" s="389"/>
      <c r="DL72" s="389"/>
      <c r="DM72" s="389"/>
      <c r="DN72" s="389"/>
      <c r="DO72" s="389"/>
      <c r="DP72" s="389"/>
      <c r="DQ72" s="389"/>
      <c r="DR72" s="389"/>
      <c r="DS72" s="389"/>
      <c r="DT72" s="389"/>
      <c r="DU72" s="389"/>
      <c r="DV72" s="389"/>
      <c r="DW72" s="389"/>
      <c r="DX72" s="389"/>
      <c r="DY72" s="389"/>
      <c r="DZ72" s="389"/>
      <c r="EA72" s="389"/>
    </row>
    <row r="73" spans="1:131" s="390" customFormat="1">
      <c r="A73" s="389"/>
      <c r="B73" s="389"/>
      <c r="C73" s="389"/>
      <c r="D73" s="389" t="s">
        <v>124</v>
      </c>
      <c r="E73" s="389"/>
      <c r="F73" s="389"/>
      <c r="G73" s="796"/>
      <c r="H73" s="829"/>
      <c r="I73" s="703">
        <v>0</v>
      </c>
      <c r="J73" s="389">
        <f>I78</f>
        <v>0</v>
      </c>
      <c r="K73" s="389">
        <f ca="1">J78</f>
        <v>-4680000</v>
      </c>
      <c r="L73" s="389">
        <f ca="1">K78</f>
        <v>-5062728.3329958031</v>
      </c>
      <c r="M73" s="389">
        <f ca="1">L78</f>
        <v>-7571592.4249860253</v>
      </c>
      <c r="N73" s="389">
        <f t="shared" ref="N73:BY73" ca="1" si="93">M78</f>
        <v>-10095302.424867351</v>
      </c>
      <c r="O73" s="389">
        <f t="shared" ca="1" si="93"/>
        <v>-12637169.263029607</v>
      </c>
      <c r="P73" s="389">
        <f t="shared" ca="1" si="93"/>
        <v>-15193023.456500446</v>
      </c>
      <c r="Q73" s="389">
        <f t="shared" ca="1" si="93"/>
        <v>-17768320.263142366</v>
      </c>
      <c r="R73" s="389">
        <f t="shared" ca="1" si="93"/>
        <v>-20268818.021185208</v>
      </c>
      <c r="S73" s="389">
        <f t="shared" ca="1" si="93"/>
        <v>-20393135.719507616</v>
      </c>
      <c r="T73" s="389">
        <f t="shared" ca="1" si="93"/>
        <v>-20526870.358981643</v>
      </c>
      <c r="U73" s="389">
        <f t="shared" ca="1" si="93"/>
        <v>-20657125.947970163</v>
      </c>
      <c r="V73" s="389">
        <f t="shared" ca="1" si="93"/>
        <v>-20792591.789477739</v>
      </c>
      <c r="W73" s="389">
        <f t="shared" ca="1" si="93"/>
        <v>-20924533.544005908</v>
      </c>
      <c r="X73" s="389">
        <f t="shared" ca="1" si="93"/>
        <v>-21061752.998049602</v>
      </c>
      <c r="Y73" s="389">
        <f t="shared" ca="1" si="93"/>
        <v>-21199872.313422509</v>
      </c>
      <c r="Z73" s="389">
        <f t="shared" ca="1" si="93"/>
        <v>-21334398.512807697</v>
      </c>
      <c r="AA73" s="389">
        <f t="shared" ca="1" si="93"/>
        <v>-21474305.790077288</v>
      </c>
      <c r="AB73" s="389">
        <f t="shared" ca="1" si="93"/>
        <v>-21610573.438281253</v>
      </c>
      <c r="AC73" s="389">
        <f t="shared" ca="1" si="93"/>
        <v>-21752291.822709545</v>
      </c>
      <c r="AD73" s="389">
        <f t="shared" ca="1" si="93"/>
        <v>-21894939.571670543</v>
      </c>
      <c r="AE73" s="389">
        <f t="shared" ca="1" si="93"/>
        <v>-22024586.577068236</v>
      </c>
      <c r="AF73" s="389">
        <f t="shared" ca="1" si="93"/>
        <v>-22169019.987700183</v>
      </c>
      <c r="AG73" s="389">
        <f t="shared" ca="1" si="93"/>
        <v>-22309696.023807786</v>
      </c>
      <c r="AH73" s="389">
        <f t="shared" ca="1" si="93"/>
        <v>-22455999.13263597</v>
      </c>
      <c r="AI73" s="389">
        <f t="shared" ca="1" si="93"/>
        <v>-22598496.227526393</v>
      </c>
      <c r="AJ73" s="389">
        <f t="shared" ca="1" si="93"/>
        <v>-14464071.435182087</v>
      </c>
      <c r="AK73" s="389">
        <f t="shared" ca="1" si="93"/>
        <v>-14558924.301622842</v>
      </c>
      <c r="AL73" s="389">
        <f t="shared" ca="1" si="93"/>
        <v>-14643449.885420645</v>
      </c>
      <c r="AM73" s="389">
        <f t="shared" ca="1" si="93"/>
        <v>-14630324.48625361</v>
      </c>
      <c r="AN73" s="389">
        <f t="shared" ca="1" si="93"/>
        <v>-14716636.341998078</v>
      </c>
      <c r="AO73" s="389">
        <f t="shared" ca="1" si="93"/>
        <v>-14813145.485198885</v>
      </c>
      <c r="AP73" s="389">
        <f t="shared" ca="1" si="93"/>
        <v>-14910287.518586343</v>
      </c>
      <c r="AQ73" s="389">
        <f t="shared" ca="1" si="93"/>
        <v>-14998576.144370196</v>
      </c>
      <c r="AR73" s="389">
        <f t="shared" ca="1" si="93"/>
        <v>-15096934.1997904</v>
      </c>
      <c r="AS73" s="389">
        <f t="shared" ca="1" si="93"/>
        <v>-15133860.081854455</v>
      </c>
      <c r="AT73" s="389">
        <f t="shared" ca="1" si="93"/>
        <v>-15093313.614181262</v>
      </c>
      <c r="AU73" s="389">
        <f t="shared" ca="1" si="93"/>
        <v>-15029320.293485509</v>
      </c>
      <c r="AV73" s="389">
        <f t="shared" ca="1" si="93"/>
        <v>-15038120.368824484</v>
      </c>
      <c r="AW73" s="389">
        <f t="shared" ca="1" si="93"/>
        <v>-15049551.952434182</v>
      </c>
      <c r="AX73" s="389">
        <f t="shared" ca="1" si="93"/>
        <v>-15021595.241868069</v>
      </c>
      <c r="AY73" s="389">
        <f t="shared" ca="1" si="93"/>
        <v>-14905311.698117774</v>
      </c>
      <c r="AZ73" s="389">
        <f t="shared" ca="1" si="93"/>
        <v>-14922953.016554315</v>
      </c>
      <c r="BA73" s="389">
        <f t="shared" ca="1" si="93"/>
        <v>-15020815.148646519</v>
      </c>
      <c r="BB73" s="389">
        <f t="shared" ca="1" si="93"/>
        <v>-15119319.043591358</v>
      </c>
      <c r="BC73" s="389">
        <f t="shared" ca="1" si="93"/>
        <v>-15208845.412514985</v>
      </c>
      <c r="BD73" s="389">
        <f t="shared" ca="1" si="93"/>
        <v>-15213238.887967318</v>
      </c>
      <c r="BE73" s="389">
        <f t="shared" ca="1" si="93"/>
        <v>-15169194.729117421</v>
      </c>
      <c r="BF73" s="389">
        <f t="shared" ca="1" si="93"/>
        <v>-15116163.159069134</v>
      </c>
      <c r="BG73" s="389">
        <f t="shared" ca="1" si="93"/>
        <v>-15051210.479472954</v>
      </c>
      <c r="BH73" s="389">
        <f t="shared" ca="1" si="93"/>
        <v>-15060164.01397793</v>
      </c>
      <c r="BI73" s="389">
        <f t="shared" ca="1" si="93"/>
        <v>-15071782.494444765</v>
      </c>
      <c r="BJ73" s="389">
        <f t="shared" ca="1" si="93"/>
        <v>-15043434.439425357</v>
      </c>
      <c r="BK73" s="389">
        <f t="shared" ca="1" si="93"/>
        <v>-14925356.090410348</v>
      </c>
      <c r="BL73" s="389">
        <f t="shared" ca="1" si="93"/>
        <v>-14943294.164590731</v>
      </c>
      <c r="BM73" s="389">
        <f t="shared" ca="1" si="93"/>
        <v>-15041289.690396221</v>
      </c>
      <c r="BN73" s="389">
        <f t="shared" ca="1" si="93"/>
        <v>-15139927.853827132</v>
      </c>
      <c r="BO73" s="389">
        <f t="shared" ca="1" si="93"/>
        <v>-15232787.781899299</v>
      </c>
      <c r="BP73" s="389">
        <f t="shared" ca="1" si="93"/>
        <v>-15217535.664674038</v>
      </c>
      <c r="BQ73" s="389">
        <f t="shared" ca="1" si="93"/>
        <v>-15169956.456107089</v>
      </c>
      <c r="BR73" s="389">
        <f t="shared" ca="1" si="93"/>
        <v>-15113197.862744253</v>
      </c>
      <c r="BS73" s="389">
        <f t="shared" ca="1" si="93"/>
        <v>-15044345.354915434</v>
      </c>
      <c r="BT73" s="389">
        <f t="shared" ca="1" si="93"/>
        <v>-15050490.964503083</v>
      </c>
      <c r="BU73" s="389">
        <f t="shared" ca="1" si="93"/>
        <v>-15059315.166962575</v>
      </c>
      <c r="BV73" s="389">
        <f t="shared" ca="1" si="93"/>
        <v>-15027580.563561808</v>
      </c>
      <c r="BW73" s="389">
        <f t="shared" ca="1" si="93"/>
        <v>-14904683.066763453</v>
      </c>
      <c r="BX73" s="389">
        <f t="shared" ca="1" si="93"/>
        <v>-14919884.751413228</v>
      </c>
      <c r="BY73" s="389">
        <f t="shared" ca="1" si="93"/>
        <v>-15017726.762355939</v>
      </c>
      <c r="BZ73" s="389">
        <f t="shared" ref="BZ73:DY73" ca="1" si="94">BY78</f>
        <v>-15116210.404200284</v>
      </c>
      <c r="CA73" s="389">
        <f t="shared" ca="1" si="94"/>
        <v>-15205718.365866536</v>
      </c>
      <c r="CB73" s="389">
        <f t="shared" ca="1" si="94"/>
        <v>-15198829.832447149</v>
      </c>
      <c r="CC73" s="389">
        <f t="shared" ca="1" si="94"/>
        <v>-15147712.275596365</v>
      </c>
      <c r="CD73" s="389">
        <f t="shared" ca="1" si="94"/>
        <v>-15087219.009403279</v>
      </c>
      <c r="CE73" s="389">
        <f t="shared" ca="1" si="94"/>
        <v>-15014462.563139951</v>
      </c>
      <c r="CF73" s="389">
        <f t="shared" ca="1" si="94"/>
        <v>-15017794.301417405</v>
      </c>
      <c r="CG73" s="389">
        <f t="shared" ca="1" si="94"/>
        <v>-15023817.818521667</v>
      </c>
      <c r="CH73" s="389">
        <f t="shared" ca="1" si="94"/>
        <v>-14988693.669005632</v>
      </c>
      <c r="CI73" s="389">
        <f t="shared" ca="1" si="94"/>
        <v>-14860968.12358756</v>
      </c>
      <c r="CJ73" s="389">
        <f t="shared" ca="1" si="94"/>
        <v>-14873429.985445661</v>
      </c>
      <c r="CK73" s="389">
        <f t="shared" ca="1" si="94"/>
        <v>-14970967.354107559</v>
      </c>
      <c r="CL73" s="389">
        <f t="shared" ca="1" si="94"/>
        <v>-15069144.355879962</v>
      </c>
      <c r="CM73" s="389">
        <f t="shared" ca="1" si="94"/>
        <v>-15158373.624280099</v>
      </c>
      <c r="CN73" s="389">
        <f t="shared" ca="1" si="94"/>
        <v>-15144972.351491189</v>
      </c>
      <c r="CO73" s="389">
        <f t="shared" ca="1" si="94"/>
        <v>-15090247.937132353</v>
      </c>
      <c r="CP73" s="389">
        <f t="shared" ca="1" si="94"/>
        <v>-15025944.317977631</v>
      </c>
      <c r="CQ73" s="389">
        <f t="shared" ca="1" si="94"/>
        <v>-14946568.583806131</v>
      </c>
      <c r="CR73" s="389">
        <f t="shared" ca="1" si="94"/>
        <v>-14944348.056994339</v>
      </c>
      <c r="CS73" s="389">
        <f t="shared" ca="1" si="94"/>
        <v>-14944814.060921995</v>
      </c>
      <c r="CT73" s="389">
        <f t="shared" ca="1" si="94"/>
        <v>-14903533.688444881</v>
      </c>
      <c r="CU73" s="389">
        <f t="shared" ca="1" si="94"/>
        <v>-14768186.252585158</v>
      </c>
      <c r="CV73" s="389">
        <f t="shared" ca="1" si="94"/>
        <v>-14775105.316271592</v>
      </c>
      <c r="CW73" s="389">
        <f t="shared" ca="1" si="94"/>
        <v>-14871997.888843067</v>
      </c>
      <c r="CX73" s="389">
        <f t="shared" ca="1" si="94"/>
        <v>-14969525.86606436</v>
      </c>
      <c r="CY73" s="389">
        <f t="shared" ca="1" si="94"/>
        <v>-15058165.261227142</v>
      </c>
      <c r="CZ73" s="389">
        <f t="shared" ca="1" si="94"/>
        <v>-15005425.192271153</v>
      </c>
      <c r="DA73" s="389">
        <f t="shared" ca="1" si="94"/>
        <v>-14934813.068140881</v>
      </c>
      <c r="DB73" s="389">
        <f t="shared" ca="1" si="94"/>
        <v>-14854114.908187345</v>
      </c>
      <c r="DC73" s="389">
        <f t="shared" ca="1" si="94"/>
        <v>-14780931.33280812</v>
      </c>
      <c r="DD73" s="389">
        <f t="shared" ca="1" si="94"/>
        <v>-14787141.71891756</v>
      </c>
      <c r="DE73" s="389">
        <f t="shared" ca="1" si="94"/>
        <v>-14796174.957005037</v>
      </c>
      <c r="DF73" s="389">
        <f t="shared" ca="1" si="94"/>
        <v>-14762392.205530835</v>
      </c>
      <c r="DG73" s="389">
        <f t="shared" ca="1" si="94"/>
        <v>-14631650.980771253</v>
      </c>
      <c r="DH73" s="389">
        <f t="shared" ca="1" si="94"/>
        <v>-14647624.079142872</v>
      </c>
      <c r="DI73" s="389">
        <f t="shared" ca="1" si="94"/>
        <v>-14743680.651919045</v>
      </c>
      <c r="DJ73" s="389">
        <f t="shared" ca="1" si="94"/>
        <v>-14840367.147003684</v>
      </c>
      <c r="DK73" s="389">
        <f t="shared" ca="1" si="94"/>
        <v>-14931389.735693693</v>
      </c>
      <c r="DL73" s="389">
        <f t="shared" ca="1" si="94"/>
        <v>-14906627.722740101</v>
      </c>
      <c r="DM73" s="389">
        <f t="shared" ca="1" si="94"/>
        <v>-14842938.004374547</v>
      </c>
      <c r="DN73" s="389">
        <f t="shared" ca="1" si="94"/>
        <v>-14768802.460669944</v>
      </c>
      <c r="DO73" s="389">
        <f t="shared" ca="1" si="94"/>
        <v>-14683205.404117083</v>
      </c>
      <c r="DP73" s="389">
        <f t="shared" ca="1" si="94"/>
        <v>-14679204.448953349</v>
      </c>
      <c r="DQ73" s="389">
        <f t="shared" ca="1" si="94"/>
        <v>-14678042.845326802</v>
      </c>
      <c r="DR73" s="389">
        <f t="shared" ca="1" si="94"/>
        <v>-14632831.406423206</v>
      </c>
      <c r="DS73" s="389">
        <f t="shared" ca="1" si="94"/>
        <v>-14487565.171808703</v>
      </c>
      <c r="DT73" s="389">
        <f t="shared" ca="1" si="94"/>
        <v>-14493468.886277974</v>
      </c>
      <c r="DU73" s="389">
        <f t="shared" ca="1" si="94"/>
        <v>-14588514.53609338</v>
      </c>
      <c r="DV73" s="389">
        <f t="shared" ca="1" si="94"/>
        <v>-14684183.478760188</v>
      </c>
      <c r="DW73" s="389">
        <f t="shared" ca="1" si="94"/>
        <v>-14771133.269532608</v>
      </c>
      <c r="DX73" s="389">
        <f t="shared" ca="1" si="94"/>
        <v>-14731489.728365291</v>
      </c>
      <c r="DY73" s="389">
        <f t="shared" ca="1" si="94"/>
        <v>-14655091.349538168</v>
      </c>
      <c r="DZ73" s="389"/>
      <c r="EA73" s="389"/>
    </row>
    <row r="74" spans="1:131" s="390" customFormat="1">
      <c r="A74" s="389"/>
      <c r="B74" s="389"/>
      <c r="C74" s="389"/>
      <c r="D74" s="389" t="s">
        <v>112</v>
      </c>
      <c r="E74" s="389"/>
      <c r="F74" s="389"/>
      <c r="G74" s="796"/>
      <c r="H74" s="829"/>
      <c r="I74" s="703">
        <f>+I22</f>
        <v>0</v>
      </c>
      <c r="J74" s="389">
        <f ca="1">J22</f>
        <v>-4680000</v>
      </c>
      <c r="K74" s="389">
        <f ca="1">K22</f>
        <v>-352037.7064366049</v>
      </c>
      <c r="L74" s="389">
        <f ca="1">L22</f>
        <v>-2475663.5995460674</v>
      </c>
      <c r="M74" s="389">
        <f ca="1">M22</f>
        <v>-2475663.5995460674</v>
      </c>
      <c r="N74" s="389">
        <f t="shared" ref="N74:BY74" ca="1" si="95">N22</f>
        <v>-2475663.5995460674</v>
      </c>
      <c r="O74" s="389">
        <f t="shared" ca="1" si="95"/>
        <v>-2475663.5995460674</v>
      </c>
      <c r="P74" s="389">
        <f t="shared" ca="1" si="95"/>
        <v>-2475663.5995460674</v>
      </c>
      <c r="Q74" s="389">
        <f t="shared" ca="1" si="95"/>
        <v>-2383976.2021068749</v>
      </c>
      <c r="R74" s="389">
        <f t="shared" ca="1" si="95"/>
        <v>0</v>
      </c>
      <c r="S74" s="389">
        <f t="shared" ca="1" si="95"/>
        <v>0</v>
      </c>
      <c r="T74" s="389">
        <f t="shared" ca="1" si="95"/>
        <v>0</v>
      </c>
      <c r="U74" s="389">
        <f t="shared" ca="1" si="95"/>
        <v>0</v>
      </c>
      <c r="V74" s="389">
        <f t="shared" ca="1" si="95"/>
        <v>0</v>
      </c>
      <c r="W74" s="389">
        <f t="shared" ca="1" si="95"/>
        <v>0</v>
      </c>
      <c r="X74" s="389">
        <f t="shared" ca="1" si="95"/>
        <v>0</v>
      </c>
      <c r="Y74" s="389">
        <f t="shared" ca="1" si="95"/>
        <v>0</v>
      </c>
      <c r="Z74" s="389">
        <f t="shared" ca="1" si="95"/>
        <v>0</v>
      </c>
      <c r="AA74" s="389">
        <f t="shared" ca="1" si="95"/>
        <v>0</v>
      </c>
      <c r="AB74" s="389">
        <f t="shared" ca="1" si="95"/>
        <v>0</v>
      </c>
      <c r="AC74" s="389">
        <f t="shared" ca="1" si="95"/>
        <v>0</v>
      </c>
      <c r="AD74" s="389">
        <f t="shared" ca="1" si="95"/>
        <v>0</v>
      </c>
      <c r="AE74" s="389">
        <f t="shared" ca="1" si="95"/>
        <v>0</v>
      </c>
      <c r="AF74" s="389">
        <f t="shared" ca="1" si="95"/>
        <v>0</v>
      </c>
      <c r="AG74" s="389">
        <f t="shared" ca="1" si="95"/>
        <v>0</v>
      </c>
      <c r="AH74" s="389">
        <f t="shared" ca="1" si="95"/>
        <v>0</v>
      </c>
      <c r="AI74" s="389">
        <f t="shared" ca="1" si="95"/>
        <v>0</v>
      </c>
      <c r="AJ74" s="389">
        <f t="shared" ca="1" si="95"/>
        <v>0</v>
      </c>
      <c r="AK74" s="389">
        <f t="shared" ca="1" si="95"/>
        <v>0</v>
      </c>
      <c r="AL74" s="389">
        <f t="shared" ca="1" si="95"/>
        <v>0</v>
      </c>
      <c r="AM74" s="389">
        <f t="shared" ca="1" si="95"/>
        <v>0</v>
      </c>
      <c r="AN74" s="389">
        <f t="shared" ca="1" si="95"/>
        <v>0</v>
      </c>
      <c r="AO74" s="389">
        <f t="shared" ca="1" si="95"/>
        <v>0</v>
      </c>
      <c r="AP74" s="389">
        <f t="shared" ca="1" si="95"/>
        <v>0</v>
      </c>
      <c r="AQ74" s="389">
        <f t="shared" ca="1" si="95"/>
        <v>0</v>
      </c>
      <c r="AR74" s="389">
        <f t="shared" ca="1" si="95"/>
        <v>0</v>
      </c>
      <c r="AS74" s="389">
        <f t="shared" ca="1" si="95"/>
        <v>0</v>
      </c>
      <c r="AT74" s="389">
        <f t="shared" ca="1" si="95"/>
        <v>0</v>
      </c>
      <c r="AU74" s="389">
        <f t="shared" ca="1" si="95"/>
        <v>0</v>
      </c>
      <c r="AV74" s="389">
        <f t="shared" ca="1" si="95"/>
        <v>0</v>
      </c>
      <c r="AW74" s="389">
        <f t="shared" ca="1" si="95"/>
        <v>0</v>
      </c>
      <c r="AX74" s="389">
        <f t="shared" ca="1" si="95"/>
        <v>0</v>
      </c>
      <c r="AY74" s="389">
        <f t="shared" ca="1" si="95"/>
        <v>0</v>
      </c>
      <c r="AZ74" s="389">
        <f t="shared" ca="1" si="95"/>
        <v>0</v>
      </c>
      <c r="BA74" s="389">
        <f t="shared" ca="1" si="95"/>
        <v>0</v>
      </c>
      <c r="BB74" s="389">
        <f t="shared" ca="1" si="95"/>
        <v>0</v>
      </c>
      <c r="BC74" s="389">
        <f t="shared" ca="1" si="95"/>
        <v>0</v>
      </c>
      <c r="BD74" s="389">
        <f t="shared" ca="1" si="95"/>
        <v>0</v>
      </c>
      <c r="BE74" s="389">
        <f t="shared" ca="1" si="95"/>
        <v>0</v>
      </c>
      <c r="BF74" s="389">
        <f t="shared" ca="1" si="95"/>
        <v>0</v>
      </c>
      <c r="BG74" s="389">
        <f t="shared" ca="1" si="95"/>
        <v>0</v>
      </c>
      <c r="BH74" s="389">
        <f t="shared" ca="1" si="95"/>
        <v>0</v>
      </c>
      <c r="BI74" s="389">
        <f t="shared" ca="1" si="95"/>
        <v>0</v>
      </c>
      <c r="BJ74" s="389">
        <f t="shared" ca="1" si="95"/>
        <v>0</v>
      </c>
      <c r="BK74" s="389">
        <f t="shared" ca="1" si="95"/>
        <v>0</v>
      </c>
      <c r="BL74" s="389">
        <f t="shared" ca="1" si="95"/>
        <v>0</v>
      </c>
      <c r="BM74" s="389">
        <f t="shared" ca="1" si="95"/>
        <v>0</v>
      </c>
      <c r="BN74" s="389">
        <f t="shared" ca="1" si="95"/>
        <v>0</v>
      </c>
      <c r="BO74" s="389">
        <f t="shared" ca="1" si="95"/>
        <v>0</v>
      </c>
      <c r="BP74" s="389">
        <f t="shared" ca="1" si="95"/>
        <v>0</v>
      </c>
      <c r="BQ74" s="389">
        <f t="shared" ca="1" si="95"/>
        <v>0</v>
      </c>
      <c r="BR74" s="389">
        <f t="shared" ca="1" si="95"/>
        <v>0</v>
      </c>
      <c r="BS74" s="389">
        <f t="shared" ca="1" si="95"/>
        <v>0</v>
      </c>
      <c r="BT74" s="389">
        <f t="shared" ca="1" si="95"/>
        <v>0</v>
      </c>
      <c r="BU74" s="389">
        <f t="shared" ca="1" si="95"/>
        <v>0</v>
      </c>
      <c r="BV74" s="389">
        <f t="shared" ca="1" si="95"/>
        <v>0</v>
      </c>
      <c r="BW74" s="389">
        <f t="shared" ca="1" si="95"/>
        <v>0</v>
      </c>
      <c r="BX74" s="389">
        <f t="shared" ca="1" si="95"/>
        <v>0</v>
      </c>
      <c r="BY74" s="389">
        <f t="shared" ca="1" si="95"/>
        <v>0</v>
      </c>
      <c r="BZ74" s="389">
        <f t="shared" ref="BZ74:DY74" ca="1" si="96">BZ22</f>
        <v>0</v>
      </c>
      <c r="CA74" s="389">
        <f t="shared" ca="1" si="96"/>
        <v>0</v>
      </c>
      <c r="CB74" s="389">
        <f t="shared" ca="1" si="96"/>
        <v>0</v>
      </c>
      <c r="CC74" s="389">
        <f t="shared" ca="1" si="96"/>
        <v>0</v>
      </c>
      <c r="CD74" s="389">
        <f t="shared" ca="1" si="96"/>
        <v>0</v>
      </c>
      <c r="CE74" s="389">
        <f t="shared" ca="1" si="96"/>
        <v>0</v>
      </c>
      <c r="CF74" s="389">
        <f t="shared" ca="1" si="96"/>
        <v>0</v>
      </c>
      <c r="CG74" s="389">
        <f t="shared" ca="1" si="96"/>
        <v>0</v>
      </c>
      <c r="CH74" s="389">
        <f t="shared" ca="1" si="96"/>
        <v>0</v>
      </c>
      <c r="CI74" s="389">
        <f t="shared" ca="1" si="96"/>
        <v>0</v>
      </c>
      <c r="CJ74" s="389">
        <f t="shared" ca="1" si="96"/>
        <v>0</v>
      </c>
      <c r="CK74" s="389">
        <f t="shared" ca="1" si="96"/>
        <v>0</v>
      </c>
      <c r="CL74" s="389">
        <f t="shared" ca="1" si="96"/>
        <v>0</v>
      </c>
      <c r="CM74" s="389">
        <f t="shared" ca="1" si="96"/>
        <v>0</v>
      </c>
      <c r="CN74" s="389">
        <f t="shared" ca="1" si="96"/>
        <v>0</v>
      </c>
      <c r="CO74" s="389">
        <f t="shared" ca="1" si="96"/>
        <v>0</v>
      </c>
      <c r="CP74" s="389">
        <f t="shared" ca="1" si="96"/>
        <v>0</v>
      </c>
      <c r="CQ74" s="389">
        <f t="shared" ca="1" si="96"/>
        <v>0</v>
      </c>
      <c r="CR74" s="389">
        <f t="shared" ca="1" si="96"/>
        <v>0</v>
      </c>
      <c r="CS74" s="389">
        <f t="shared" ca="1" si="96"/>
        <v>0</v>
      </c>
      <c r="CT74" s="389">
        <f t="shared" ca="1" si="96"/>
        <v>0</v>
      </c>
      <c r="CU74" s="389">
        <f t="shared" ca="1" si="96"/>
        <v>0</v>
      </c>
      <c r="CV74" s="389">
        <f t="shared" ca="1" si="96"/>
        <v>0</v>
      </c>
      <c r="CW74" s="389">
        <f t="shared" ca="1" si="96"/>
        <v>0</v>
      </c>
      <c r="CX74" s="389">
        <f t="shared" ca="1" si="96"/>
        <v>0</v>
      </c>
      <c r="CY74" s="389">
        <f t="shared" ca="1" si="96"/>
        <v>0</v>
      </c>
      <c r="CZ74" s="389">
        <f t="shared" ca="1" si="96"/>
        <v>0</v>
      </c>
      <c r="DA74" s="389">
        <f t="shared" ca="1" si="96"/>
        <v>0</v>
      </c>
      <c r="DB74" s="389">
        <f t="shared" ca="1" si="96"/>
        <v>0</v>
      </c>
      <c r="DC74" s="389">
        <f t="shared" ca="1" si="96"/>
        <v>0</v>
      </c>
      <c r="DD74" s="389">
        <f t="shared" ca="1" si="96"/>
        <v>0</v>
      </c>
      <c r="DE74" s="389">
        <f t="shared" ca="1" si="96"/>
        <v>0</v>
      </c>
      <c r="DF74" s="389">
        <f t="shared" ca="1" si="96"/>
        <v>0</v>
      </c>
      <c r="DG74" s="389">
        <f t="shared" ca="1" si="96"/>
        <v>0</v>
      </c>
      <c r="DH74" s="389">
        <f t="shared" ca="1" si="96"/>
        <v>0</v>
      </c>
      <c r="DI74" s="389">
        <f t="shared" ca="1" si="96"/>
        <v>0</v>
      </c>
      <c r="DJ74" s="389">
        <f t="shared" ca="1" si="96"/>
        <v>0</v>
      </c>
      <c r="DK74" s="389">
        <f t="shared" ca="1" si="96"/>
        <v>0</v>
      </c>
      <c r="DL74" s="389">
        <f t="shared" ca="1" si="96"/>
        <v>0</v>
      </c>
      <c r="DM74" s="389">
        <f t="shared" ca="1" si="96"/>
        <v>0</v>
      </c>
      <c r="DN74" s="389">
        <f t="shared" ca="1" si="96"/>
        <v>0</v>
      </c>
      <c r="DO74" s="389">
        <f t="shared" ca="1" si="96"/>
        <v>0</v>
      </c>
      <c r="DP74" s="389">
        <f t="shared" ca="1" si="96"/>
        <v>0</v>
      </c>
      <c r="DQ74" s="389">
        <f t="shared" ca="1" si="96"/>
        <v>0</v>
      </c>
      <c r="DR74" s="389">
        <f t="shared" ca="1" si="96"/>
        <v>0</v>
      </c>
      <c r="DS74" s="389">
        <f t="shared" ca="1" si="96"/>
        <v>0</v>
      </c>
      <c r="DT74" s="389">
        <f t="shared" ca="1" si="96"/>
        <v>0</v>
      </c>
      <c r="DU74" s="389">
        <f t="shared" ca="1" si="96"/>
        <v>0</v>
      </c>
      <c r="DV74" s="389">
        <f t="shared" ca="1" si="96"/>
        <v>0</v>
      </c>
      <c r="DW74" s="389">
        <f t="shared" ca="1" si="96"/>
        <v>0</v>
      </c>
      <c r="DX74" s="389">
        <f t="shared" ca="1" si="96"/>
        <v>0</v>
      </c>
      <c r="DY74" s="389">
        <f t="shared" ca="1" si="96"/>
        <v>0</v>
      </c>
      <c r="DZ74" s="389"/>
      <c r="EA74" s="389"/>
    </row>
    <row r="75" spans="1:131" s="390" customFormat="1">
      <c r="A75" s="389"/>
      <c r="B75" s="389"/>
      <c r="C75" s="389"/>
      <c r="D75" s="389" t="s">
        <v>125</v>
      </c>
      <c r="E75" s="766"/>
      <c r="F75" s="766"/>
      <c r="G75" s="796"/>
      <c r="H75" s="841"/>
      <c r="I75" s="703"/>
      <c r="J75" s="389">
        <f>J73*(((1+$E72)^((J$14-I$14)/365))-1)</f>
        <v>0</v>
      </c>
      <c r="K75" s="389">
        <f ca="1">K73*(((1+$E72)^((K$14-J$14)/365))-1)</f>
        <v>-30690.626559197503</v>
      </c>
      <c r="L75" s="389">
        <f t="shared" ref="L75:BW75" ca="1" si="97">L73*(((1+$E72)^((L$14-K$14)/365))-1)</f>
        <v>-33200.492444154421</v>
      </c>
      <c r="M75" s="389">
        <f t="shared" ca="1" si="97"/>
        <v>-48046.400335257968</v>
      </c>
      <c r="N75" s="389">
        <f t="shared" ca="1" si="97"/>
        <v>-66203.238616189075</v>
      </c>
      <c r="O75" s="389">
        <f t="shared" ca="1" si="97"/>
        <v>-80190.593924772431</v>
      </c>
      <c r="P75" s="389">
        <f t="shared" ca="1" si="97"/>
        <v>-99633.207095851118</v>
      </c>
      <c r="Q75" s="389">
        <f t="shared" ca="1" si="97"/>
        <v>-116521.55593596672</v>
      </c>
      <c r="R75" s="389">
        <f t="shared" ca="1" si="97"/>
        <v>-124317.69832240867</v>
      </c>
      <c r="S75" s="389">
        <f t="shared" ca="1" si="97"/>
        <v>-133734.63947402558</v>
      </c>
      <c r="T75" s="389">
        <f t="shared" ca="1" si="97"/>
        <v>-130255.58898852016</v>
      </c>
      <c r="U75" s="389">
        <f t="shared" ca="1" si="97"/>
        <v>-135465.84150757713</v>
      </c>
      <c r="V75" s="389">
        <f t="shared" ca="1" si="97"/>
        <v>-131941.75452816839</v>
      </c>
      <c r="W75" s="389">
        <f t="shared" ca="1" si="97"/>
        <v>-137219.45404369375</v>
      </c>
      <c r="X75" s="389">
        <f t="shared" ca="1" si="97"/>
        <v>-138119.31537290572</v>
      </c>
      <c r="Y75" s="389">
        <f t="shared" ca="1" si="97"/>
        <v>-134526.19938518803</v>
      </c>
      <c r="Z75" s="389">
        <f t="shared" ca="1" si="97"/>
        <v>-139907.27726958966</v>
      </c>
      <c r="AA75" s="389">
        <f t="shared" ca="1" si="97"/>
        <v>-136267.64820396493</v>
      </c>
      <c r="AB75" s="389">
        <f t="shared" ca="1" si="97"/>
        <v>-141718.38442829117</v>
      </c>
      <c r="AC75" s="389">
        <f t="shared" ca="1" si="97"/>
        <v>-142647.74896099663</v>
      </c>
      <c r="AD75" s="389">
        <f t="shared" ca="1" si="97"/>
        <v>-129647.00539769079</v>
      </c>
      <c r="AE75" s="389">
        <f t="shared" ca="1" si="97"/>
        <v>-144433.41063194769</v>
      </c>
      <c r="AF75" s="389">
        <f t="shared" ca="1" si="97"/>
        <v>-140676.03610760183</v>
      </c>
      <c r="AG75" s="389">
        <f t="shared" ca="1" si="97"/>
        <v>-146303.10882818338</v>
      </c>
      <c r="AH75" s="389">
        <f t="shared" ca="1" si="97"/>
        <v>-142497.09489042193</v>
      </c>
      <c r="AI75" s="389">
        <f t="shared" ca="1" si="97"/>
        <v>-148197.01036718933</v>
      </c>
      <c r="AJ75" s="389">
        <f t="shared" ca="1" si="97"/>
        <v>-94852.866440754122</v>
      </c>
      <c r="AK75" s="389">
        <f t="shared" ca="1" si="97"/>
        <v>-92385.308952730382</v>
      </c>
      <c r="AL75" s="389">
        <f t="shared" ca="1" si="97"/>
        <v>-96029.19913926677</v>
      </c>
      <c r="AM75" s="389">
        <f t="shared" ca="1" si="97"/>
        <v>-92838.38693979432</v>
      </c>
      <c r="AN75" s="389">
        <f t="shared" ca="1" si="97"/>
        <v>-96509.143200807128</v>
      </c>
      <c r="AO75" s="389">
        <f t="shared" ca="1" si="97"/>
        <v>-97142.033387457588</v>
      </c>
      <c r="AP75" s="389">
        <f t="shared" ca="1" si="97"/>
        <v>-88288.625783852549</v>
      </c>
      <c r="AQ75" s="389">
        <f t="shared" ca="1" si="97"/>
        <v>-98358.055420203847</v>
      </c>
      <c r="AR75" s="389">
        <f t="shared" ca="1" si="97"/>
        <v>-95799.31191284582</v>
      </c>
      <c r="AS75" s="389">
        <f t="shared" ca="1" si="97"/>
        <v>-99245.22396823531</v>
      </c>
      <c r="AT75" s="389">
        <f t="shared" ca="1" si="97"/>
        <v>-95776.33707533995</v>
      </c>
      <c r="AU75" s="389">
        <f t="shared" ca="1" si="97"/>
        <v>-98559.670206395807</v>
      </c>
      <c r="AV75" s="389">
        <f t="shared" ca="1" si="97"/>
        <v>-98617.379570908903</v>
      </c>
      <c r="AW75" s="389">
        <f t="shared" ca="1" si="97"/>
        <v>-95498.64247668488</v>
      </c>
      <c r="AX75" s="389">
        <f t="shared" ca="1" si="97"/>
        <v>-98509.010660596367</v>
      </c>
      <c r="AY75" s="389">
        <f t="shared" ca="1" si="97"/>
        <v>-94583.349548281069</v>
      </c>
      <c r="AZ75" s="389">
        <f t="shared" ca="1" si="97"/>
        <v>-97862.132092204774</v>
      </c>
      <c r="BA75" s="389">
        <f t="shared" ca="1" si="97"/>
        <v>-98503.894944839107</v>
      </c>
      <c r="BB75" s="389">
        <f t="shared" ca="1" si="97"/>
        <v>-89526.368923627058</v>
      </c>
      <c r="BC75" s="389">
        <f t="shared" ca="1" si="97"/>
        <v>-99736.964733346467</v>
      </c>
      <c r="BD75" s="389">
        <f t="shared" ca="1" si="97"/>
        <v>-96537.336531098554</v>
      </c>
      <c r="BE75" s="389">
        <f t="shared" ca="1" si="97"/>
        <v>-99476.942443395281</v>
      </c>
      <c r="BF75" s="389">
        <f t="shared" ca="1" si="97"/>
        <v>-95921.331459551438</v>
      </c>
      <c r="BG75" s="389">
        <f t="shared" ca="1" si="97"/>
        <v>-98703.222241321462</v>
      </c>
      <c r="BH75" s="389">
        <f t="shared" ca="1" si="97"/>
        <v>-98761.937964372119</v>
      </c>
      <c r="BI75" s="389">
        <f t="shared" ca="1" si="97"/>
        <v>-95639.708907781402</v>
      </c>
      <c r="BJ75" s="389">
        <f t="shared" ca="1" si="97"/>
        <v>-98652.228322259456</v>
      </c>
      <c r="BK75" s="389">
        <f t="shared" ca="1" si="97"/>
        <v>-94710.543517859755</v>
      </c>
      <c r="BL75" s="389">
        <f t="shared" ca="1" si="97"/>
        <v>-97995.525805489175</v>
      </c>
      <c r="BM75" s="389">
        <f t="shared" ca="1" si="97"/>
        <v>-98638.163430909801</v>
      </c>
      <c r="BN75" s="389">
        <f t="shared" ca="1" si="97"/>
        <v>-92859.928072167633</v>
      </c>
      <c r="BO75" s="389">
        <f t="shared" ca="1" si="97"/>
        <v>-99893.974630294411</v>
      </c>
      <c r="BP75" s="389">
        <f t="shared" ca="1" si="97"/>
        <v>-96564.602216071376</v>
      </c>
      <c r="BQ75" s="389">
        <f t="shared" ca="1" si="97"/>
        <v>-99481.93771659612</v>
      </c>
      <c r="BR75" s="389">
        <f t="shared" ca="1" si="97"/>
        <v>-95902.514834680318</v>
      </c>
      <c r="BS75" s="389">
        <f t="shared" ca="1" si="97"/>
        <v>-98658.201947715221</v>
      </c>
      <c r="BT75" s="389">
        <f t="shared" ca="1" si="97"/>
        <v>-98698.503787209484</v>
      </c>
      <c r="BU75" s="389">
        <f t="shared" ca="1" si="97"/>
        <v>-95560.596064181504</v>
      </c>
      <c r="BV75" s="389">
        <f t="shared" ca="1" si="97"/>
        <v>-98548.261359942349</v>
      </c>
      <c r="BW75" s="389">
        <f t="shared" ca="1" si="97"/>
        <v>-94579.360496570705</v>
      </c>
      <c r="BX75" s="389">
        <f t="shared" ref="BX75:DY75" ca="1" si="98">BX73*(((1+$E72)^((BX$14-BW$14)/365))-1)</f>
        <v>-97842.010942711247</v>
      </c>
      <c r="BY75" s="389">
        <f t="shared" ca="1" si="98"/>
        <v>-98483.6418443445</v>
      </c>
      <c r="BZ75" s="389">
        <f t="shared" ca="1" si="98"/>
        <v>-89507.961666251678</v>
      </c>
      <c r="CA75" s="389">
        <f t="shared" ca="1" si="98"/>
        <v>-99716.458104944613</v>
      </c>
      <c r="CB75" s="389">
        <f t="shared" ca="1" si="98"/>
        <v>-96445.90223153292</v>
      </c>
      <c r="CC75" s="389">
        <f t="shared" ca="1" si="98"/>
        <v>-99336.064247115355</v>
      </c>
      <c r="CD75" s="389">
        <f t="shared" ca="1" si="98"/>
        <v>-95737.663067996153</v>
      </c>
      <c r="CE75" s="389">
        <f t="shared" ca="1" si="98"/>
        <v>-98462.235793243497</v>
      </c>
      <c r="CF75" s="389">
        <f t="shared" ca="1" si="98"/>
        <v>-98484.084753770498</v>
      </c>
      <c r="CG75" s="389">
        <f t="shared" ca="1" si="98"/>
        <v>-95335.343604949303</v>
      </c>
      <c r="CH75" s="389">
        <f t="shared" ca="1" si="98"/>
        <v>-98293.247864457211</v>
      </c>
      <c r="CI75" s="389">
        <f t="shared" ca="1" si="98"/>
        <v>-94301.962355919226</v>
      </c>
      <c r="CJ75" s="389">
        <f t="shared" ca="1" si="98"/>
        <v>-97537.368661898101</v>
      </c>
      <c r="CK75" s="389">
        <f t="shared" ca="1" si="98"/>
        <v>-98177.001772404314</v>
      </c>
      <c r="CL75" s="389">
        <f t="shared" ca="1" si="98"/>
        <v>-89229.268400136076</v>
      </c>
      <c r="CM75" s="389">
        <f t="shared" ca="1" si="98"/>
        <v>-99405.97951871148</v>
      </c>
      <c r="CN75" s="389">
        <f t="shared" ca="1" si="98"/>
        <v>-96104.143464576657</v>
      </c>
      <c r="CO75" s="389">
        <f t="shared" ca="1" si="98"/>
        <v>-98959.223103467841</v>
      </c>
      <c r="CP75" s="389">
        <f t="shared" ca="1" si="98"/>
        <v>-95348.837548949348</v>
      </c>
      <c r="CQ75" s="389">
        <f t="shared" ca="1" si="98"/>
        <v>-98016.99887756996</v>
      </c>
      <c r="CR75" s="389">
        <f t="shared" ca="1" si="98"/>
        <v>-98002.437048692751</v>
      </c>
      <c r="CS75" s="389">
        <f t="shared" ca="1" si="98"/>
        <v>-94834.016281373697</v>
      </c>
      <c r="CT75" s="389">
        <f t="shared" ca="1" si="98"/>
        <v>-97734.783513778035</v>
      </c>
      <c r="CU75" s="389">
        <f t="shared" ca="1" si="98"/>
        <v>-93713.204447698357</v>
      </c>
      <c r="CV75" s="389">
        <f t="shared" ca="1" si="98"/>
        <v>-96892.572571475452</v>
      </c>
      <c r="CW75" s="389">
        <f t="shared" ca="1" si="98"/>
        <v>-97527.977221294059</v>
      </c>
      <c r="CX75" s="389">
        <f t="shared" ca="1" si="98"/>
        <v>-88639.395162781075</v>
      </c>
      <c r="CY75" s="389">
        <f t="shared" ca="1" si="98"/>
        <v>-98748.830491239947</v>
      </c>
      <c r="CZ75" s="389">
        <f t="shared" ca="1" si="98"/>
        <v>-95218.631104533561</v>
      </c>
      <c r="DA75" s="389">
        <f t="shared" ca="1" si="98"/>
        <v>-97939.908249088563</v>
      </c>
      <c r="DB75" s="389">
        <f t="shared" ca="1" si="98"/>
        <v>-94258.474498646829</v>
      </c>
      <c r="DC75" s="389">
        <f t="shared" ca="1" si="98"/>
        <v>-96930.778575289616</v>
      </c>
      <c r="DD75" s="389">
        <f t="shared" ca="1" si="98"/>
        <v>-96971.505207954848</v>
      </c>
      <c r="DE75" s="389">
        <f t="shared" ca="1" si="98"/>
        <v>-93890.809952847456</v>
      </c>
      <c r="DF75" s="389">
        <f t="shared" ca="1" si="98"/>
        <v>-96809.202200930522</v>
      </c>
      <c r="DG75" s="389">
        <f t="shared" ca="1" si="98"/>
        <v>-92846.804361528077</v>
      </c>
      <c r="DH75" s="389">
        <f t="shared" ca="1" si="98"/>
        <v>-96056.572776171597</v>
      </c>
      <c r="DI75" s="389">
        <f t="shared" ca="1" si="98"/>
        <v>-96686.495084639522</v>
      </c>
      <c r="DJ75" s="389">
        <f t="shared" ca="1" si="98"/>
        <v>-91022.588690009259</v>
      </c>
      <c r="DK75" s="389">
        <f t="shared" ca="1" si="98"/>
        <v>-97917.458629916626</v>
      </c>
      <c r="DL75" s="389">
        <f t="shared" ca="1" si="98"/>
        <v>-94591.700532104063</v>
      </c>
      <c r="DM75" s="389">
        <f t="shared" ca="1" si="98"/>
        <v>-97337.407549910131</v>
      </c>
      <c r="DN75" s="389">
        <f t="shared" ca="1" si="98"/>
        <v>-93717.114666139823</v>
      </c>
      <c r="DO75" s="389">
        <f t="shared" ca="1" si="98"/>
        <v>-96289.90892088633</v>
      </c>
      <c r="DP75" s="389">
        <f t="shared" ca="1" si="98"/>
        <v>-96263.671352337129</v>
      </c>
      <c r="DQ75" s="389">
        <f t="shared" ca="1" si="98"/>
        <v>-93141.189211058474</v>
      </c>
      <c r="DR75" s="389">
        <f t="shared" ca="1" si="98"/>
        <v>-95959.564999622089</v>
      </c>
      <c r="DS75" s="389">
        <f t="shared" ca="1" si="98"/>
        <v>-91932.491483671751</v>
      </c>
      <c r="DT75" s="389">
        <f t="shared" ca="1" si="98"/>
        <v>-95045.649815407145</v>
      </c>
      <c r="DU75" s="389">
        <f t="shared" ca="1" si="98"/>
        <v>-95668.942666809045</v>
      </c>
      <c r="DV75" s="389">
        <f t="shared" ca="1" si="98"/>
        <v>-86949.790772418681</v>
      </c>
      <c r="DW75" s="389">
        <f t="shared" ca="1" si="98"/>
        <v>-96866.524579351128</v>
      </c>
      <c r="DX75" s="389">
        <f t="shared" ca="1" si="98"/>
        <v>-93480.342482260035</v>
      </c>
      <c r="DY75" s="389">
        <f t="shared" ca="1" si="98"/>
        <v>-96105.541837521727</v>
      </c>
      <c r="DZ75" s="766"/>
      <c r="EA75" s="389"/>
    </row>
    <row r="76" spans="1:131" s="390" customFormat="1">
      <c r="A76" s="389"/>
      <c r="B76" s="389"/>
      <c r="C76" s="389"/>
      <c r="D76" s="389" t="s">
        <v>115</v>
      </c>
      <c r="E76" s="389"/>
      <c r="F76" s="389"/>
      <c r="G76" s="807"/>
      <c r="H76" s="829"/>
      <c r="I76" s="713">
        <f t="shared" ref="I76:BT76" si="99">SUM(I73:I75)</f>
        <v>0</v>
      </c>
      <c r="J76" s="457">
        <f t="shared" ca="1" si="99"/>
        <v>-4680000</v>
      </c>
      <c r="K76" s="457">
        <f t="shared" ca="1" si="99"/>
        <v>-5062728.3329958031</v>
      </c>
      <c r="L76" s="457">
        <f t="shared" ca="1" si="99"/>
        <v>-7571592.4249860253</v>
      </c>
      <c r="M76" s="457">
        <f t="shared" ca="1" si="99"/>
        <v>-10095302.424867351</v>
      </c>
      <c r="N76" s="457">
        <f t="shared" ca="1" si="99"/>
        <v>-12637169.263029607</v>
      </c>
      <c r="O76" s="457">
        <f t="shared" ca="1" si="99"/>
        <v>-15193023.456500446</v>
      </c>
      <c r="P76" s="457">
        <f t="shared" ca="1" si="99"/>
        <v>-17768320.263142366</v>
      </c>
      <c r="Q76" s="457">
        <f t="shared" ca="1" si="99"/>
        <v>-20268818.021185208</v>
      </c>
      <c r="R76" s="457">
        <f t="shared" ca="1" si="99"/>
        <v>-20393135.719507616</v>
      </c>
      <c r="S76" s="457">
        <f t="shared" ca="1" si="99"/>
        <v>-20526870.358981643</v>
      </c>
      <c r="T76" s="457">
        <f t="shared" ca="1" si="99"/>
        <v>-20657125.947970163</v>
      </c>
      <c r="U76" s="457">
        <f t="shared" ca="1" si="99"/>
        <v>-20792591.789477739</v>
      </c>
      <c r="V76" s="457">
        <f t="shared" ca="1" si="99"/>
        <v>-20924533.544005908</v>
      </c>
      <c r="W76" s="457">
        <f t="shared" ca="1" si="99"/>
        <v>-21061752.998049602</v>
      </c>
      <c r="X76" s="457">
        <f t="shared" ca="1" si="99"/>
        <v>-21199872.313422509</v>
      </c>
      <c r="Y76" s="457">
        <f t="shared" ca="1" si="99"/>
        <v>-21334398.512807697</v>
      </c>
      <c r="Z76" s="457">
        <f ca="1">SUM(Z73:Z75)</f>
        <v>-21474305.790077288</v>
      </c>
      <c r="AA76" s="457">
        <f t="shared" ca="1" si="99"/>
        <v>-21610573.438281253</v>
      </c>
      <c r="AB76" s="457">
        <f t="shared" ca="1" si="99"/>
        <v>-21752291.822709545</v>
      </c>
      <c r="AC76" s="457">
        <f t="shared" ca="1" si="99"/>
        <v>-21894939.571670543</v>
      </c>
      <c r="AD76" s="457">
        <f t="shared" ca="1" si="99"/>
        <v>-22024586.577068236</v>
      </c>
      <c r="AE76" s="457">
        <f t="shared" ca="1" si="99"/>
        <v>-22169019.987700183</v>
      </c>
      <c r="AF76" s="457">
        <f t="shared" ca="1" si="99"/>
        <v>-22309696.023807786</v>
      </c>
      <c r="AG76" s="457">
        <f t="shared" ca="1" si="99"/>
        <v>-22455999.13263597</v>
      </c>
      <c r="AH76" s="457">
        <f t="shared" ca="1" si="99"/>
        <v>-22598496.227526393</v>
      </c>
      <c r="AI76" s="457">
        <f t="shared" ca="1" si="99"/>
        <v>-22746693.237893581</v>
      </c>
      <c r="AJ76" s="457">
        <f t="shared" ca="1" si="99"/>
        <v>-14558924.301622842</v>
      </c>
      <c r="AK76" s="457">
        <f t="shared" ca="1" si="99"/>
        <v>-14651309.610575572</v>
      </c>
      <c r="AL76" s="457">
        <f t="shared" ca="1" si="99"/>
        <v>-14739479.084559912</v>
      </c>
      <c r="AM76" s="457">
        <f t="shared" ca="1" si="99"/>
        <v>-14723162.873193404</v>
      </c>
      <c r="AN76" s="457">
        <f t="shared" ca="1" si="99"/>
        <v>-14813145.485198885</v>
      </c>
      <c r="AO76" s="457">
        <f t="shared" ca="1" si="99"/>
        <v>-14910287.518586343</v>
      </c>
      <c r="AP76" s="457">
        <f t="shared" ca="1" si="99"/>
        <v>-14998576.144370196</v>
      </c>
      <c r="AQ76" s="457">
        <f t="shared" ca="1" si="99"/>
        <v>-15096934.1997904</v>
      </c>
      <c r="AR76" s="457">
        <f t="shared" ca="1" si="99"/>
        <v>-15192733.511703245</v>
      </c>
      <c r="AS76" s="457">
        <f t="shared" ca="1" si="99"/>
        <v>-15233105.305822691</v>
      </c>
      <c r="AT76" s="457">
        <f t="shared" ca="1" si="99"/>
        <v>-15189089.951256601</v>
      </c>
      <c r="AU76" s="457">
        <f t="shared" ca="1" si="99"/>
        <v>-15127879.963691905</v>
      </c>
      <c r="AV76" s="457">
        <f t="shared" ca="1" si="99"/>
        <v>-15136737.748395393</v>
      </c>
      <c r="AW76" s="457">
        <f t="shared" ca="1" si="99"/>
        <v>-15145050.594910868</v>
      </c>
      <c r="AX76" s="457">
        <f t="shared" ca="1" si="99"/>
        <v>-15120104.252528666</v>
      </c>
      <c r="AY76" s="457">
        <f t="shared" ca="1" si="99"/>
        <v>-14999895.047666054</v>
      </c>
      <c r="AZ76" s="457">
        <f t="shared" ca="1" si="99"/>
        <v>-15020815.148646519</v>
      </c>
      <c r="BA76" s="457">
        <f t="shared" ca="1" si="99"/>
        <v>-15119319.043591358</v>
      </c>
      <c r="BB76" s="457">
        <f t="shared" ca="1" si="99"/>
        <v>-15208845.412514985</v>
      </c>
      <c r="BC76" s="457">
        <f t="shared" ca="1" si="99"/>
        <v>-15308582.377248332</v>
      </c>
      <c r="BD76" s="457">
        <f t="shared" ca="1" si="99"/>
        <v>-15309776.224498417</v>
      </c>
      <c r="BE76" s="457">
        <f t="shared" ca="1" si="99"/>
        <v>-15268671.671560816</v>
      </c>
      <c r="BF76" s="457">
        <f t="shared" ca="1" si="99"/>
        <v>-15212084.490528686</v>
      </c>
      <c r="BG76" s="457">
        <f t="shared" ca="1" si="99"/>
        <v>-15149913.701714275</v>
      </c>
      <c r="BH76" s="457">
        <f t="shared" ca="1" si="99"/>
        <v>-15158925.951942302</v>
      </c>
      <c r="BI76" s="457">
        <f t="shared" ca="1" si="99"/>
        <v>-15167422.203352546</v>
      </c>
      <c r="BJ76" s="457">
        <f t="shared" ca="1" si="99"/>
        <v>-15142086.667747617</v>
      </c>
      <c r="BK76" s="457">
        <f t="shared" ca="1" si="99"/>
        <v>-15020066.633928208</v>
      </c>
      <c r="BL76" s="457">
        <f t="shared" ca="1" si="99"/>
        <v>-15041289.690396221</v>
      </c>
      <c r="BM76" s="457">
        <f t="shared" ca="1" si="99"/>
        <v>-15139927.853827132</v>
      </c>
      <c r="BN76" s="457">
        <f t="shared" ca="1" si="99"/>
        <v>-15232787.781899299</v>
      </c>
      <c r="BO76" s="457">
        <f t="shared" ca="1" si="99"/>
        <v>-15332681.756529594</v>
      </c>
      <c r="BP76" s="457">
        <f t="shared" ca="1" si="99"/>
        <v>-15314100.266890109</v>
      </c>
      <c r="BQ76" s="457">
        <f t="shared" ca="1" si="99"/>
        <v>-15269438.393823685</v>
      </c>
      <c r="BR76" s="457">
        <f t="shared" ca="1" si="99"/>
        <v>-15209100.377578933</v>
      </c>
      <c r="BS76" s="457">
        <f t="shared" ca="1" si="99"/>
        <v>-15143003.55686315</v>
      </c>
      <c r="BT76" s="457">
        <f t="shared" ca="1" si="99"/>
        <v>-15149189.468290294</v>
      </c>
      <c r="BU76" s="457">
        <f t="shared" ref="BU76:DY76" ca="1" si="100">SUM(BU73:BU75)</f>
        <v>-15154875.763026757</v>
      </c>
      <c r="BV76" s="457">
        <f t="shared" ca="1" si="100"/>
        <v>-15126128.824921751</v>
      </c>
      <c r="BW76" s="457">
        <f t="shared" ca="1" si="100"/>
        <v>-14999262.427260024</v>
      </c>
      <c r="BX76" s="457">
        <f t="shared" ca="1" si="100"/>
        <v>-15017726.762355939</v>
      </c>
      <c r="BY76" s="457">
        <f t="shared" ca="1" si="100"/>
        <v>-15116210.404200284</v>
      </c>
      <c r="BZ76" s="457">
        <f t="shared" ca="1" si="100"/>
        <v>-15205718.365866536</v>
      </c>
      <c r="CA76" s="457">
        <f t="shared" ca="1" si="100"/>
        <v>-15305434.82397148</v>
      </c>
      <c r="CB76" s="457">
        <f t="shared" ca="1" si="100"/>
        <v>-15295275.734678682</v>
      </c>
      <c r="CC76" s="457">
        <f t="shared" ca="1" si="100"/>
        <v>-15247048.33984348</v>
      </c>
      <c r="CD76" s="457">
        <f t="shared" ca="1" si="100"/>
        <v>-15182956.672471276</v>
      </c>
      <c r="CE76" s="457">
        <f t="shared" ca="1" si="100"/>
        <v>-15112924.798933195</v>
      </c>
      <c r="CF76" s="457">
        <f t="shared" ca="1" si="100"/>
        <v>-15116278.386171175</v>
      </c>
      <c r="CG76" s="457">
        <f t="shared" ca="1" si="100"/>
        <v>-15119153.162126616</v>
      </c>
      <c r="CH76" s="457">
        <f t="shared" ca="1" si="100"/>
        <v>-15086986.916870089</v>
      </c>
      <c r="CI76" s="457">
        <f t="shared" ca="1" si="100"/>
        <v>-14955270.085943479</v>
      </c>
      <c r="CJ76" s="457">
        <f t="shared" ca="1" si="100"/>
        <v>-14970967.354107559</v>
      </c>
      <c r="CK76" s="457">
        <f t="shared" ca="1" si="100"/>
        <v>-15069144.355879962</v>
      </c>
      <c r="CL76" s="457">
        <f t="shared" ca="1" si="100"/>
        <v>-15158373.624280099</v>
      </c>
      <c r="CM76" s="457">
        <f t="shared" ca="1" si="100"/>
        <v>-15257779.60379881</v>
      </c>
      <c r="CN76" s="457">
        <f t="shared" ca="1" si="100"/>
        <v>-15241076.494955765</v>
      </c>
      <c r="CO76" s="457">
        <f t="shared" ca="1" si="100"/>
        <v>-15189207.16023582</v>
      </c>
      <c r="CP76" s="457">
        <f t="shared" ca="1" si="100"/>
        <v>-15121293.15552658</v>
      </c>
      <c r="CQ76" s="457">
        <f t="shared" ca="1" si="100"/>
        <v>-15044585.582683701</v>
      </c>
      <c r="CR76" s="457">
        <f t="shared" ca="1" si="100"/>
        <v>-15042350.494043032</v>
      </c>
      <c r="CS76" s="457">
        <f t="shared" ca="1" si="100"/>
        <v>-15039648.077203369</v>
      </c>
      <c r="CT76" s="457">
        <f t="shared" ca="1" si="100"/>
        <v>-15001268.47195866</v>
      </c>
      <c r="CU76" s="457">
        <f t="shared" ca="1" si="100"/>
        <v>-14861899.457032856</v>
      </c>
      <c r="CV76" s="457">
        <f t="shared" ca="1" si="100"/>
        <v>-14871997.888843067</v>
      </c>
      <c r="CW76" s="457">
        <f t="shared" ca="1" si="100"/>
        <v>-14969525.86606436</v>
      </c>
      <c r="CX76" s="457">
        <f t="shared" ca="1" si="100"/>
        <v>-15058165.261227142</v>
      </c>
      <c r="CY76" s="457">
        <f t="shared" ca="1" si="100"/>
        <v>-15156914.091718381</v>
      </c>
      <c r="CZ76" s="457">
        <f t="shared" ca="1" si="100"/>
        <v>-15100643.823375687</v>
      </c>
      <c r="DA76" s="457">
        <f t="shared" ca="1" si="100"/>
        <v>-15032752.976389971</v>
      </c>
      <c r="DB76" s="457">
        <f t="shared" ca="1" si="100"/>
        <v>-14948373.382685991</v>
      </c>
      <c r="DC76" s="457">
        <f t="shared" ca="1" si="100"/>
        <v>-14877862.11138341</v>
      </c>
      <c r="DD76" s="457">
        <f t="shared" ca="1" si="100"/>
        <v>-14884113.224125514</v>
      </c>
      <c r="DE76" s="457">
        <f t="shared" ca="1" si="100"/>
        <v>-14890065.766957885</v>
      </c>
      <c r="DF76" s="457">
        <f t="shared" ca="1" si="100"/>
        <v>-14859201.407731766</v>
      </c>
      <c r="DG76" s="457">
        <f t="shared" ca="1" si="100"/>
        <v>-14724497.785132781</v>
      </c>
      <c r="DH76" s="457">
        <f t="shared" ca="1" si="100"/>
        <v>-14743680.651919045</v>
      </c>
      <c r="DI76" s="457">
        <f t="shared" ca="1" si="100"/>
        <v>-14840367.147003684</v>
      </c>
      <c r="DJ76" s="457">
        <f t="shared" ca="1" si="100"/>
        <v>-14931389.735693693</v>
      </c>
      <c r="DK76" s="457">
        <f t="shared" ca="1" si="100"/>
        <v>-15029307.194323611</v>
      </c>
      <c r="DL76" s="457">
        <f t="shared" ca="1" si="100"/>
        <v>-15001219.423272206</v>
      </c>
      <c r="DM76" s="457">
        <f t="shared" ca="1" si="100"/>
        <v>-14940275.411924457</v>
      </c>
      <c r="DN76" s="457">
        <f t="shared" ca="1" si="100"/>
        <v>-14862519.575336084</v>
      </c>
      <c r="DO76" s="457">
        <f t="shared" ca="1" si="100"/>
        <v>-14779495.313037969</v>
      </c>
      <c r="DP76" s="457">
        <f t="shared" ca="1" si="100"/>
        <v>-14775468.120305687</v>
      </c>
      <c r="DQ76" s="457">
        <f t="shared" ca="1" si="100"/>
        <v>-14771184.034537861</v>
      </c>
      <c r="DR76" s="457">
        <f t="shared" ca="1" si="100"/>
        <v>-14728790.971422827</v>
      </c>
      <c r="DS76" s="457">
        <f t="shared" ca="1" si="100"/>
        <v>-14579497.663292374</v>
      </c>
      <c r="DT76" s="457">
        <f t="shared" ca="1" si="100"/>
        <v>-14588514.53609338</v>
      </c>
      <c r="DU76" s="457">
        <f t="shared" ca="1" si="100"/>
        <v>-14684183.478760188</v>
      </c>
      <c r="DV76" s="457">
        <f t="shared" ca="1" si="100"/>
        <v>-14771133.269532608</v>
      </c>
      <c r="DW76" s="457">
        <f t="shared" ca="1" si="100"/>
        <v>-14867999.79411196</v>
      </c>
      <c r="DX76" s="457">
        <f t="shared" ca="1" si="100"/>
        <v>-14824970.07084755</v>
      </c>
      <c r="DY76" s="457">
        <f t="shared" ca="1" si="100"/>
        <v>-14751196.891375689</v>
      </c>
      <c r="DZ76" s="389"/>
      <c r="EA76" s="389"/>
    </row>
    <row r="77" spans="1:131" s="390" customFormat="1">
      <c r="A77" s="389"/>
      <c r="B77" s="389"/>
      <c r="C77" s="389"/>
      <c r="D77" s="389" t="s">
        <v>126</v>
      </c>
      <c r="E77" s="389"/>
      <c r="F77" s="389"/>
      <c r="G77" s="796">
        <f t="shared" ref="G77" ca="1" si="101">SUM(I77:DY77)</f>
        <v>31781817.649785563</v>
      </c>
      <c r="H77" s="829"/>
      <c r="I77" s="703">
        <f t="shared" ref="I77:AN77" si="102">IF(I18&gt;0,MIN(I18*($J$9),-I76),0)</f>
        <v>0</v>
      </c>
      <c r="J77" s="389">
        <f t="shared" ca="1" si="102"/>
        <v>0</v>
      </c>
      <c r="K77" s="389">
        <f t="shared" ca="1" si="102"/>
        <v>0</v>
      </c>
      <c r="L77" s="389">
        <f t="shared" ca="1" si="102"/>
        <v>0</v>
      </c>
      <c r="M77" s="389">
        <f t="shared" ca="1" si="102"/>
        <v>0</v>
      </c>
      <c r="N77" s="389">
        <f t="shared" ca="1" si="102"/>
        <v>0</v>
      </c>
      <c r="O77" s="389">
        <f t="shared" ca="1" si="102"/>
        <v>0</v>
      </c>
      <c r="P77" s="389">
        <f t="shared" ca="1" si="102"/>
        <v>0</v>
      </c>
      <c r="Q77" s="389">
        <f t="shared" ca="1" si="102"/>
        <v>0</v>
      </c>
      <c r="R77" s="389">
        <f t="shared" ca="1" si="102"/>
        <v>0</v>
      </c>
      <c r="S77" s="389">
        <f t="shared" ca="1" si="102"/>
        <v>0</v>
      </c>
      <c r="T77" s="389">
        <f t="shared" ca="1" si="102"/>
        <v>0</v>
      </c>
      <c r="U77" s="389">
        <f t="shared" ca="1" si="102"/>
        <v>0</v>
      </c>
      <c r="V77" s="389">
        <f t="shared" ca="1" si="102"/>
        <v>0</v>
      </c>
      <c r="W77" s="389">
        <f t="shared" ca="1" si="102"/>
        <v>0</v>
      </c>
      <c r="X77" s="389">
        <f t="shared" ca="1" si="102"/>
        <v>0</v>
      </c>
      <c r="Y77" s="389">
        <f t="shared" ca="1" si="102"/>
        <v>0</v>
      </c>
      <c r="Z77" s="389">
        <f t="shared" ca="1" si="102"/>
        <v>0</v>
      </c>
      <c r="AA77" s="389">
        <f t="shared" ca="1" si="102"/>
        <v>0</v>
      </c>
      <c r="AB77" s="389">
        <f t="shared" ca="1" si="102"/>
        <v>0</v>
      </c>
      <c r="AC77" s="389">
        <f t="shared" ca="1" si="102"/>
        <v>0</v>
      </c>
      <c r="AD77" s="389">
        <f t="shared" ca="1" si="102"/>
        <v>0</v>
      </c>
      <c r="AE77" s="389">
        <f t="shared" ca="1" si="102"/>
        <v>0</v>
      </c>
      <c r="AF77" s="389">
        <f t="shared" ca="1" si="102"/>
        <v>0</v>
      </c>
      <c r="AG77" s="389">
        <f t="shared" ca="1" si="102"/>
        <v>0</v>
      </c>
      <c r="AH77" s="389">
        <f t="shared" ca="1" si="102"/>
        <v>0</v>
      </c>
      <c r="AI77" s="389">
        <f t="shared" ca="1" si="102"/>
        <v>8282621.8027114943</v>
      </c>
      <c r="AJ77" s="389">
        <f t="shared" ca="1" si="102"/>
        <v>0</v>
      </c>
      <c r="AK77" s="389">
        <f t="shared" ca="1" si="102"/>
        <v>7859.725154927618</v>
      </c>
      <c r="AL77" s="389">
        <f t="shared" ca="1" si="102"/>
        <v>109154.5983063013</v>
      </c>
      <c r="AM77" s="389">
        <f t="shared" ca="1" si="102"/>
        <v>6526.5311953254632</v>
      </c>
      <c r="AN77" s="389">
        <f t="shared" ca="1" si="102"/>
        <v>0</v>
      </c>
      <c r="AO77" s="389">
        <f t="shared" ref="AO77:BT77" ca="1" si="103">IF(AO18&gt;0,MIN(AO18*($J$9),-AO76),0)</f>
        <v>0</v>
      </c>
      <c r="AP77" s="389">
        <f t="shared" ca="1" si="103"/>
        <v>0</v>
      </c>
      <c r="AQ77" s="389">
        <f t="shared" ca="1" si="103"/>
        <v>0</v>
      </c>
      <c r="AR77" s="389">
        <f t="shared" ca="1" si="103"/>
        <v>58873.429848790242</v>
      </c>
      <c r="AS77" s="389">
        <f t="shared" ca="1" si="103"/>
        <v>139791.69164142892</v>
      </c>
      <c r="AT77" s="389">
        <f t="shared" ca="1" si="103"/>
        <v>159769.65777109182</v>
      </c>
      <c r="AU77" s="389">
        <f t="shared" ca="1" si="103"/>
        <v>89759.594867420892</v>
      </c>
      <c r="AV77" s="389">
        <f t="shared" ca="1" si="103"/>
        <v>87185.795961210359</v>
      </c>
      <c r="AW77" s="389">
        <f t="shared" ca="1" si="103"/>
        <v>123455.35304279767</v>
      </c>
      <c r="AX77" s="389">
        <f t="shared" ca="1" si="103"/>
        <v>214792.55441089167</v>
      </c>
      <c r="AY77" s="389">
        <f t="shared" ca="1" si="103"/>
        <v>76942.031111739183</v>
      </c>
      <c r="AZ77" s="389">
        <f t="shared" ca="1" si="103"/>
        <v>0</v>
      </c>
      <c r="BA77" s="389">
        <f t="shared" ca="1" si="103"/>
        <v>0</v>
      </c>
      <c r="BB77" s="389">
        <f t="shared" ca="1" si="103"/>
        <v>0</v>
      </c>
      <c r="BC77" s="389">
        <f t="shared" ca="1" si="103"/>
        <v>95343.489281013433</v>
      </c>
      <c r="BD77" s="389">
        <f t="shared" ca="1" si="103"/>
        <v>140581.49538099623</v>
      </c>
      <c r="BE77" s="389">
        <f t="shared" ca="1" si="103"/>
        <v>152508.51249168252</v>
      </c>
      <c r="BF77" s="389">
        <f t="shared" ca="1" si="103"/>
        <v>160874.01105573258</v>
      </c>
      <c r="BG77" s="389">
        <f t="shared" ca="1" si="103"/>
        <v>89749.687736345368</v>
      </c>
      <c r="BH77" s="389">
        <f t="shared" ca="1" si="103"/>
        <v>87143.457497537223</v>
      </c>
      <c r="BI77" s="389">
        <f t="shared" ca="1" si="103"/>
        <v>123987.76392719038</v>
      </c>
      <c r="BJ77" s="389">
        <f t="shared" ca="1" si="103"/>
        <v>216730.57733726793</v>
      </c>
      <c r="BK77" s="389">
        <f t="shared" ca="1" si="103"/>
        <v>76772.469337475603</v>
      </c>
      <c r="BL77" s="389">
        <f t="shared" ca="1" si="103"/>
        <v>0</v>
      </c>
      <c r="BM77" s="389">
        <f t="shared" ca="1" si="103"/>
        <v>0</v>
      </c>
      <c r="BN77" s="389">
        <f t="shared" ca="1" si="103"/>
        <v>0</v>
      </c>
      <c r="BO77" s="389">
        <f t="shared" ca="1" si="103"/>
        <v>115146.09185555542</v>
      </c>
      <c r="BP77" s="389">
        <f t="shared" ca="1" si="103"/>
        <v>144143.81078301909</v>
      </c>
      <c r="BQ77" s="389">
        <f t="shared" ca="1" si="103"/>
        <v>156240.53107943202</v>
      </c>
      <c r="BR77" s="389">
        <f t="shared" ca="1" si="103"/>
        <v>164755.02266349838</v>
      </c>
      <c r="BS77" s="389">
        <f t="shared" ca="1" si="103"/>
        <v>92512.592360065391</v>
      </c>
      <c r="BT77" s="389">
        <f t="shared" ca="1" si="103"/>
        <v>89874.30132771896</v>
      </c>
      <c r="BU77" s="389">
        <f t="shared" ref="BU77:CZ77" ca="1" si="104">IF(BU18&gt;0,MIN(BU18*($J$9),-BU76),0)</f>
        <v>127295.19946494866</v>
      </c>
      <c r="BV77" s="389">
        <f t="shared" ca="1" si="104"/>
        <v>221445.75815829771</v>
      </c>
      <c r="BW77" s="389">
        <f t="shared" ca="1" si="104"/>
        <v>79377.675846796192</v>
      </c>
      <c r="BX77" s="389">
        <f t="shared" ca="1" si="104"/>
        <v>0</v>
      </c>
      <c r="BY77" s="389">
        <f t="shared" ca="1" si="104"/>
        <v>0</v>
      </c>
      <c r="BZ77" s="389">
        <f t="shared" ca="1" si="104"/>
        <v>0</v>
      </c>
      <c r="CA77" s="389">
        <f t="shared" ca="1" si="104"/>
        <v>106604.99152433057</v>
      </c>
      <c r="CB77" s="389">
        <f t="shared" ca="1" si="104"/>
        <v>147563.4590823171</v>
      </c>
      <c r="CC77" s="389">
        <f t="shared" ca="1" si="104"/>
        <v>159829.33044020113</v>
      </c>
      <c r="CD77" s="389">
        <f t="shared" ca="1" si="104"/>
        <v>168494.10933132426</v>
      </c>
      <c r="CE77" s="389">
        <f t="shared" ca="1" si="104"/>
        <v>95130.49751579015</v>
      </c>
      <c r="CF77" s="389">
        <f t="shared" ca="1" si="104"/>
        <v>92460.567649508375</v>
      </c>
      <c r="CG77" s="389">
        <f t="shared" ca="1" si="104"/>
        <v>130459.49312098254</v>
      </c>
      <c r="CH77" s="389">
        <f t="shared" ca="1" si="104"/>
        <v>226018.79328252989</v>
      </c>
      <c r="CI77" s="389">
        <f t="shared" ca="1" si="104"/>
        <v>81840.100497816791</v>
      </c>
      <c r="CJ77" s="389">
        <f t="shared" ca="1" si="104"/>
        <v>0</v>
      </c>
      <c r="CK77" s="389">
        <f t="shared" ca="1" si="104"/>
        <v>0</v>
      </c>
      <c r="CL77" s="389">
        <f t="shared" ca="1" si="104"/>
        <v>0</v>
      </c>
      <c r="CM77" s="389">
        <f t="shared" ca="1" si="104"/>
        <v>112807.25230762165</v>
      </c>
      <c r="CN77" s="389">
        <f t="shared" ca="1" si="104"/>
        <v>150828.55782341232</v>
      </c>
      <c r="CO77" s="389">
        <f t="shared" ca="1" si="104"/>
        <v>163262.84225818858</v>
      </c>
      <c r="CP77" s="389">
        <f t="shared" ca="1" si="104"/>
        <v>174724.57172044981</v>
      </c>
      <c r="CQ77" s="389">
        <f t="shared" ca="1" si="104"/>
        <v>100237.52568936143</v>
      </c>
      <c r="CR77" s="389">
        <f t="shared" ca="1" si="104"/>
        <v>97536.433121037247</v>
      </c>
      <c r="CS77" s="389">
        <f t="shared" ca="1" si="104"/>
        <v>136114.38875848716</v>
      </c>
      <c r="CT77" s="389">
        <f t="shared" ca="1" si="104"/>
        <v>233082.21937350102</v>
      </c>
      <c r="CU77" s="389">
        <f t="shared" ca="1" si="104"/>
        <v>86794.140761263741</v>
      </c>
      <c r="CV77" s="389">
        <f t="shared" ca="1" si="104"/>
        <v>0</v>
      </c>
      <c r="CW77" s="389">
        <f t="shared" ca="1" si="104"/>
        <v>0</v>
      </c>
      <c r="CX77" s="389">
        <f t="shared" ca="1" si="104"/>
        <v>0</v>
      </c>
      <c r="CY77" s="389">
        <f t="shared" ca="1" si="104"/>
        <v>151488.89944722891</v>
      </c>
      <c r="CZ77" s="389">
        <f t="shared" ca="1" si="104"/>
        <v>165830.75523480636</v>
      </c>
      <c r="DA77" s="389">
        <f t="shared" ref="DA77:DY77" ca="1" si="105">IF(DA18&gt;0,MIN(DA18*($J$9),-DA76),0)</f>
        <v>178638.06820262584</v>
      </c>
      <c r="DB77" s="389">
        <f t="shared" ca="1" si="105"/>
        <v>167442.04987787068</v>
      </c>
      <c r="DC77" s="389">
        <f t="shared" ca="1" si="105"/>
        <v>90720.392465850004</v>
      </c>
      <c r="DD77" s="389">
        <f t="shared" ca="1" si="105"/>
        <v>87938.267120476201</v>
      </c>
      <c r="DE77" s="389">
        <f t="shared" ca="1" si="105"/>
        <v>127673.56142704944</v>
      </c>
      <c r="DF77" s="389">
        <f t="shared" ca="1" si="105"/>
        <v>227550.42696051361</v>
      </c>
      <c r="DG77" s="389">
        <f t="shared" ca="1" si="105"/>
        <v>76873.705989909198</v>
      </c>
      <c r="DH77" s="389">
        <f t="shared" ca="1" si="105"/>
        <v>0</v>
      </c>
      <c r="DI77" s="389">
        <f t="shared" ca="1" si="105"/>
        <v>0</v>
      </c>
      <c r="DJ77" s="389">
        <f t="shared" ca="1" si="105"/>
        <v>0</v>
      </c>
      <c r="DK77" s="389">
        <f t="shared" ca="1" si="105"/>
        <v>122679.47158351005</v>
      </c>
      <c r="DL77" s="389">
        <f t="shared" ca="1" si="105"/>
        <v>158281.41889765786</v>
      </c>
      <c r="DM77" s="389">
        <f t="shared" ca="1" si="105"/>
        <v>171472.95125451233</v>
      </c>
      <c r="DN77" s="389">
        <f t="shared" ca="1" si="105"/>
        <v>179314.17121900115</v>
      </c>
      <c r="DO77" s="389">
        <f t="shared" ca="1" si="105"/>
        <v>100290.86408461993</v>
      </c>
      <c r="DP77" s="389">
        <f t="shared" ca="1" si="105"/>
        <v>97425.274978884583</v>
      </c>
      <c r="DQ77" s="389">
        <f t="shared" ca="1" si="105"/>
        <v>138352.62811465538</v>
      </c>
      <c r="DR77" s="389">
        <f t="shared" ca="1" si="105"/>
        <v>241225.79961412365</v>
      </c>
      <c r="DS77" s="389">
        <f t="shared" ca="1" si="105"/>
        <v>86028.77701440097</v>
      </c>
      <c r="DT77" s="389">
        <f t="shared" ca="1" si="105"/>
        <v>0</v>
      </c>
      <c r="DU77" s="389">
        <f t="shared" ca="1" si="105"/>
        <v>0</v>
      </c>
      <c r="DV77" s="389">
        <f t="shared" ca="1" si="105"/>
        <v>0</v>
      </c>
      <c r="DW77" s="389">
        <f t="shared" ca="1" si="105"/>
        <v>136510.06574666966</v>
      </c>
      <c r="DX77" s="389">
        <f t="shared" ca="1" si="105"/>
        <v>169878.72130938232</v>
      </c>
      <c r="DY77" s="389">
        <f t="shared" ca="1" si="105"/>
        <v>14751196.891375689</v>
      </c>
      <c r="DZ77" s="458">
        <f ca="1">+L77/-L76</f>
        <v>0</v>
      </c>
      <c r="EA77" s="389"/>
    </row>
    <row r="78" spans="1:131" s="390" customFormat="1">
      <c r="A78" s="389"/>
      <c r="B78" s="389"/>
      <c r="C78" s="389"/>
      <c r="D78" s="389" t="s">
        <v>127</v>
      </c>
      <c r="E78" s="389"/>
      <c r="F78" s="389"/>
      <c r="G78" s="796"/>
      <c r="H78" s="829"/>
      <c r="I78" s="703">
        <f t="shared" ref="I78:BT78" si="106">SUM(I76:I77)</f>
        <v>0</v>
      </c>
      <c r="J78" s="389">
        <f ca="1">SUM(J76:J77)</f>
        <v>-4680000</v>
      </c>
      <c r="K78" s="389">
        <f t="shared" ca="1" si="106"/>
        <v>-5062728.3329958031</v>
      </c>
      <c r="L78" s="389">
        <f t="shared" ca="1" si="106"/>
        <v>-7571592.4249860253</v>
      </c>
      <c r="M78" s="389">
        <f t="shared" ca="1" si="106"/>
        <v>-10095302.424867351</v>
      </c>
      <c r="N78" s="389">
        <f t="shared" ca="1" si="106"/>
        <v>-12637169.263029607</v>
      </c>
      <c r="O78" s="389">
        <f t="shared" ca="1" si="106"/>
        <v>-15193023.456500446</v>
      </c>
      <c r="P78" s="389">
        <f t="shared" ca="1" si="106"/>
        <v>-17768320.263142366</v>
      </c>
      <c r="Q78" s="389">
        <f t="shared" ca="1" si="106"/>
        <v>-20268818.021185208</v>
      </c>
      <c r="R78" s="389">
        <f t="shared" ca="1" si="106"/>
        <v>-20393135.719507616</v>
      </c>
      <c r="S78" s="389">
        <f t="shared" ca="1" si="106"/>
        <v>-20526870.358981643</v>
      </c>
      <c r="T78" s="389">
        <f t="shared" ca="1" si="106"/>
        <v>-20657125.947970163</v>
      </c>
      <c r="U78" s="389">
        <f t="shared" ca="1" si="106"/>
        <v>-20792591.789477739</v>
      </c>
      <c r="V78" s="389">
        <f t="shared" ca="1" si="106"/>
        <v>-20924533.544005908</v>
      </c>
      <c r="W78" s="389">
        <f t="shared" ca="1" si="106"/>
        <v>-21061752.998049602</v>
      </c>
      <c r="X78" s="389">
        <f t="shared" ca="1" si="106"/>
        <v>-21199872.313422509</v>
      </c>
      <c r="Y78" s="389">
        <f t="shared" ca="1" si="106"/>
        <v>-21334398.512807697</v>
      </c>
      <c r="Z78" s="389">
        <f t="shared" ca="1" si="106"/>
        <v>-21474305.790077288</v>
      </c>
      <c r="AA78" s="389">
        <f t="shared" ca="1" si="106"/>
        <v>-21610573.438281253</v>
      </c>
      <c r="AB78" s="389">
        <f t="shared" ca="1" si="106"/>
        <v>-21752291.822709545</v>
      </c>
      <c r="AC78" s="389">
        <f t="shared" ca="1" si="106"/>
        <v>-21894939.571670543</v>
      </c>
      <c r="AD78" s="389">
        <f t="shared" ca="1" si="106"/>
        <v>-22024586.577068236</v>
      </c>
      <c r="AE78" s="389">
        <f t="shared" ca="1" si="106"/>
        <v>-22169019.987700183</v>
      </c>
      <c r="AF78" s="389">
        <f t="shared" ca="1" si="106"/>
        <v>-22309696.023807786</v>
      </c>
      <c r="AG78" s="389">
        <f t="shared" ca="1" si="106"/>
        <v>-22455999.13263597</v>
      </c>
      <c r="AH78" s="389">
        <f ca="1">SUM(AH76:AH77)</f>
        <v>-22598496.227526393</v>
      </c>
      <c r="AI78" s="389">
        <f t="shared" ca="1" si="106"/>
        <v>-14464071.435182087</v>
      </c>
      <c r="AJ78" s="389">
        <f t="shared" ca="1" si="106"/>
        <v>-14558924.301622842</v>
      </c>
      <c r="AK78" s="389">
        <f t="shared" ca="1" si="106"/>
        <v>-14643449.885420645</v>
      </c>
      <c r="AL78" s="389">
        <f t="shared" ca="1" si="106"/>
        <v>-14630324.48625361</v>
      </c>
      <c r="AM78" s="389">
        <f t="shared" ca="1" si="106"/>
        <v>-14716636.341998078</v>
      </c>
      <c r="AN78" s="389">
        <f t="shared" ca="1" si="106"/>
        <v>-14813145.485198885</v>
      </c>
      <c r="AO78" s="389">
        <f t="shared" ca="1" si="106"/>
        <v>-14910287.518586343</v>
      </c>
      <c r="AP78" s="389">
        <f t="shared" ca="1" si="106"/>
        <v>-14998576.144370196</v>
      </c>
      <c r="AQ78" s="389">
        <f t="shared" ca="1" si="106"/>
        <v>-15096934.1997904</v>
      </c>
      <c r="AR78" s="389">
        <f t="shared" ca="1" si="106"/>
        <v>-15133860.081854455</v>
      </c>
      <c r="AS78" s="389">
        <f t="shared" ca="1" si="106"/>
        <v>-15093313.614181262</v>
      </c>
      <c r="AT78" s="389">
        <f t="shared" ca="1" si="106"/>
        <v>-15029320.293485509</v>
      </c>
      <c r="AU78" s="389">
        <f t="shared" ca="1" si="106"/>
        <v>-15038120.368824484</v>
      </c>
      <c r="AV78" s="389">
        <f t="shared" ca="1" si="106"/>
        <v>-15049551.952434182</v>
      </c>
      <c r="AW78" s="389">
        <f t="shared" ca="1" si="106"/>
        <v>-15021595.241868069</v>
      </c>
      <c r="AX78" s="389">
        <f t="shared" ca="1" si="106"/>
        <v>-14905311.698117774</v>
      </c>
      <c r="AY78" s="389">
        <f t="shared" ca="1" si="106"/>
        <v>-14922953.016554315</v>
      </c>
      <c r="AZ78" s="389">
        <f t="shared" ca="1" si="106"/>
        <v>-15020815.148646519</v>
      </c>
      <c r="BA78" s="389">
        <f t="shared" ca="1" si="106"/>
        <v>-15119319.043591358</v>
      </c>
      <c r="BB78" s="389">
        <f t="shared" ca="1" si="106"/>
        <v>-15208845.412514985</v>
      </c>
      <c r="BC78" s="389">
        <f t="shared" ca="1" si="106"/>
        <v>-15213238.887967318</v>
      </c>
      <c r="BD78" s="389">
        <f t="shared" ca="1" si="106"/>
        <v>-15169194.729117421</v>
      </c>
      <c r="BE78" s="389">
        <f t="shared" ca="1" si="106"/>
        <v>-15116163.159069134</v>
      </c>
      <c r="BF78" s="389">
        <f t="shared" ca="1" si="106"/>
        <v>-15051210.479472954</v>
      </c>
      <c r="BG78" s="389">
        <f t="shared" ca="1" si="106"/>
        <v>-15060164.01397793</v>
      </c>
      <c r="BH78" s="389">
        <f t="shared" ca="1" si="106"/>
        <v>-15071782.494444765</v>
      </c>
      <c r="BI78" s="389">
        <f t="shared" ca="1" si="106"/>
        <v>-15043434.439425357</v>
      </c>
      <c r="BJ78" s="389">
        <f t="shared" ca="1" si="106"/>
        <v>-14925356.090410348</v>
      </c>
      <c r="BK78" s="389">
        <f t="shared" ca="1" si="106"/>
        <v>-14943294.164590731</v>
      </c>
      <c r="BL78" s="389">
        <f t="shared" ca="1" si="106"/>
        <v>-15041289.690396221</v>
      </c>
      <c r="BM78" s="389">
        <f t="shared" ca="1" si="106"/>
        <v>-15139927.853827132</v>
      </c>
      <c r="BN78" s="389">
        <f t="shared" ca="1" si="106"/>
        <v>-15232787.781899299</v>
      </c>
      <c r="BO78" s="389">
        <f t="shared" ca="1" si="106"/>
        <v>-15217535.664674038</v>
      </c>
      <c r="BP78" s="389">
        <f t="shared" ca="1" si="106"/>
        <v>-15169956.456107089</v>
      </c>
      <c r="BQ78" s="389">
        <f t="shared" ca="1" si="106"/>
        <v>-15113197.862744253</v>
      </c>
      <c r="BR78" s="389">
        <f t="shared" ca="1" si="106"/>
        <v>-15044345.354915434</v>
      </c>
      <c r="BS78" s="389">
        <f t="shared" ca="1" si="106"/>
        <v>-15050490.964503083</v>
      </c>
      <c r="BT78" s="389">
        <f t="shared" ca="1" si="106"/>
        <v>-15059315.166962575</v>
      </c>
      <c r="BU78" s="389">
        <f t="shared" ref="BU78:DY78" ca="1" si="107">SUM(BU76:BU77)</f>
        <v>-15027580.563561808</v>
      </c>
      <c r="BV78" s="389">
        <f t="shared" ca="1" si="107"/>
        <v>-14904683.066763453</v>
      </c>
      <c r="BW78" s="389">
        <f t="shared" ca="1" si="107"/>
        <v>-14919884.751413228</v>
      </c>
      <c r="BX78" s="389">
        <f t="shared" ca="1" si="107"/>
        <v>-15017726.762355939</v>
      </c>
      <c r="BY78" s="389">
        <f t="shared" ca="1" si="107"/>
        <v>-15116210.404200284</v>
      </c>
      <c r="BZ78" s="389">
        <f t="shared" ca="1" si="107"/>
        <v>-15205718.365866536</v>
      </c>
      <c r="CA78" s="389">
        <f t="shared" ca="1" si="107"/>
        <v>-15198829.832447149</v>
      </c>
      <c r="CB78" s="389">
        <f t="shared" ca="1" si="107"/>
        <v>-15147712.275596365</v>
      </c>
      <c r="CC78" s="389">
        <f t="shared" ca="1" si="107"/>
        <v>-15087219.009403279</v>
      </c>
      <c r="CD78" s="389">
        <f t="shared" ca="1" si="107"/>
        <v>-15014462.563139951</v>
      </c>
      <c r="CE78" s="389">
        <f t="shared" ca="1" si="107"/>
        <v>-15017794.301417405</v>
      </c>
      <c r="CF78" s="389">
        <f t="shared" ca="1" si="107"/>
        <v>-15023817.818521667</v>
      </c>
      <c r="CG78" s="389">
        <f t="shared" ca="1" si="107"/>
        <v>-14988693.669005632</v>
      </c>
      <c r="CH78" s="389">
        <f t="shared" ca="1" si="107"/>
        <v>-14860968.12358756</v>
      </c>
      <c r="CI78" s="389">
        <f t="shared" ca="1" si="107"/>
        <v>-14873429.985445661</v>
      </c>
      <c r="CJ78" s="389">
        <f t="shared" ca="1" si="107"/>
        <v>-14970967.354107559</v>
      </c>
      <c r="CK78" s="389">
        <f t="shared" ca="1" si="107"/>
        <v>-15069144.355879962</v>
      </c>
      <c r="CL78" s="389">
        <f t="shared" ca="1" si="107"/>
        <v>-15158373.624280099</v>
      </c>
      <c r="CM78" s="389">
        <f t="shared" ca="1" si="107"/>
        <v>-15144972.351491189</v>
      </c>
      <c r="CN78" s="389">
        <f t="shared" ca="1" si="107"/>
        <v>-15090247.937132353</v>
      </c>
      <c r="CO78" s="389">
        <f t="shared" ca="1" si="107"/>
        <v>-15025944.317977631</v>
      </c>
      <c r="CP78" s="389">
        <f t="shared" ca="1" si="107"/>
        <v>-14946568.583806131</v>
      </c>
      <c r="CQ78" s="389">
        <f t="shared" ca="1" si="107"/>
        <v>-14944348.056994339</v>
      </c>
      <c r="CR78" s="389">
        <f t="shared" ca="1" si="107"/>
        <v>-14944814.060921995</v>
      </c>
      <c r="CS78" s="389">
        <f t="shared" ca="1" si="107"/>
        <v>-14903533.688444881</v>
      </c>
      <c r="CT78" s="389">
        <f t="shared" ca="1" si="107"/>
        <v>-14768186.252585158</v>
      </c>
      <c r="CU78" s="389">
        <f t="shared" ca="1" si="107"/>
        <v>-14775105.316271592</v>
      </c>
      <c r="CV78" s="389">
        <f t="shared" ca="1" si="107"/>
        <v>-14871997.888843067</v>
      </c>
      <c r="CW78" s="389">
        <f t="shared" ca="1" si="107"/>
        <v>-14969525.86606436</v>
      </c>
      <c r="CX78" s="389">
        <f t="shared" ca="1" si="107"/>
        <v>-15058165.261227142</v>
      </c>
      <c r="CY78" s="389">
        <f t="shared" ca="1" si="107"/>
        <v>-15005425.192271153</v>
      </c>
      <c r="CZ78" s="389">
        <f t="shared" ca="1" si="107"/>
        <v>-14934813.068140881</v>
      </c>
      <c r="DA78" s="389">
        <f t="shared" ca="1" si="107"/>
        <v>-14854114.908187345</v>
      </c>
      <c r="DB78" s="389">
        <f t="shared" ca="1" si="107"/>
        <v>-14780931.33280812</v>
      </c>
      <c r="DC78" s="389">
        <f t="shared" ca="1" si="107"/>
        <v>-14787141.71891756</v>
      </c>
      <c r="DD78" s="389">
        <f t="shared" ca="1" si="107"/>
        <v>-14796174.957005037</v>
      </c>
      <c r="DE78" s="389">
        <f t="shared" ca="1" si="107"/>
        <v>-14762392.205530835</v>
      </c>
      <c r="DF78" s="389">
        <f t="shared" ca="1" si="107"/>
        <v>-14631650.980771253</v>
      </c>
      <c r="DG78" s="389">
        <f t="shared" ca="1" si="107"/>
        <v>-14647624.079142872</v>
      </c>
      <c r="DH78" s="389">
        <f t="shared" ca="1" si="107"/>
        <v>-14743680.651919045</v>
      </c>
      <c r="DI78" s="389">
        <f t="shared" ca="1" si="107"/>
        <v>-14840367.147003684</v>
      </c>
      <c r="DJ78" s="389">
        <f t="shared" ca="1" si="107"/>
        <v>-14931389.735693693</v>
      </c>
      <c r="DK78" s="389">
        <f t="shared" ca="1" si="107"/>
        <v>-14906627.722740101</v>
      </c>
      <c r="DL78" s="389">
        <f t="shared" ca="1" si="107"/>
        <v>-14842938.004374547</v>
      </c>
      <c r="DM78" s="389">
        <f t="shared" ca="1" si="107"/>
        <v>-14768802.460669944</v>
      </c>
      <c r="DN78" s="389">
        <f t="shared" ca="1" si="107"/>
        <v>-14683205.404117083</v>
      </c>
      <c r="DO78" s="389">
        <f t="shared" ca="1" si="107"/>
        <v>-14679204.448953349</v>
      </c>
      <c r="DP78" s="389">
        <f t="shared" ca="1" si="107"/>
        <v>-14678042.845326802</v>
      </c>
      <c r="DQ78" s="389">
        <f t="shared" ca="1" si="107"/>
        <v>-14632831.406423206</v>
      </c>
      <c r="DR78" s="389">
        <f t="shared" ca="1" si="107"/>
        <v>-14487565.171808703</v>
      </c>
      <c r="DS78" s="389">
        <f t="shared" ca="1" si="107"/>
        <v>-14493468.886277974</v>
      </c>
      <c r="DT78" s="389">
        <f t="shared" ca="1" si="107"/>
        <v>-14588514.53609338</v>
      </c>
      <c r="DU78" s="389">
        <f t="shared" ca="1" si="107"/>
        <v>-14684183.478760188</v>
      </c>
      <c r="DV78" s="389">
        <f t="shared" ca="1" si="107"/>
        <v>-14771133.269532608</v>
      </c>
      <c r="DW78" s="389">
        <f t="shared" ca="1" si="107"/>
        <v>-14731489.728365291</v>
      </c>
      <c r="DX78" s="389">
        <f t="shared" ca="1" si="107"/>
        <v>-14655091.349538168</v>
      </c>
      <c r="DY78" s="389">
        <f t="shared" ca="1" si="107"/>
        <v>0</v>
      </c>
      <c r="DZ78" s="389"/>
      <c r="EA78" s="389"/>
    </row>
    <row r="79" spans="1:131" s="390" customFormat="1">
      <c r="A79" s="389"/>
      <c r="B79" s="459"/>
      <c r="C79" s="389"/>
      <c r="D79" s="459" t="s">
        <v>128</v>
      </c>
      <c r="E79" s="460">
        <f ca="1">XIRR(J79:DY79,$J$14:$DY$14)</f>
        <v>7.9999998211860726E-2</v>
      </c>
      <c r="F79" s="460"/>
      <c r="G79" s="796">
        <f t="shared" ref="G79" ca="1" si="108">SUM(I79:DY79)</f>
        <v>11987485.743511742</v>
      </c>
      <c r="H79" s="842"/>
      <c r="I79" s="892">
        <f t="shared" ref="I79:BT79" si="109">I74+I77</f>
        <v>0</v>
      </c>
      <c r="J79" s="459">
        <f ca="1">J74+J77</f>
        <v>-4680000</v>
      </c>
      <c r="K79" s="459">
        <f ca="1">K74+K77</f>
        <v>-352037.7064366049</v>
      </c>
      <c r="L79" s="459">
        <f ca="1">L74+L77</f>
        <v>-2475663.5995460674</v>
      </c>
      <c r="M79" s="459">
        <f t="shared" ca="1" si="109"/>
        <v>-2475663.5995460674</v>
      </c>
      <c r="N79" s="459">
        <f t="shared" ca="1" si="109"/>
        <v>-2475663.5995460674</v>
      </c>
      <c r="O79" s="459">
        <f t="shared" ca="1" si="109"/>
        <v>-2475663.5995460674</v>
      </c>
      <c r="P79" s="459">
        <f t="shared" ca="1" si="109"/>
        <v>-2475663.5995460674</v>
      </c>
      <c r="Q79" s="459">
        <f t="shared" ca="1" si="109"/>
        <v>-2383976.2021068749</v>
      </c>
      <c r="R79" s="459">
        <f t="shared" ca="1" si="109"/>
        <v>0</v>
      </c>
      <c r="S79" s="459">
        <f t="shared" ca="1" si="109"/>
        <v>0</v>
      </c>
      <c r="T79" s="459">
        <f t="shared" ca="1" si="109"/>
        <v>0</v>
      </c>
      <c r="U79" s="459">
        <f t="shared" ca="1" si="109"/>
        <v>0</v>
      </c>
      <c r="V79" s="459">
        <f t="shared" ca="1" si="109"/>
        <v>0</v>
      </c>
      <c r="W79" s="459">
        <f t="shared" ca="1" si="109"/>
        <v>0</v>
      </c>
      <c r="X79" s="459">
        <f t="shared" ca="1" si="109"/>
        <v>0</v>
      </c>
      <c r="Y79" s="459">
        <f t="shared" ca="1" si="109"/>
        <v>0</v>
      </c>
      <c r="Z79" s="459">
        <f t="shared" ca="1" si="109"/>
        <v>0</v>
      </c>
      <c r="AA79" s="459">
        <f t="shared" ca="1" si="109"/>
        <v>0</v>
      </c>
      <c r="AB79" s="459">
        <f t="shared" ca="1" si="109"/>
        <v>0</v>
      </c>
      <c r="AC79" s="459">
        <f t="shared" ca="1" si="109"/>
        <v>0</v>
      </c>
      <c r="AD79" s="459">
        <f t="shared" ca="1" si="109"/>
        <v>0</v>
      </c>
      <c r="AE79" s="459">
        <f t="shared" ca="1" si="109"/>
        <v>0</v>
      </c>
      <c r="AF79" s="459">
        <f t="shared" ca="1" si="109"/>
        <v>0</v>
      </c>
      <c r="AG79" s="459">
        <f t="shared" ca="1" si="109"/>
        <v>0</v>
      </c>
      <c r="AH79" s="459">
        <f t="shared" ca="1" si="109"/>
        <v>0</v>
      </c>
      <c r="AI79" s="459">
        <f t="shared" ca="1" si="109"/>
        <v>8282621.8027114943</v>
      </c>
      <c r="AJ79" s="459">
        <f t="shared" ca="1" si="109"/>
        <v>0</v>
      </c>
      <c r="AK79" s="459">
        <f t="shared" ca="1" si="109"/>
        <v>7859.725154927618</v>
      </c>
      <c r="AL79" s="459">
        <f t="shared" ca="1" si="109"/>
        <v>109154.5983063013</v>
      </c>
      <c r="AM79" s="459">
        <f t="shared" ca="1" si="109"/>
        <v>6526.5311953254632</v>
      </c>
      <c r="AN79" s="459">
        <f t="shared" ca="1" si="109"/>
        <v>0</v>
      </c>
      <c r="AO79" s="459">
        <f t="shared" ca="1" si="109"/>
        <v>0</v>
      </c>
      <c r="AP79" s="459">
        <f t="shared" ca="1" si="109"/>
        <v>0</v>
      </c>
      <c r="AQ79" s="459">
        <f t="shared" ca="1" si="109"/>
        <v>0</v>
      </c>
      <c r="AR79" s="459">
        <f t="shared" ca="1" si="109"/>
        <v>58873.429848790242</v>
      </c>
      <c r="AS79" s="459">
        <f t="shared" ca="1" si="109"/>
        <v>139791.69164142892</v>
      </c>
      <c r="AT79" s="459">
        <f t="shared" ca="1" si="109"/>
        <v>159769.65777109182</v>
      </c>
      <c r="AU79" s="459">
        <f t="shared" ca="1" si="109"/>
        <v>89759.594867420892</v>
      </c>
      <c r="AV79" s="459">
        <f t="shared" ca="1" si="109"/>
        <v>87185.795961210359</v>
      </c>
      <c r="AW79" s="459">
        <f t="shared" ca="1" si="109"/>
        <v>123455.35304279767</v>
      </c>
      <c r="AX79" s="459">
        <f t="shared" ca="1" si="109"/>
        <v>214792.55441089167</v>
      </c>
      <c r="AY79" s="459">
        <f t="shared" ca="1" si="109"/>
        <v>76942.031111739183</v>
      </c>
      <c r="AZ79" s="459">
        <f t="shared" ca="1" si="109"/>
        <v>0</v>
      </c>
      <c r="BA79" s="459">
        <f t="shared" ca="1" si="109"/>
        <v>0</v>
      </c>
      <c r="BB79" s="459">
        <f t="shared" ca="1" si="109"/>
        <v>0</v>
      </c>
      <c r="BC79" s="459">
        <f t="shared" ca="1" si="109"/>
        <v>95343.489281013433</v>
      </c>
      <c r="BD79" s="459">
        <f t="shared" ca="1" si="109"/>
        <v>140581.49538099623</v>
      </c>
      <c r="BE79" s="459">
        <f t="shared" ca="1" si="109"/>
        <v>152508.51249168252</v>
      </c>
      <c r="BF79" s="459">
        <f t="shared" ca="1" si="109"/>
        <v>160874.01105573258</v>
      </c>
      <c r="BG79" s="459">
        <f t="shared" ca="1" si="109"/>
        <v>89749.687736345368</v>
      </c>
      <c r="BH79" s="459">
        <f t="shared" ca="1" si="109"/>
        <v>87143.457497537223</v>
      </c>
      <c r="BI79" s="459">
        <f t="shared" ca="1" si="109"/>
        <v>123987.76392719038</v>
      </c>
      <c r="BJ79" s="459">
        <f t="shared" ca="1" si="109"/>
        <v>216730.57733726793</v>
      </c>
      <c r="BK79" s="459">
        <f t="shared" ca="1" si="109"/>
        <v>76772.469337475603</v>
      </c>
      <c r="BL79" s="459">
        <f t="shared" ca="1" si="109"/>
        <v>0</v>
      </c>
      <c r="BM79" s="459">
        <f t="shared" ca="1" si="109"/>
        <v>0</v>
      </c>
      <c r="BN79" s="459">
        <f t="shared" ca="1" si="109"/>
        <v>0</v>
      </c>
      <c r="BO79" s="459">
        <f t="shared" ca="1" si="109"/>
        <v>115146.09185555542</v>
      </c>
      <c r="BP79" s="459">
        <f t="shared" ca="1" si="109"/>
        <v>144143.81078301909</v>
      </c>
      <c r="BQ79" s="459">
        <f t="shared" ca="1" si="109"/>
        <v>156240.53107943202</v>
      </c>
      <c r="BR79" s="459">
        <f t="shared" ca="1" si="109"/>
        <v>164755.02266349838</v>
      </c>
      <c r="BS79" s="459">
        <f t="shared" ca="1" si="109"/>
        <v>92512.592360065391</v>
      </c>
      <c r="BT79" s="459">
        <f t="shared" ca="1" si="109"/>
        <v>89874.30132771896</v>
      </c>
      <c r="BU79" s="459">
        <f t="shared" ref="BU79:DY79" ca="1" si="110">BU74+BU77</f>
        <v>127295.19946494866</v>
      </c>
      <c r="BV79" s="459">
        <f t="shared" ca="1" si="110"/>
        <v>221445.75815829771</v>
      </c>
      <c r="BW79" s="459">
        <f t="shared" ca="1" si="110"/>
        <v>79377.675846796192</v>
      </c>
      <c r="BX79" s="459">
        <f t="shared" ca="1" si="110"/>
        <v>0</v>
      </c>
      <c r="BY79" s="459">
        <f t="shared" ca="1" si="110"/>
        <v>0</v>
      </c>
      <c r="BZ79" s="459">
        <f t="shared" ca="1" si="110"/>
        <v>0</v>
      </c>
      <c r="CA79" s="459">
        <f t="shared" ca="1" si="110"/>
        <v>106604.99152433057</v>
      </c>
      <c r="CB79" s="459">
        <f t="shared" ca="1" si="110"/>
        <v>147563.4590823171</v>
      </c>
      <c r="CC79" s="459">
        <f t="shared" ca="1" si="110"/>
        <v>159829.33044020113</v>
      </c>
      <c r="CD79" s="459">
        <f t="shared" ca="1" si="110"/>
        <v>168494.10933132426</v>
      </c>
      <c r="CE79" s="459">
        <f t="shared" ca="1" si="110"/>
        <v>95130.49751579015</v>
      </c>
      <c r="CF79" s="459">
        <f t="shared" ca="1" si="110"/>
        <v>92460.567649508375</v>
      </c>
      <c r="CG79" s="459">
        <f t="shared" ca="1" si="110"/>
        <v>130459.49312098254</v>
      </c>
      <c r="CH79" s="459">
        <f t="shared" ca="1" si="110"/>
        <v>226018.79328252989</v>
      </c>
      <c r="CI79" s="459">
        <f t="shared" ca="1" si="110"/>
        <v>81840.100497816791</v>
      </c>
      <c r="CJ79" s="459">
        <f t="shared" ca="1" si="110"/>
        <v>0</v>
      </c>
      <c r="CK79" s="459">
        <f t="shared" ca="1" si="110"/>
        <v>0</v>
      </c>
      <c r="CL79" s="459">
        <f t="shared" ca="1" si="110"/>
        <v>0</v>
      </c>
      <c r="CM79" s="459">
        <f t="shared" ca="1" si="110"/>
        <v>112807.25230762165</v>
      </c>
      <c r="CN79" s="459">
        <f t="shared" ca="1" si="110"/>
        <v>150828.55782341232</v>
      </c>
      <c r="CO79" s="459">
        <f t="shared" ca="1" si="110"/>
        <v>163262.84225818858</v>
      </c>
      <c r="CP79" s="459">
        <f t="shared" ca="1" si="110"/>
        <v>174724.57172044981</v>
      </c>
      <c r="CQ79" s="459">
        <f t="shared" ca="1" si="110"/>
        <v>100237.52568936143</v>
      </c>
      <c r="CR79" s="459">
        <f t="shared" ca="1" si="110"/>
        <v>97536.433121037247</v>
      </c>
      <c r="CS79" s="459">
        <f t="shared" ca="1" si="110"/>
        <v>136114.38875848716</v>
      </c>
      <c r="CT79" s="459">
        <f t="shared" ca="1" si="110"/>
        <v>233082.21937350102</v>
      </c>
      <c r="CU79" s="459">
        <f t="shared" ca="1" si="110"/>
        <v>86794.140761263741</v>
      </c>
      <c r="CV79" s="459">
        <f t="shared" ca="1" si="110"/>
        <v>0</v>
      </c>
      <c r="CW79" s="459">
        <f t="shared" ca="1" si="110"/>
        <v>0</v>
      </c>
      <c r="CX79" s="459">
        <f t="shared" ca="1" si="110"/>
        <v>0</v>
      </c>
      <c r="CY79" s="459">
        <f t="shared" ca="1" si="110"/>
        <v>151488.89944722891</v>
      </c>
      <c r="CZ79" s="459">
        <f t="shared" ca="1" si="110"/>
        <v>165830.75523480636</v>
      </c>
      <c r="DA79" s="459">
        <f t="shared" ca="1" si="110"/>
        <v>178638.06820262584</v>
      </c>
      <c r="DB79" s="459">
        <f t="shared" ca="1" si="110"/>
        <v>167442.04987787068</v>
      </c>
      <c r="DC79" s="459">
        <f t="shared" ca="1" si="110"/>
        <v>90720.392465850004</v>
      </c>
      <c r="DD79" s="459">
        <f t="shared" ca="1" si="110"/>
        <v>87938.267120476201</v>
      </c>
      <c r="DE79" s="459">
        <f t="shared" ca="1" si="110"/>
        <v>127673.56142704944</v>
      </c>
      <c r="DF79" s="459">
        <f t="shared" ca="1" si="110"/>
        <v>227550.42696051361</v>
      </c>
      <c r="DG79" s="459">
        <f t="shared" ca="1" si="110"/>
        <v>76873.705989909198</v>
      </c>
      <c r="DH79" s="459">
        <f t="shared" ca="1" si="110"/>
        <v>0</v>
      </c>
      <c r="DI79" s="459">
        <f t="shared" ca="1" si="110"/>
        <v>0</v>
      </c>
      <c r="DJ79" s="459">
        <f t="shared" ca="1" si="110"/>
        <v>0</v>
      </c>
      <c r="DK79" s="459">
        <f t="shared" ca="1" si="110"/>
        <v>122679.47158351005</v>
      </c>
      <c r="DL79" s="459">
        <f t="shared" ca="1" si="110"/>
        <v>158281.41889765786</v>
      </c>
      <c r="DM79" s="459">
        <f t="shared" ca="1" si="110"/>
        <v>171472.95125451233</v>
      </c>
      <c r="DN79" s="459">
        <f t="shared" ca="1" si="110"/>
        <v>179314.17121900115</v>
      </c>
      <c r="DO79" s="459">
        <f t="shared" ca="1" si="110"/>
        <v>100290.86408461993</v>
      </c>
      <c r="DP79" s="459">
        <f t="shared" ca="1" si="110"/>
        <v>97425.274978884583</v>
      </c>
      <c r="DQ79" s="459">
        <f t="shared" ca="1" si="110"/>
        <v>138352.62811465538</v>
      </c>
      <c r="DR79" s="459">
        <f t="shared" ca="1" si="110"/>
        <v>241225.79961412365</v>
      </c>
      <c r="DS79" s="459">
        <f t="shared" ca="1" si="110"/>
        <v>86028.77701440097</v>
      </c>
      <c r="DT79" s="459">
        <f t="shared" ca="1" si="110"/>
        <v>0</v>
      </c>
      <c r="DU79" s="459">
        <f t="shared" ca="1" si="110"/>
        <v>0</v>
      </c>
      <c r="DV79" s="459">
        <f t="shared" ca="1" si="110"/>
        <v>0</v>
      </c>
      <c r="DW79" s="459">
        <f t="shared" ca="1" si="110"/>
        <v>136510.06574666966</v>
      </c>
      <c r="DX79" s="459">
        <f t="shared" ca="1" si="110"/>
        <v>169878.72130938232</v>
      </c>
      <c r="DY79" s="459">
        <f t="shared" ca="1" si="110"/>
        <v>14751196.891375689</v>
      </c>
      <c r="DZ79" s="459"/>
      <c r="EA79" s="389"/>
    </row>
    <row r="80" spans="1:131" s="390" customFormat="1">
      <c r="A80" s="389"/>
      <c r="B80" s="389"/>
      <c r="C80" s="389"/>
      <c r="D80" s="389"/>
      <c r="E80" s="461"/>
      <c r="F80" s="461"/>
      <c r="G80" s="796"/>
      <c r="H80" s="843"/>
      <c r="I80" s="703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  <c r="BT80" s="389"/>
      <c r="BU80" s="389"/>
      <c r="BV80" s="389"/>
      <c r="BW80" s="389"/>
      <c r="BX80" s="389"/>
      <c r="BY80" s="389"/>
      <c r="BZ80" s="389"/>
      <c r="CA80" s="389"/>
      <c r="CB80" s="389"/>
      <c r="CC80" s="389"/>
      <c r="CD80" s="389"/>
      <c r="CE80" s="389"/>
      <c r="CF80" s="389"/>
      <c r="CG80" s="389"/>
      <c r="CH80" s="389"/>
      <c r="CI80" s="389"/>
      <c r="CJ80" s="389"/>
      <c r="CK80" s="389"/>
      <c r="CL80" s="389"/>
      <c r="CM80" s="389"/>
      <c r="CN80" s="389"/>
      <c r="CO80" s="389"/>
      <c r="CP80" s="389"/>
      <c r="CQ80" s="389"/>
      <c r="CR80" s="389"/>
      <c r="CS80" s="389"/>
      <c r="CT80" s="389"/>
      <c r="CU80" s="389"/>
      <c r="CV80" s="389"/>
      <c r="CW80" s="389"/>
      <c r="CX80" s="389"/>
      <c r="CY80" s="389"/>
      <c r="CZ80" s="389"/>
      <c r="DA80" s="389"/>
      <c r="DB80" s="389"/>
      <c r="DC80" s="389"/>
      <c r="DD80" s="389"/>
      <c r="DE80" s="389"/>
      <c r="DF80" s="389"/>
      <c r="DG80" s="389"/>
      <c r="DH80" s="389"/>
      <c r="DI80" s="389"/>
      <c r="DJ80" s="389"/>
      <c r="DK80" s="389"/>
      <c r="DL80" s="389"/>
      <c r="DM80" s="389"/>
      <c r="DN80" s="389"/>
      <c r="DO80" s="389"/>
      <c r="DP80" s="389"/>
      <c r="DQ80" s="389"/>
      <c r="DR80" s="389"/>
      <c r="DS80" s="389"/>
      <c r="DT80" s="389"/>
      <c r="DU80" s="389"/>
      <c r="DV80" s="389"/>
      <c r="DW80" s="389"/>
      <c r="DX80" s="389"/>
      <c r="DY80" s="389"/>
      <c r="DZ80" s="389"/>
      <c r="EA80" s="389"/>
    </row>
    <row r="81" spans="1:131" s="390" customFormat="1">
      <c r="A81" s="389"/>
      <c r="B81" s="433"/>
      <c r="C81" s="389"/>
      <c r="D81" s="433" t="s">
        <v>107</v>
      </c>
      <c r="E81" s="455">
        <f>I10</f>
        <v>0.12</v>
      </c>
      <c r="F81" s="572"/>
      <c r="G81" s="828"/>
      <c r="H81" s="840"/>
      <c r="I81" s="703"/>
      <c r="J81" s="389"/>
      <c r="K81" s="456">
        <f ca="1">K84/K82</f>
        <v>9.6716469964768237E-3</v>
      </c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  <c r="BT81" s="389"/>
      <c r="BU81" s="389"/>
      <c r="BV81" s="389"/>
      <c r="BW81" s="389"/>
      <c r="BX81" s="389"/>
      <c r="BY81" s="389"/>
      <c r="BZ81" s="389"/>
      <c r="CA81" s="389"/>
      <c r="CB81" s="389"/>
      <c r="CC81" s="389"/>
      <c r="CD81" s="389"/>
      <c r="CE81" s="389"/>
      <c r="CF81" s="389"/>
      <c r="CG81" s="389"/>
      <c r="CH81" s="389"/>
      <c r="CI81" s="389"/>
      <c r="CJ81" s="389"/>
      <c r="CK81" s="389"/>
      <c r="CL81" s="389"/>
      <c r="CM81" s="389"/>
      <c r="CN81" s="389"/>
      <c r="CO81" s="389"/>
      <c r="CP81" s="389"/>
      <c r="CQ81" s="389"/>
      <c r="CR81" s="389"/>
      <c r="CS81" s="389"/>
      <c r="CT81" s="389"/>
      <c r="CU81" s="389"/>
      <c r="CV81" s="389"/>
      <c r="CW81" s="389"/>
      <c r="CX81" s="389"/>
      <c r="CY81" s="389"/>
      <c r="CZ81" s="389"/>
      <c r="DA81" s="389"/>
      <c r="DB81" s="389"/>
      <c r="DC81" s="389"/>
      <c r="DD81" s="389"/>
      <c r="DE81" s="389"/>
      <c r="DF81" s="389"/>
      <c r="DG81" s="389"/>
      <c r="DH81" s="389"/>
      <c r="DI81" s="389"/>
      <c r="DJ81" s="389"/>
      <c r="DK81" s="389"/>
      <c r="DL81" s="389"/>
      <c r="DM81" s="389"/>
      <c r="DN81" s="389"/>
      <c r="DO81" s="389"/>
      <c r="DP81" s="389"/>
      <c r="DQ81" s="389"/>
      <c r="DR81" s="389"/>
      <c r="DS81" s="389"/>
      <c r="DT81" s="389"/>
      <c r="DU81" s="389"/>
      <c r="DV81" s="389"/>
      <c r="DW81" s="389"/>
      <c r="DX81" s="389"/>
      <c r="DY81" s="389"/>
      <c r="DZ81" s="389"/>
      <c r="EA81" s="389"/>
    </row>
    <row r="82" spans="1:131" s="390" customFormat="1">
      <c r="A82" s="389"/>
      <c r="B82" s="389"/>
      <c r="C82" s="389"/>
      <c r="D82" s="389" t="s">
        <v>124</v>
      </c>
      <c r="E82" s="389"/>
      <c r="F82" s="389"/>
      <c r="G82" s="796"/>
      <c r="H82" s="829"/>
      <c r="I82" s="703">
        <f>E88</f>
        <v>0</v>
      </c>
      <c r="J82" s="389">
        <f>I88</f>
        <v>0</v>
      </c>
      <c r="K82" s="389">
        <f t="shared" ref="K82:BV82" ca="1" si="111">J88</f>
        <v>-4680000</v>
      </c>
      <c r="L82" s="389">
        <f t="shared" ca="1" si="111"/>
        <v>-5077301.0143801169</v>
      </c>
      <c r="M82" s="389">
        <f t="shared" ca="1" si="111"/>
        <v>-7602070.4770321222</v>
      </c>
      <c r="N82" s="389">
        <f t="shared" ca="1" si="111"/>
        <v>-10148875.796580048</v>
      </c>
      <c r="O82" s="389">
        <f t="shared" ca="1" si="111"/>
        <v>-12722695.740241725</v>
      </c>
      <c r="P82" s="389">
        <f t="shared" ca="1" si="111"/>
        <v>-15317420.911336716</v>
      </c>
      <c r="Q82" s="389">
        <f t="shared" ca="1" si="111"/>
        <v>-17941229.198833685</v>
      </c>
      <c r="R82" s="389">
        <f t="shared" ca="1" si="111"/>
        <v>-20498726.636434563</v>
      </c>
      <c r="S82" s="389">
        <f t="shared" ca="1" si="111"/>
        <v>-20684134.680169336</v>
      </c>
      <c r="T82" s="389">
        <f t="shared" ca="1" si="111"/>
        <v>-20884184.329223517</v>
      </c>
      <c r="U82" s="389">
        <f t="shared" ca="1" si="111"/>
        <v>-21079622.769120339</v>
      </c>
      <c r="V82" s="389">
        <f t="shared" ca="1" si="111"/>
        <v>-21283497.439362168</v>
      </c>
      <c r="W82" s="389">
        <f t="shared" ca="1" si="111"/>
        <v>-21482672.732470278</v>
      </c>
      <c r="X82" s="389">
        <f t="shared" ca="1" si="111"/>
        <v>-21690445.559679568</v>
      </c>
      <c r="Y82" s="389">
        <f t="shared" ca="1" si="111"/>
        <v>-21900227.892329086</v>
      </c>
      <c r="Z82" s="389">
        <f t="shared" ca="1" si="111"/>
        <v>-22105174.674314357</v>
      </c>
      <c r="AA82" s="389">
        <f t="shared" ca="1" si="111"/>
        <v>-22318968.120559786</v>
      </c>
      <c r="AB82" s="389">
        <f t="shared" ca="1" si="111"/>
        <v>-22527833.558674373</v>
      </c>
      <c r="AC82" s="389">
        <f t="shared" ca="1" si="111"/>
        <v>-22745714.812449254</v>
      </c>
      <c r="AD82" s="389">
        <f t="shared" ca="1" si="111"/>
        <v>-22965703.336797796</v>
      </c>
      <c r="AE82" s="389">
        <f t="shared" ca="1" si="111"/>
        <v>-23166230.841789655</v>
      </c>
      <c r="AF82" s="389">
        <f t="shared" ca="1" si="111"/>
        <v>-23390286.448730338</v>
      </c>
      <c r="AG82" s="389">
        <f t="shared" ca="1" si="111"/>
        <v>-23609177.501414776</v>
      </c>
      <c r="AH82" s="389">
        <f t="shared" ca="1" si="111"/>
        <v>-23837517.132085621</v>
      </c>
      <c r="AI82" s="389">
        <f t="shared" ca="1" si="111"/>
        <v>-24060593.460366707</v>
      </c>
      <c r="AJ82" s="389">
        <f t="shared" ca="1" si="111"/>
        <v>-16010677.224129617</v>
      </c>
      <c r="AK82" s="389">
        <f t="shared" ca="1" si="111"/>
        <v>-16165526.842415931</v>
      </c>
      <c r="AL82" s="389">
        <f t="shared" ca="1" si="111"/>
        <v>-16308947.401728278</v>
      </c>
      <c r="AM82" s="389">
        <f t="shared" ca="1" si="111"/>
        <v>-16357527.185575601</v>
      </c>
      <c r="AN82" s="389">
        <f t="shared" ca="1" si="111"/>
        <v>-16504077.717066668</v>
      </c>
      <c r="AO82" s="389">
        <f t="shared" ca="1" si="111"/>
        <v>-16663699.330748556</v>
      </c>
      <c r="AP82" s="389">
        <f t="shared" ca="1" si="111"/>
        <v>-16824864.748330984</v>
      </c>
      <c r="AQ82" s="389">
        <f t="shared" ca="1" si="111"/>
        <v>-16971772.861717712</v>
      </c>
      <c r="AR82" s="389">
        <f t="shared" ca="1" si="111"/>
        <v>-17135917.857740629</v>
      </c>
      <c r="AS82" s="389">
        <f t="shared" ca="1" si="111"/>
        <v>-17237405.828630414</v>
      </c>
      <c r="AT82" s="389">
        <f t="shared" ca="1" si="111"/>
        <v>-17264328.241298512</v>
      </c>
      <c r="AU82" s="389">
        <f t="shared" ca="1" si="111"/>
        <v>-17266121.674723879</v>
      </c>
      <c r="AV82" s="389">
        <f t="shared" ca="1" si="111"/>
        <v>-17343353.913692605</v>
      </c>
      <c r="AW82" s="389">
        <f t="shared" ca="1" si="111"/>
        <v>-17423906.914519597</v>
      </c>
      <c r="AX82" s="389">
        <f t="shared" ca="1" si="111"/>
        <v>-17463508.022318128</v>
      </c>
      <c r="AY82" s="389">
        <f t="shared" ca="1" si="111"/>
        <v>-17417616.352819238</v>
      </c>
      <c r="AZ82" s="389">
        <f t="shared" ca="1" si="111"/>
        <v>-17503671.914194409</v>
      </c>
      <c r="BA82" s="389">
        <f t="shared" ca="1" si="111"/>
        <v>-17672961.250090644</v>
      </c>
      <c r="BB82" s="389">
        <f t="shared" ca="1" si="111"/>
        <v>-17843887.892683934</v>
      </c>
      <c r="BC82" s="389">
        <f t="shared" ca="1" si="111"/>
        <v>-17999693.716089353</v>
      </c>
      <c r="BD82" s="389">
        <f t="shared" ca="1" si="111"/>
        <v>-18078436.910475057</v>
      </c>
      <c r="BE82" s="389">
        <f t="shared" ca="1" si="111"/>
        <v>-18107037.100615397</v>
      </c>
      <c r="BF82" s="389">
        <f t="shared" ca="1" si="111"/>
        <v>-18129653.459112979</v>
      </c>
      <c r="BG82" s="389">
        <f t="shared" ca="1" si="111"/>
        <v>-18138440.428446166</v>
      </c>
      <c r="BH82" s="389">
        <f t="shared" ca="1" si="111"/>
        <v>-18224119.33360038</v>
      </c>
      <c r="BI82" s="389">
        <f t="shared" ca="1" si="111"/>
        <v>-18313233.125119094</v>
      </c>
      <c r="BJ82" s="389">
        <f t="shared" ca="1" si="111"/>
        <v>-18360624.317392349</v>
      </c>
      <c r="BK82" s="389">
        <f t="shared" ca="1" si="111"/>
        <v>-18321471.217087828</v>
      </c>
      <c r="BL82" s="389">
        <f t="shared" ca="1" si="111"/>
        <v>-18416154.79768914</v>
      </c>
      <c r="BM82" s="389">
        <f t="shared" ca="1" si="111"/>
        <v>-18594269.345924862</v>
      </c>
      <c r="BN82" s="389">
        <f t="shared" ca="1" si="111"/>
        <v>-18774106.555196058</v>
      </c>
      <c r="BO82" s="389">
        <f t="shared" ca="1" si="111"/>
        <v>-18943915.657537088</v>
      </c>
      <c r="BP82" s="389">
        <f t="shared" ca="1" si="111"/>
        <v>-19011988.430652261</v>
      </c>
      <c r="BQ82" s="389">
        <f t="shared" ca="1" si="111"/>
        <v>-19045762.670181781</v>
      </c>
      <c r="BR82" s="389">
        <f t="shared" ca="1" si="111"/>
        <v>-19073726.03242702</v>
      </c>
      <c r="BS82" s="389">
        <f t="shared" ca="1" si="111"/>
        <v>-19087466.813096412</v>
      </c>
      <c r="BT82" s="389">
        <f t="shared" ca="1" si="111"/>
        <v>-19179561.461809583</v>
      </c>
      <c r="BU82" s="389">
        <f t="shared" ca="1" si="111"/>
        <v>-19275185.108487718</v>
      </c>
      <c r="BV82" s="389">
        <f t="shared" ca="1" si="111"/>
        <v>-19328271.007318955</v>
      </c>
      <c r="BW82" s="389">
        <f t="shared" ref="BW82:DY82" ca="1" si="112">BV88</f>
        <v>-19293761.463395685</v>
      </c>
      <c r="BX82" s="389">
        <f t="shared" ca="1" si="112"/>
        <v>-19394938.727148373</v>
      </c>
      <c r="BY82" s="389">
        <f t="shared" ca="1" si="112"/>
        <v>-19582519.728035647</v>
      </c>
      <c r="BZ82" s="389">
        <f t="shared" ca="1" si="112"/>
        <v>-19771914.946146753</v>
      </c>
      <c r="CA82" s="389">
        <f t="shared" ca="1" si="112"/>
        <v>-19944555.544821963</v>
      </c>
      <c r="CB82" s="389">
        <f t="shared" ca="1" si="112"/>
        <v>-20030847.254028775</v>
      </c>
      <c r="CC82" s="389">
        <f t="shared" ca="1" si="112"/>
        <v>-20070736.533125028</v>
      </c>
      <c r="CD82" s="389">
        <f t="shared" ca="1" si="112"/>
        <v>-20105024.281392504</v>
      </c>
      <c r="CE82" s="389">
        <f t="shared" ca="1" si="112"/>
        <v>-20124677.073932022</v>
      </c>
      <c r="CF82" s="389">
        <f t="shared" ca="1" si="112"/>
        <v>-20224185.348993391</v>
      </c>
      <c r="CG82" s="389">
        <f t="shared" ca="1" si="112"/>
        <v>-20327325.962830663</v>
      </c>
      <c r="CH82" s="389">
        <f t="shared" ca="1" si="112"/>
        <v>-20387093.715879437</v>
      </c>
      <c r="CI82" s="389">
        <f t="shared" ca="1" si="112"/>
        <v>-20358251.696300983</v>
      </c>
      <c r="CJ82" s="389">
        <f t="shared" ca="1" si="112"/>
        <v>-20466928.251269776</v>
      </c>
      <c r="CK82" s="389">
        <f t="shared" ca="1" si="112"/>
        <v>-20664877.156418275</v>
      </c>
      <c r="CL82" s="389">
        <f t="shared" ca="1" si="112"/>
        <v>-20864740.553500712</v>
      </c>
      <c r="CM82" s="389">
        <f t="shared" ca="1" si="112"/>
        <v>-21046923.276326016</v>
      </c>
      <c r="CN82" s="389">
        <f t="shared" ca="1" si="112"/>
        <v>-21137674.436308954</v>
      </c>
      <c r="CO82" s="389">
        <f t="shared" ca="1" si="112"/>
        <v>-21184656.53030489</v>
      </c>
      <c r="CP82" s="389">
        <f t="shared" ca="1" si="112"/>
        <v>-21226284.207749419</v>
      </c>
      <c r="CQ82" s="389">
        <f t="shared" ca="1" si="112"/>
        <v>-21250199.516091898</v>
      </c>
      <c r="CR82" s="389">
        <f t="shared" ca="1" si="112"/>
        <v>-21355486.41872688</v>
      </c>
      <c r="CS82" s="389">
        <f t="shared" ca="1" si="112"/>
        <v>-21464492.711685825</v>
      </c>
      <c r="CT82" s="389">
        <f t="shared" ca="1" si="112"/>
        <v>-21529247.406565834</v>
      </c>
      <c r="CU82" s="389">
        <f t="shared" ca="1" si="112"/>
        <v>-21504388.468208451</v>
      </c>
      <c r="CV82" s="389">
        <f t="shared" ca="1" si="112"/>
        <v>-21618836.763680659</v>
      </c>
      <c r="CW82" s="389">
        <f t="shared" ca="1" si="112"/>
        <v>-21827926.521333434</v>
      </c>
      <c r="CX82" s="389">
        <f t="shared" ca="1" si="112"/>
        <v>-22039038.521312807</v>
      </c>
      <c r="CY82" s="389">
        <f t="shared" ca="1" si="112"/>
        <v>-22231474.752952926</v>
      </c>
      <c r="CZ82" s="389">
        <f t="shared" ca="1" si="112"/>
        <v>-22295000.829527345</v>
      </c>
      <c r="DA82" s="389">
        <f t="shared" ca="1" si="112"/>
        <v>-22337811.221628319</v>
      </c>
      <c r="DB82" s="389">
        <f t="shared" ca="1" si="112"/>
        <v>-22375216.57823522</v>
      </c>
      <c r="DC82" s="389">
        <f t="shared" ca="1" si="112"/>
        <v>-22417166.350966606</v>
      </c>
      <c r="DD82" s="389">
        <f t="shared" ca="1" si="112"/>
        <v>-22543256.878108606</v>
      </c>
      <c r="DE82" s="389">
        <f t="shared" ca="1" si="112"/>
        <v>-22673349.033664092</v>
      </c>
      <c r="DF82" s="389">
        <f t="shared" ca="1" si="112"/>
        <v>-22757857.278934404</v>
      </c>
      <c r="DG82" s="389">
        <f t="shared" ca="1" si="112"/>
        <v>-22750412.813971944</v>
      </c>
      <c r="DH82" s="389">
        <f t="shared" ca="1" si="112"/>
        <v>-22886442.093192212</v>
      </c>
      <c r="DI82" s="389">
        <f t="shared" ca="1" si="112"/>
        <v>-23107791.682122875</v>
      </c>
      <c r="DJ82" s="389">
        <f t="shared" ca="1" si="112"/>
        <v>-23331282.086140491</v>
      </c>
      <c r="DK82" s="389">
        <f t="shared" ca="1" si="112"/>
        <v>-23542310.18784349</v>
      </c>
      <c r="DL82" s="389">
        <f t="shared" ca="1" si="112"/>
        <v>-23647323.629878361</v>
      </c>
      <c r="DM82" s="389">
        <f t="shared" ca="1" si="112"/>
        <v>-23710338.66982739</v>
      </c>
      <c r="DN82" s="389">
        <f t="shared" ca="1" si="112"/>
        <v>-23768183.744354364</v>
      </c>
      <c r="DO82" s="389">
        <f t="shared" ca="1" si="112"/>
        <v>-23811297.06548791</v>
      </c>
      <c r="DP82" s="389">
        <f t="shared" ca="1" si="112"/>
        <v>-23941300.661148932</v>
      </c>
      <c r="DQ82" s="389">
        <f t="shared" ca="1" si="112"/>
        <v>-24075427.194801196</v>
      </c>
      <c r="DR82" s="389">
        <f t="shared" ca="1" si="112"/>
        <v>-24162377.305669613</v>
      </c>
      <c r="DS82" s="389">
        <f t="shared" ca="1" si="112"/>
        <v>-24154841.489951607</v>
      </c>
      <c r="DT82" s="389">
        <f t="shared" ca="1" si="112"/>
        <v>-24294858.627028536</v>
      </c>
      <c r="DU82" s="389">
        <f t="shared" ca="1" si="112"/>
        <v>-24529829.923498467</v>
      </c>
      <c r="DV82" s="389">
        <f t="shared" ca="1" si="112"/>
        <v>-24767073.779402159</v>
      </c>
      <c r="DW82" s="389">
        <f t="shared" ca="1" si="112"/>
        <v>-24983330.143864337</v>
      </c>
      <c r="DX82" s="389">
        <f t="shared" ca="1" si="112"/>
        <v>-25088450.028065562</v>
      </c>
      <c r="DY82" s="389">
        <f t="shared" ca="1" si="112"/>
        <v>-25153354.119224142</v>
      </c>
      <c r="DZ82" s="389"/>
      <c r="EA82" s="389"/>
    </row>
    <row r="83" spans="1:131" s="390" customFormat="1">
      <c r="A83" s="389"/>
      <c r="B83" s="389"/>
      <c r="C83" s="389"/>
      <c r="D83" s="389" t="s">
        <v>112</v>
      </c>
      <c r="E83" s="389"/>
      <c r="F83" s="389"/>
      <c r="G83" s="796"/>
      <c r="H83" s="829"/>
      <c r="I83" s="703">
        <f t="shared" ref="I83:BT83" si="113">I74</f>
        <v>0</v>
      </c>
      <c r="J83" s="389">
        <f t="shared" ca="1" si="113"/>
        <v>-4680000</v>
      </c>
      <c r="K83" s="389">
        <f t="shared" ca="1" si="113"/>
        <v>-352037.7064366049</v>
      </c>
      <c r="L83" s="389">
        <f t="shared" ca="1" si="113"/>
        <v>-2475663.5995460674</v>
      </c>
      <c r="M83" s="389">
        <f t="shared" ca="1" si="113"/>
        <v>-2475663.5995460674</v>
      </c>
      <c r="N83" s="389">
        <f t="shared" ca="1" si="113"/>
        <v>-2475663.5995460674</v>
      </c>
      <c r="O83" s="389">
        <f t="shared" ca="1" si="113"/>
        <v>-2475663.5995460674</v>
      </c>
      <c r="P83" s="389">
        <f t="shared" ca="1" si="113"/>
        <v>-2475663.5995460674</v>
      </c>
      <c r="Q83" s="389">
        <f t="shared" ca="1" si="113"/>
        <v>-2383976.2021068749</v>
      </c>
      <c r="R83" s="389">
        <f t="shared" ca="1" si="113"/>
        <v>0</v>
      </c>
      <c r="S83" s="389">
        <f t="shared" ca="1" si="113"/>
        <v>0</v>
      </c>
      <c r="T83" s="389">
        <f t="shared" ca="1" si="113"/>
        <v>0</v>
      </c>
      <c r="U83" s="389">
        <f t="shared" ca="1" si="113"/>
        <v>0</v>
      </c>
      <c r="V83" s="389">
        <f t="shared" ca="1" si="113"/>
        <v>0</v>
      </c>
      <c r="W83" s="389">
        <f t="shared" ca="1" si="113"/>
        <v>0</v>
      </c>
      <c r="X83" s="389">
        <f t="shared" ca="1" si="113"/>
        <v>0</v>
      </c>
      <c r="Y83" s="389">
        <f t="shared" ca="1" si="113"/>
        <v>0</v>
      </c>
      <c r="Z83" s="389">
        <f t="shared" ca="1" si="113"/>
        <v>0</v>
      </c>
      <c r="AA83" s="389">
        <f t="shared" ca="1" si="113"/>
        <v>0</v>
      </c>
      <c r="AB83" s="389">
        <f t="shared" ca="1" si="113"/>
        <v>0</v>
      </c>
      <c r="AC83" s="389">
        <f t="shared" ca="1" si="113"/>
        <v>0</v>
      </c>
      <c r="AD83" s="389">
        <f t="shared" ca="1" si="113"/>
        <v>0</v>
      </c>
      <c r="AE83" s="389">
        <f t="shared" ca="1" si="113"/>
        <v>0</v>
      </c>
      <c r="AF83" s="389">
        <f t="shared" ca="1" si="113"/>
        <v>0</v>
      </c>
      <c r="AG83" s="389">
        <f t="shared" ca="1" si="113"/>
        <v>0</v>
      </c>
      <c r="AH83" s="389">
        <f t="shared" ca="1" si="113"/>
        <v>0</v>
      </c>
      <c r="AI83" s="389">
        <f t="shared" ca="1" si="113"/>
        <v>0</v>
      </c>
      <c r="AJ83" s="389">
        <f t="shared" ca="1" si="113"/>
        <v>0</v>
      </c>
      <c r="AK83" s="389">
        <f t="shared" ca="1" si="113"/>
        <v>0</v>
      </c>
      <c r="AL83" s="389">
        <f t="shared" ca="1" si="113"/>
        <v>0</v>
      </c>
      <c r="AM83" s="389">
        <f t="shared" ca="1" si="113"/>
        <v>0</v>
      </c>
      <c r="AN83" s="389">
        <f t="shared" ca="1" si="113"/>
        <v>0</v>
      </c>
      <c r="AO83" s="389">
        <f t="shared" ca="1" si="113"/>
        <v>0</v>
      </c>
      <c r="AP83" s="389">
        <f t="shared" ca="1" si="113"/>
        <v>0</v>
      </c>
      <c r="AQ83" s="389">
        <f t="shared" ca="1" si="113"/>
        <v>0</v>
      </c>
      <c r="AR83" s="389">
        <f t="shared" ca="1" si="113"/>
        <v>0</v>
      </c>
      <c r="AS83" s="389">
        <f t="shared" ca="1" si="113"/>
        <v>0</v>
      </c>
      <c r="AT83" s="389">
        <f t="shared" ca="1" si="113"/>
        <v>0</v>
      </c>
      <c r="AU83" s="389">
        <f t="shared" ca="1" si="113"/>
        <v>0</v>
      </c>
      <c r="AV83" s="389">
        <f t="shared" ca="1" si="113"/>
        <v>0</v>
      </c>
      <c r="AW83" s="389">
        <f t="shared" ca="1" si="113"/>
        <v>0</v>
      </c>
      <c r="AX83" s="389">
        <f t="shared" ca="1" si="113"/>
        <v>0</v>
      </c>
      <c r="AY83" s="389">
        <f t="shared" ca="1" si="113"/>
        <v>0</v>
      </c>
      <c r="AZ83" s="389">
        <f t="shared" ca="1" si="113"/>
        <v>0</v>
      </c>
      <c r="BA83" s="389">
        <f t="shared" ca="1" si="113"/>
        <v>0</v>
      </c>
      <c r="BB83" s="389">
        <f t="shared" ca="1" si="113"/>
        <v>0</v>
      </c>
      <c r="BC83" s="389">
        <f t="shared" ca="1" si="113"/>
        <v>0</v>
      </c>
      <c r="BD83" s="389">
        <f t="shared" ca="1" si="113"/>
        <v>0</v>
      </c>
      <c r="BE83" s="389">
        <f t="shared" ca="1" si="113"/>
        <v>0</v>
      </c>
      <c r="BF83" s="389">
        <f t="shared" ca="1" si="113"/>
        <v>0</v>
      </c>
      <c r="BG83" s="389">
        <f t="shared" ca="1" si="113"/>
        <v>0</v>
      </c>
      <c r="BH83" s="389">
        <f t="shared" ca="1" si="113"/>
        <v>0</v>
      </c>
      <c r="BI83" s="389">
        <f t="shared" ca="1" si="113"/>
        <v>0</v>
      </c>
      <c r="BJ83" s="389">
        <f t="shared" ca="1" si="113"/>
        <v>0</v>
      </c>
      <c r="BK83" s="389">
        <f t="shared" ca="1" si="113"/>
        <v>0</v>
      </c>
      <c r="BL83" s="389">
        <f t="shared" ca="1" si="113"/>
        <v>0</v>
      </c>
      <c r="BM83" s="389">
        <f t="shared" ca="1" si="113"/>
        <v>0</v>
      </c>
      <c r="BN83" s="389">
        <f t="shared" ca="1" si="113"/>
        <v>0</v>
      </c>
      <c r="BO83" s="389">
        <f t="shared" ca="1" si="113"/>
        <v>0</v>
      </c>
      <c r="BP83" s="389">
        <f t="shared" ca="1" si="113"/>
        <v>0</v>
      </c>
      <c r="BQ83" s="389">
        <f t="shared" ca="1" si="113"/>
        <v>0</v>
      </c>
      <c r="BR83" s="389">
        <f t="shared" ca="1" si="113"/>
        <v>0</v>
      </c>
      <c r="BS83" s="389">
        <f t="shared" ca="1" si="113"/>
        <v>0</v>
      </c>
      <c r="BT83" s="389">
        <f t="shared" ca="1" si="113"/>
        <v>0</v>
      </c>
      <c r="BU83" s="389">
        <f t="shared" ref="BU83:DY83" ca="1" si="114">BU74</f>
        <v>0</v>
      </c>
      <c r="BV83" s="389">
        <f t="shared" ca="1" si="114"/>
        <v>0</v>
      </c>
      <c r="BW83" s="389">
        <f t="shared" ca="1" si="114"/>
        <v>0</v>
      </c>
      <c r="BX83" s="389">
        <f t="shared" ca="1" si="114"/>
        <v>0</v>
      </c>
      <c r="BY83" s="389">
        <f t="shared" ca="1" si="114"/>
        <v>0</v>
      </c>
      <c r="BZ83" s="389">
        <f t="shared" ca="1" si="114"/>
        <v>0</v>
      </c>
      <c r="CA83" s="389">
        <f t="shared" ca="1" si="114"/>
        <v>0</v>
      </c>
      <c r="CB83" s="389">
        <f t="shared" ca="1" si="114"/>
        <v>0</v>
      </c>
      <c r="CC83" s="389">
        <f t="shared" ca="1" si="114"/>
        <v>0</v>
      </c>
      <c r="CD83" s="389">
        <f t="shared" ca="1" si="114"/>
        <v>0</v>
      </c>
      <c r="CE83" s="389">
        <f t="shared" ca="1" si="114"/>
        <v>0</v>
      </c>
      <c r="CF83" s="389">
        <f t="shared" ca="1" si="114"/>
        <v>0</v>
      </c>
      <c r="CG83" s="389">
        <f t="shared" ca="1" si="114"/>
        <v>0</v>
      </c>
      <c r="CH83" s="389">
        <f t="shared" ca="1" si="114"/>
        <v>0</v>
      </c>
      <c r="CI83" s="389">
        <f t="shared" ca="1" si="114"/>
        <v>0</v>
      </c>
      <c r="CJ83" s="389">
        <f t="shared" ca="1" si="114"/>
        <v>0</v>
      </c>
      <c r="CK83" s="389">
        <f t="shared" ca="1" si="114"/>
        <v>0</v>
      </c>
      <c r="CL83" s="389">
        <f t="shared" ca="1" si="114"/>
        <v>0</v>
      </c>
      <c r="CM83" s="389">
        <f t="shared" ca="1" si="114"/>
        <v>0</v>
      </c>
      <c r="CN83" s="389">
        <f t="shared" ca="1" si="114"/>
        <v>0</v>
      </c>
      <c r="CO83" s="389">
        <f t="shared" ca="1" si="114"/>
        <v>0</v>
      </c>
      <c r="CP83" s="389">
        <f t="shared" ca="1" si="114"/>
        <v>0</v>
      </c>
      <c r="CQ83" s="389">
        <f t="shared" ca="1" si="114"/>
        <v>0</v>
      </c>
      <c r="CR83" s="389">
        <f t="shared" ca="1" si="114"/>
        <v>0</v>
      </c>
      <c r="CS83" s="389">
        <f t="shared" ca="1" si="114"/>
        <v>0</v>
      </c>
      <c r="CT83" s="389">
        <f t="shared" ca="1" si="114"/>
        <v>0</v>
      </c>
      <c r="CU83" s="389">
        <f t="shared" ca="1" si="114"/>
        <v>0</v>
      </c>
      <c r="CV83" s="389">
        <f t="shared" ca="1" si="114"/>
        <v>0</v>
      </c>
      <c r="CW83" s="389">
        <f t="shared" ca="1" si="114"/>
        <v>0</v>
      </c>
      <c r="CX83" s="389">
        <f t="shared" ca="1" si="114"/>
        <v>0</v>
      </c>
      <c r="CY83" s="389">
        <f t="shared" ca="1" si="114"/>
        <v>0</v>
      </c>
      <c r="CZ83" s="389">
        <f t="shared" ca="1" si="114"/>
        <v>0</v>
      </c>
      <c r="DA83" s="389">
        <f t="shared" ca="1" si="114"/>
        <v>0</v>
      </c>
      <c r="DB83" s="389">
        <f t="shared" ca="1" si="114"/>
        <v>0</v>
      </c>
      <c r="DC83" s="389">
        <f t="shared" ca="1" si="114"/>
        <v>0</v>
      </c>
      <c r="DD83" s="389">
        <f t="shared" ca="1" si="114"/>
        <v>0</v>
      </c>
      <c r="DE83" s="389">
        <f t="shared" ca="1" si="114"/>
        <v>0</v>
      </c>
      <c r="DF83" s="389">
        <f t="shared" ca="1" si="114"/>
        <v>0</v>
      </c>
      <c r="DG83" s="389">
        <f t="shared" ca="1" si="114"/>
        <v>0</v>
      </c>
      <c r="DH83" s="389">
        <f t="shared" ca="1" si="114"/>
        <v>0</v>
      </c>
      <c r="DI83" s="389">
        <f t="shared" ca="1" si="114"/>
        <v>0</v>
      </c>
      <c r="DJ83" s="389">
        <f t="shared" ca="1" si="114"/>
        <v>0</v>
      </c>
      <c r="DK83" s="389">
        <f t="shared" ca="1" si="114"/>
        <v>0</v>
      </c>
      <c r="DL83" s="389">
        <f t="shared" ca="1" si="114"/>
        <v>0</v>
      </c>
      <c r="DM83" s="389">
        <f t="shared" ca="1" si="114"/>
        <v>0</v>
      </c>
      <c r="DN83" s="389">
        <f t="shared" ca="1" si="114"/>
        <v>0</v>
      </c>
      <c r="DO83" s="389">
        <f t="shared" ca="1" si="114"/>
        <v>0</v>
      </c>
      <c r="DP83" s="389">
        <f t="shared" ca="1" si="114"/>
        <v>0</v>
      </c>
      <c r="DQ83" s="389">
        <f t="shared" ca="1" si="114"/>
        <v>0</v>
      </c>
      <c r="DR83" s="389">
        <f t="shared" ca="1" si="114"/>
        <v>0</v>
      </c>
      <c r="DS83" s="389">
        <f t="shared" ca="1" si="114"/>
        <v>0</v>
      </c>
      <c r="DT83" s="389">
        <f t="shared" ca="1" si="114"/>
        <v>0</v>
      </c>
      <c r="DU83" s="389">
        <f t="shared" ca="1" si="114"/>
        <v>0</v>
      </c>
      <c r="DV83" s="389">
        <f t="shared" ca="1" si="114"/>
        <v>0</v>
      </c>
      <c r="DW83" s="389">
        <f t="shared" ca="1" si="114"/>
        <v>0</v>
      </c>
      <c r="DX83" s="389">
        <f t="shared" ca="1" si="114"/>
        <v>0</v>
      </c>
      <c r="DY83" s="389">
        <f t="shared" ca="1" si="114"/>
        <v>0</v>
      </c>
      <c r="DZ83" s="389"/>
      <c r="EA83" s="389"/>
    </row>
    <row r="84" spans="1:131" s="390" customFormat="1">
      <c r="A84" s="389"/>
      <c r="B84" s="389"/>
      <c r="C84" s="389"/>
      <c r="D84" s="389" t="s">
        <v>125</v>
      </c>
      <c r="E84" s="389"/>
      <c r="F84" s="389"/>
      <c r="G84" s="796"/>
      <c r="H84" s="829"/>
      <c r="I84" s="703">
        <f>I82*$E$81</f>
        <v>0</v>
      </c>
      <c r="J84" s="389">
        <f>J82*(((1+$E81)^((J$14-I$14)/365))-1)</f>
        <v>0</v>
      </c>
      <c r="K84" s="389">
        <f ca="1">K82*(((1+$E81)^((K$14-J$14)/365))-1)</f>
        <v>-45263.307943511536</v>
      </c>
      <c r="L84" s="389">
        <f ca="1">L82*(((1+$E81)^((L$14-K$14)/365))-1)</f>
        <v>-49105.863105938188</v>
      </c>
      <c r="M84" s="389">
        <f ca="1">M82*(((1+$E81)^((M$14-L$14)/365))-1)</f>
        <v>-71141.720001859139</v>
      </c>
      <c r="N84" s="389">
        <f ca="1">N82*(((1+$E81)^((N$14-M$14)/365))-1)</f>
        <v>-98156.344115609754</v>
      </c>
      <c r="O84" s="389">
        <f t="shared" ref="O84:BZ84" ca="1" si="115">O82*(((1+$E81)^((O$14-N$14)/365))-1)</f>
        <v>-119061.571548924</v>
      </c>
      <c r="P84" s="389">
        <f t="shared" ca="1" si="115"/>
        <v>-148144.68795090105</v>
      </c>
      <c r="Q84" s="389">
        <f t="shared" ca="1" si="115"/>
        <v>-173521.23549400209</v>
      </c>
      <c r="R84" s="389">
        <f t="shared" ca="1" si="115"/>
        <v>-185408.04373477338</v>
      </c>
      <c r="S84" s="389">
        <f t="shared" ca="1" si="115"/>
        <v>-200049.64905418188</v>
      </c>
      <c r="T84" s="389">
        <f t="shared" ca="1" si="115"/>
        <v>-195438.43989682023</v>
      </c>
      <c r="U84" s="389">
        <f ca="1">U82*(((1+$E81)^((U$14-T$14)/365))-1)</f>
        <v>-203874.6702418272</v>
      </c>
      <c r="V84" s="389">
        <f t="shared" ca="1" si="115"/>
        <v>-199175.2931081109</v>
      </c>
      <c r="W84" s="389">
        <f t="shared" ca="1" si="115"/>
        <v>-207772.82720929073</v>
      </c>
      <c r="X84" s="389">
        <f t="shared" ca="1" si="115"/>
        <v>-209782.33264951894</v>
      </c>
      <c r="Y84" s="389">
        <f t="shared" ca="1" si="115"/>
        <v>-204946.78198527286</v>
      </c>
      <c r="Z84" s="389">
        <f t="shared" ca="1" si="115"/>
        <v>-213793.446245428</v>
      </c>
      <c r="AA84" s="389">
        <f t="shared" ca="1" si="115"/>
        <v>-208865.43811458739</v>
      </c>
      <c r="AB84" s="389">
        <f t="shared" ca="1" si="115"/>
        <v>-217881.25377488279</v>
      </c>
      <c r="AC84" s="389">
        <f t="shared" ca="1" si="115"/>
        <v>-219988.52434854323</v>
      </c>
      <c r="AD84" s="389">
        <f t="shared" ca="1" si="115"/>
        <v>-200527.50499185853</v>
      </c>
      <c r="AE84" s="389">
        <f t="shared" ca="1" si="115"/>
        <v>-224055.60694068368</v>
      </c>
      <c r="AF84" s="389">
        <f t="shared" ca="1" si="115"/>
        <v>-218891.05268443865</v>
      </c>
      <c r="AG84" s="389">
        <f t="shared" ca="1" si="115"/>
        <v>-228339.63067084641</v>
      </c>
      <c r="AH84" s="389">
        <f t="shared" ca="1" si="115"/>
        <v>-223076.32828108413</v>
      </c>
      <c r="AI84" s="389">
        <f t="shared" ca="1" si="115"/>
        <v>-232705.56647440558</v>
      </c>
      <c r="AJ84" s="389">
        <f t="shared" ca="1" si="115"/>
        <v>-154849.61828631311</v>
      </c>
      <c r="AK84" s="389">
        <f t="shared" ca="1" si="115"/>
        <v>-151280.28446727496</v>
      </c>
      <c r="AL84" s="389">
        <f t="shared" ca="1" si="115"/>
        <v>-157734.3821536238</v>
      </c>
      <c r="AM84" s="389">
        <f t="shared" ca="1" si="115"/>
        <v>-153077.06268639228</v>
      </c>
      <c r="AN84" s="389">
        <f t="shared" ca="1" si="115"/>
        <v>-159621.61368188792</v>
      </c>
      <c r="AO84" s="389">
        <f t="shared" ca="1" si="115"/>
        <v>-161165.41758242712</v>
      </c>
      <c r="AP84" s="389">
        <f t="shared" ca="1" si="115"/>
        <v>-146908.11338672964</v>
      </c>
      <c r="AQ84" s="389">
        <f t="shared" ca="1" si="115"/>
        <v>-164144.99602291899</v>
      </c>
      <c r="AR84" s="389">
        <f t="shared" ca="1" si="115"/>
        <v>-160361.40073857547</v>
      </c>
      <c r="AS84" s="389">
        <f t="shared" ca="1" si="115"/>
        <v>-166714.10430952543</v>
      </c>
      <c r="AT84" s="389">
        <f t="shared" ca="1" si="115"/>
        <v>-161563.09119645882</v>
      </c>
      <c r="AU84" s="389">
        <f t="shared" ca="1" si="115"/>
        <v>-166991.83383614657</v>
      </c>
      <c r="AV84" s="389">
        <f t="shared" ca="1" si="115"/>
        <v>-167738.79678819966</v>
      </c>
      <c r="AW84" s="389">
        <f t="shared" ca="1" si="115"/>
        <v>-163056.46084132887</v>
      </c>
      <c r="AX84" s="389">
        <f t="shared" ca="1" si="115"/>
        <v>-168900.88491200205</v>
      </c>
      <c r="AY84" s="389">
        <f t="shared" ca="1" si="115"/>
        <v>-162997.59248691236</v>
      </c>
      <c r="AZ84" s="389">
        <f t="shared" ca="1" si="115"/>
        <v>-169289.33589623409</v>
      </c>
      <c r="BA84" s="389">
        <f t="shared" ca="1" si="115"/>
        <v>-170926.64259329045</v>
      </c>
      <c r="BB84" s="389">
        <f t="shared" ca="1" si="115"/>
        <v>-155805.82340541822</v>
      </c>
      <c r="BC84" s="389">
        <f t="shared" ca="1" si="115"/>
        <v>-174086.68366671834</v>
      </c>
      <c r="BD84" s="389">
        <f t="shared" ca="1" si="115"/>
        <v>-169181.68552133741</v>
      </c>
      <c r="BE84" s="389">
        <f t="shared" ca="1" si="115"/>
        <v>-175124.87098926131</v>
      </c>
      <c r="BF84" s="389">
        <f t="shared" ca="1" si="115"/>
        <v>-169660.98038892235</v>
      </c>
      <c r="BG84" s="389">
        <f t="shared" ca="1" si="115"/>
        <v>-175428.59289055516</v>
      </c>
      <c r="BH84" s="389">
        <f t="shared" ca="1" si="115"/>
        <v>-176257.24901625133</v>
      </c>
      <c r="BI84" s="389">
        <f t="shared" ca="1" si="115"/>
        <v>-171378.95620044635</v>
      </c>
      <c r="BJ84" s="389">
        <f t="shared" ca="1" si="115"/>
        <v>-177577.47703274703</v>
      </c>
      <c r="BK84" s="389">
        <f t="shared" ca="1" si="115"/>
        <v>-171456.04993878512</v>
      </c>
      <c r="BL84" s="389">
        <f t="shared" ca="1" si="115"/>
        <v>-178114.54823572241</v>
      </c>
      <c r="BM84" s="389">
        <f t="shared" ca="1" si="115"/>
        <v>-179837.20927119526</v>
      </c>
      <c r="BN84" s="389">
        <f t="shared" ca="1" si="115"/>
        <v>-169809.10234102863</v>
      </c>
      <c r="BO84" s="389">
        <f t="shared" ca="1" si="115"/>
        <v>-183218.86497072884</v>
      </c>
      <c r="BP84" s="389">
        <f t="shared" ca="1" si="115"/>
        <v>-177918.05031253636</v>
      </c>
      <c r="BQ84" s="389">
        <f t="shared" ca="1" si="115"/>
        <v>-184203.89332467402</v>
      </c>
      <c r="BR84" s="389">
        <f t="shared" ca="1" si="115"/>
        <v>-178495.80333288998</v>
      </c>
      <c r="BS84" s="389">
        <f t="shared" ca="1" si="115"/>
        <v>-184607.24107323497</v>
      </c>
      <c r="BT84" s="389">
        <f t="shared" ca="1" si="115"/>
        <v>-185497.94800585328</v>
      </c>
      <c r="BU84" s="389">
        <f t="shared" ca="1" si="115"/>
        <v>-180381.09829618249</v>
      </c>
      <c r="BV84" s="389">
        <f t="shared" ca="1" si="115"/>
        <v>-186936.21423502645</v>
      </c>
      <c r="BW84" s="389">
        <f t="shared" ca="1" si="115"/>
        <v>-180554.93959948406</v>
      </c>
      <c r="BX84" s="389">
        <f t="shared" ca="1" si="115"/>
        <v>-187581.00088727658</v>
      </c>
      <c r="BY84" s="389">
        <f t="shared" ca="1" si="115"/>
        <v>-189395.21811110413</v>
      </c>
      <c r="BZ84" s="389">
        <f t="shared" ca="1" si="115"/>
        <v>-172640.59867521023</v>
      </c>
      <c r="CA84" s="389">
        <f t="shared" ref="CA84:DY84" ca="1" si="116">CA82*(((1+$E81)^((CA$14-BZ$14)/365))-1)</f>
        <v>-192896.70073114251</v>
      </c>
      <c r="CB84" s="389">
        <f t="shared" ca="1" si="116"/>
        <v>-187452.73817856802</v>
      </c>
      <c r="CC84" s="389">
        <f t="shared" ca="1" si="116"/>
        <v>-194117.07870767632</v>
      </c>
      <c r="CD84" s="389">
        <f t="shared" ca="1" si="116"/>
        <v>-188146.90187084425</v>
      </c>
      <c r="CE84" s="389">
        <f t="shared" ca="1" si="116"/>
        <v>-194638.77257716062</v>
      </c>
      <c r="CF84" s="389">
        <f t="shared" ca="1" si="116"/>
        <v>-195601.1814867825</v>
      </c>
      <c r="CG84" s="389">
        <f t="shared" ca="1" si="116"/>
        <v>-190227.24616975558</v>
      </c>
      <c r="CH84" s="389">
        <f t="shared" ca="1" si="116"/>
        <v>-197176.77370407688</v>
      </c>
      <c r="CI84" s="389">
        <f t="shared" ca="1" si="116"/>
        <v>-190516.65546661027</v>
      </c>
      <c r="CJ84" s="389">
        <f t="shared" ca="1" si="116"/>
        <v>-197948.90514849999</v>
      </c>
      <c r="CK84" s="389">
        <f t="shared" ca="1" si="116"/>
        <v>-199863.39708243535</v>
      </c>
      <c r="CL84" s="389">
        <f t="shared" ca="1" si="116"/>
        <v>-182182.72282530204</v>
      </c>
      <c r="CM84" s="389">
        <f t="shared" ca="1" si="116"/>
        <v>-203558.41229055665</v>
      </c>
      <c r="CN84" s="389">
        <f t="shared" ca="1" si="116"/>
        <v>-197810.65181934819</v>
      </c>
      <c r="CO84" s="389">
        <f t="shared" ca="1" si="116"/>
        <v>-204890.51970271641</v>
      </c>
      <c r="CP84" s="389">
        <f t="shared" ca="1" si="116"/>
        <v>-198639.88006292892</v>
      </c>
      <c r="CQ84" s="389">
        <f t="shared" ca="1" si="116"/>
        <v>-205524.42832434346</v>
      </c>
      <c r="CR84" s="389">
        <f t="shared" ca="1" si="116"/>
        <v>-206542.72607998142</v>
      </c>
      <c r="CS84" s="389">
        <f t="shared" ca="1" si="116"/>
        <v>-200869.08363849504</v>
      </c>
      <c r="CT84" s="389">
        <f t="shared" ca="1" si="116"/>
        <v>-208223.28101611888</v>
      </c>
      <c r="CU84" s="389">
        <f t="shared" ca="1" si="116"/>
        <v>-201242.43623347164</v>
      </c>
      <c r="CV84" s="389">
        <f t="shared" ca="1" si="116"/>
        <v>-209089.75765277477</v>
      </c>
      <c r="CW84" s="389">
        <f t="shared" ca="1" si="116"/>
        <v>-211111.99997937129</v>
      </c>
      <c r="CX84" s="389">
        <f t="shared" ca="1" si="116"/>
        <v>-192436.23164012082</v>
      </c>
      <c r="CY84" s="389">
        <f t="shared" ca="1" si="116"/>
        <v>-215014.97602164751</v>
      </c>
      <c r="CZ84" s="389">
        <f t="shared" ca="1" si="116"/>
        <v>-208641.14733578122</v>
      </c>
      <c r="DA84" s="389">
        <f t="shared" ca="1" si="116"/>
        <v>-216043.42480952782</v>
      </c>
      <c r="DB84" s="389">
        <f t="shared" ca="1" si="116"/>
        <v>-209391.82260925526</v>
      </c>
      <c r="DC84" s="389">
        <f t="shared" ca="1" si="116"/>
        <v>-216810.91960784749</v>
      </c>
      <c r="DD84" s="389">
        <f t="shared" ca="1" si="116"/>
        <v>-218030.4226759646</v>
      </c>
      <c r="DE84" s="389">
        <f t="shared" ca="1" si="116"/>
        <v>-212181.80669736228</v>
      </c>
      <c r="DF84" s="389">
        <f t="shared" ca="1" si="116"/>
        <v>-220105.96199805415</v>
      </c>
      <c r="DG84" s="389">
        <f t="shared" ca="1" si="116"/>
        <v>-212902.98521017795</v>
      </c>
      <c r="DH84" s="389">
        <f t="shared" ca="1" si="116"/>
        <v>-221349.58893066322</v>
      </c>
      <c r="DI84" s="389">
        <f t="shared" ca="1" si="116"/>
        <v>-223490.40401761583</v>
      </c>
      <c r="DJ84" s="389">
        <f t="shared" ca="1" si="116"/>
        <v>-211028.10170299819</v>
      </c>
      <c r="DK84" s="389">
        <f t="shared" ca="1" si="116"/>
        <v>-227692.91361838221</v>
      </c>
      <c r="DL84" s="389">
        <f t="shared" ca="1" si="116"/>
        <v>-221296.45884668705</v>
      </c>
      <c r="DM84" s="389">
        <f t="shared" ca="1" si="116"/>
        <v>-229318.02578148438</v>
      </c>
      <c r="DN84" s="389">
        <f t="shared" ca="1" si="116"/>
        <v>-222427.49235254864</v>
      </c>
      <c r="DO84" s="389">
        <f t="shared" ca="1" si="116"/>
        <v>-230294.45974564354</v>
      </c>
      <c r="DP84" s="389">
        <f t="shared" ca="1" si="116"/>
        <v>-231551.80863114967</v>
      </c>
      <c r="DQ84" s="389">
        <f t="shared" ca="1" si="116"/>
        <v>-225302.73898307278</v>
      </c>
      <c r="DR84" s="389">
        <f t="shared" ca="1" si="116"/>
        <v>-233689.98389611929</v>
      </c>
      <c r="DS84" s="389">
        <f t="shared" ca="1" si="116"/>
        <v>-226045.91409132842</v>
      </c>
      <c r="DT84" s="389">
        <f t="shared" ca="1" si="116"/>
        <v>-234971.2964699296</v>
      </c>
      <c r="DU84" s="389">
        <f t="shared" ca="1" si="116"/>
        <v>-237243.85590369126</v>
      </c>
      <c r="DV84" s="389">
        <f t="shared" ca="1" si="116"/>
        <v>-216256.36446217771</v>
      </c>
      <c r="DW84" s="389">
        <f t="shared" ca="1" si="116"/>
        <v>-241629.94994789441</v>
      </c>
      <c r="DX84" s="389">
        <f t="shared" ca="1" si="116"/>
        <v>-234782.81246796358</v>
      </c>
      <c r="DY84" s="389">
        <f t="shared" ca="1" si="116"/>
        <v>-243274.36181851212</v>
      </c>
      <c r="DZ84" s="389"/>
      <c r="EA84" s="389"/>
    </row>
    <row r="85" spans="1:131" s="390" customFormat="1">
      <c r="A85" s="389"/>
      <c r="B85" s="389"/>
      <c r="C85" s="389"/>
      <c r="D85" s="389" t="s">
        <v>129</v>
      </c>
      <c r="E85" s="389"/>
      <c r="F85" s="389"/>
      <c r="G85" s="807"/>
      <c r="H85" s="829"/>
      <c r="I85" s="713">
        <f t="shared" ref="I85:BT85" si="117">I77</f>
        <v>0</v>
      </c>
      <c r="J85" s="457">
        <f t="shared" ca="1" si="117"/>
        <v>0</v>
      </c>
      <c r="K85" s="457">
        <f t="shared" ca="1" si="117"/>
        <v>0</v>
      </c>
      <c r="L85" s="457">
        <f t="shared" ca="1" si="117"/>
        <v>0</v>
      </c>
      <c r="M85" s="457">
        <f t="shared" ca="1" si="117"/>
        <v>0</v>
      </c>
      <c r="N85" s="457">
        <f t="shared" ca="1" si="117"/>
        <v>0</v>
      </c>
      <c r="O85" s="457">
        <f t="shared" ca="1" si="117"/>
        <v>0</v>
      </c>
      <c r="P85" s="457">
        <f t="shared" ca="1" si="117"/>
        <v>0</v>
      </c>
      <c r="Q85" s="457">
        <f t="shared" ca="1" si="117"/>
        <v>0</v>
      </c>
      <c r="R85" s="457">
        <f t="shared" ca="1" si="117"/>
        <v>0</v>
      </c>
      <c r="S85" s="457">
        <f t="shared" ca="1" si="117"/>
        <v>0</v>
      </c>
      <c r="T85" s="457">
        <f t="shared" ca="1" si="117"/>
        <v>0</v>
      </c>
      <c r="U85" s="457">
        <f t="shared" ca="1" si="117"/>
        <v>0</v>
      </c>
      <c r="V85" s="457">
        <f t="shared" ca="1" si="117"/>
        <v>0</v>
      </c>
      <c r="W85" s="457">
        <f t="shared" ca="1" si="117"/>
        <v>0</v>
      </c>
      <c r="X85" s="457">
        <f t="shared" ca="1" si="117"/>
        <v>0</v>
      </c>
      <c r="Y85" s="457">
        <f t="shared" ca="1" si="117"/>
        <v>0</v>
      </c>
      <c r="Z85" s="457">
        <f t="shared" ca="1" si="117"/>
        <v>0</v>
      </c>
      <c r="AA85" s="457">
        <f t="shared" ca="1" si="117"/>
        <v>0</v>
      </c>
      <c r="AB85" s="457">
        <f t="shared" ca="1" si="117"/>
        <v>0</v>
      </c>
      <c r="AC85" s="457">
        <f t="shared" ca="1" si="117"/>
        <v>0</v>
      </c>
      <c r="AD85" s="457">
        <f t="shared" ca="1" si="117"/>
        <v>0</v>
      </c>
      <c r="AE85" s="457">
        <f t="shared" ca="1" si="117"/>
        <v>0</v>
      </c>
      <c r="AF85" s="457">
        <f t="shared" ca="1" si="117"/>
        <v>0</v>
      </c>
      <c r="AG85" s="457">
        <f t="shared" ca="1" si="117"/>
        <v>0</v>
      </c>
      <c r="AH85" s="457">
        <f ca="1">AH77</f>
        <v>0</v>
      </c>
      <c r="AI85" s="457">
        <f ca="1">AI77</f>
        <v>8282621.8027114943</v>
      </c>
      <c r="AJ85" s="457">
        <f t="shared" ca="1" si="117"/>
        <v>0</v>
      </c>
      <c r="AK85" s="457">
        <f t="shared" ca="1" si="117"/>
        <v>7859.725154927618</v>
      </c>
      <c r="AL85" s="457">
        <f t="shared" ca="1" si="117"/>
        <v>109154.5983063013</v>
      </c>
      <c r="AM85" s="457">
        <f t="shared" ca="1" si="117"/>
        <v>6526.5311953254632</v>
      </c>
      <c r="AN85" s="457">
        <f t="shared" ca="1" si="117"/>
        <v>0</v>
      </c>
      <c r="AO85" s="457">
        <f t="shared" ca="1" si="117"/>
        <v>0</v>
      </c>
      <c r="AP85" s="457">
        <f t="shared" ca="1" si="117"/>
        <v>0</v>
      </c>
      <c r="AQ85" s="457">
        <f t="shared" ca="1" si="117"/>
        <v>0</v>
      </c>
      <c r="AR85" s="457">
        <f t="shared" ca="1" si="117"/>
        <v>58873.429848790242</v>
      </c>
      <c r="AS85" s="457">
        <f t="shared" ca="1" si="117"/>
        <v>139791.69164142892</v>
      </c>
      <c r="AT85" s="457">
        <f t="shared" ca="1" si="117"/>
        <v>159769.65777109182</v>
      </c>
      <c r="AU85" s="457">
        <f t="shared" ca="1" si="117"/>
        <v>89759.594867420892</v>
      </c>
      <c r="AV85" s="457">
        <f t="shared" ca="1" si="117"/>
        <v>87185.795961210359</v>
      </c>
      <c r="AW85" s="457">
        <f t="shared" ca="1" si="117"/>
        <v>123455.35304279767</v>
      </c>
      <c r="AX85" s="457">
        <f t="shared" ca="1" si="117"/>
        <v>214792.55441089167</v>
      </c>
      <c r="AY85" s="457">
        <f t="shared" ca="1" si="117"/>
        <v>76942.031111739183</v>
      </c>
      <c r="AZ85" s="457">
        <f t="shared" ca="1" si="117"/>
        <v>0</v>
      </c>
      <c r="BA85" s="457">
        <f t="shared" ca="1" si="117"/>
        <v>0</v>
      </c>
      <c r="BB85" s="457">
        <f t="shared" ca="1" si="117"/>
        <v>0</v>
      </c>
      <c r="BC85" s="457">
        <f t="shared" ca="1" si="117"/>
        <v>95343.489281013433</v>
      </c>
      <c r="BD85" s="457">
        <f t="shared" ca="1" si="117"/>
        <v>140581.49538099623</v>
      </c>
      <c r="BE85" s="457">
        <f t="shared" ca="1" si="117"/>
        <v>152508.51249168252</v>
      </c>
      <c r="BF85" s="457">
        <f t="shared" ca="1" si="117"/>
        <v>160874.01105573258</v>
      </c>
      <c r="BG85" s="457">
        <f t="shared" ca="1" si="117"/>
        <v>89749.687736345368</v>
      </c>
      <c r="BH85" s="457">
        <f t="shared" ca="1" si="117"/>
        <v>87143.457497537223</v>
      </c>
      <c r="BI85" s="457">
        <f t="shared" ca="1" si="117"/>
        <v>123987.76392719038</v>
      </c>
      <c r="BJ85" s="457">
        <f t="shared" ca="1" si="117"/>
        <v>216730.57733726793</v>
      </c>
      <c r="BK85" s="457">
        <f t="shared" ca="1" si="117"/>
        <v>76772.469337475603</v>
      </c>
      <c r="BL85" s="457">
        <f t="shared" ca="1" si="117"/>
        <v>0</v>
      </c>
      <c r="BM85" s="457">
        <f t="shared" ca="1" si="117"/>
        <v>0</v>
      </c>
      <c r="BN85" s="457">
        <f t="shared" ca="1" si="117"/>
        <v>0</v>
      </c>
      <c r="BO85" s="457">
        <f t="shared" ca="1" si="117"/>
        <v>115146.09185555542</v>
      </c>
      <c r="BP85" s="457">
        <f t="shared" ca="1" si="117"/>
        <v>144143.81078301909</v>
      </c>
      <c r="BQ85" s="457">
        <f t="shared" ca="1" si="117"/>
        <v>156240.53107943202</v>
      </c>
      <c r="BR85" s="457">
        <f t="shared" ca="1" si="117"/>
        <v>164755.02266349838</v>
      </c>
      <c r="BS85" s="457">
        <f t="shared" ca="1" si="117"/>
        <v>92512.592360065391</v>
      </c>
      <c r="BT85" s="457">
        <f t="shared" ca="1" si="117"/>
        <v>89874.30132771896</v>
      </c>
      <c r="BU85" s="457">
        <f t="shared" ref="BU85:DY85" ca="1" si="118">BU77</f>
        <v>127295.19946494866</v>
      </c>
      <c r="BV85" s="457">
        <f t="shared" ca="1" si="118"/>
        <v>221445.75815829771</v>
      </c>
      <c r="BW85" s="457">
        <f t="shared" ca="1" si="118"/>
        <v>79377.675846796192</v>
      </c>
      <c r="BX85" s="457">
        <f t="shared" ca="1" si="118"/>
        <v>0</v>
      </c>
      <c r="BY85" s="457">
        <f t="shared" ca="1" si="118"/>
        <v>0</v>
      </c>
      <c r="BZ85" s="457">
        <f t="shared" ca="1" si="118"/>
        <v>0</v>
      </c>
      <c r="CA85" s="457">
        <f t="shared" ca="1" si="118"/>
        <v>106604.99152433057</v>
      </c>
      <c r="CB85" s="457">
        <f t="shared" ca="1" si="118"/>
        <v>147563.4590823171</v>
      </c>
      <c r="CC85" s="457">
        <f t="shared" ca="1" si="118"/>
        <v>159829.33044020113</v>
      </c>
      <c r="CD85" s="457">
        <f t="shared" ca="1" si="118"/>
        <v>168494.10933132426</v>
      </c>
      <c r="CE85" s="457">
        <f t="shared" ca="1" si="118"/>
        <v>95130.49751579015</v>
      </c>
      <c r="CF85" s="457">
        <f t="shared" ca="1" si="118"/>
        <v>92460.567649508375</v>
      </c>
      <c r="CG85" s="457">
        <f t="shared" ca="1" si="118"/>
        <v>130459.49312098254</v>
      </c>
      <c r="CH85" s="457">
        <f t="shared" ca="1" si="118"/>
        <v>226018.79328252989</v>
      </c>
      <c r="CI85" s="457">
        <f t="shared" ca="1" si="118"/>
        <v>81840.100497816791</v>
      </c>
      <c r="CJ85" s="457">
        <f t="shared" ca="1" si="118"/>
        <v>0</v>
      </c>
      <c r="CK85" s="457">
        <f t="shared" ca="1" si="118"/>
        <v>0</v>
      </c>
      <c r="CL85" s="457">
        <f t="shared" ca="1" si="118"/>
        <v>0</v>
      </c>
      <c r="CM85" s="457">
        <f t="shared" ca="1" si="118"/>
        <v>112807.25230762165</v>
      </c>
      <c r="CN85" s="457">
        <f t="shared" ca="1" si="118"/>
        <v>150828.55782341232</v>
      </c>
      <c r="CO85" s="457">
        <f t="shared" ca="1" si="118"/>
        <v>163262.84225818858</v>
      </c>
      <c r="CP85" s="457">
        <f t="shared" ca="1" si="118"/>
        <v>174724.57172044981</v>
      </c>
      <c r="CQ85" s="457">
        <f t="shared" ca="1" si="118"/>
        <v>100237.52568936143</v>
      </c>
      <c r="CR85" s="457">
        <f t="shared" ca="1" si="118"/>
        <v>97536.433121037247</v>
      </c>
      <c r="CS85" s="457">
        <f t="shared" ca="1" si="118"/>
        <v>136114.38875848716</v>
      </c>
      <c r="CT85" s="457">
        <f t="shared" ca="1" si="118"/>
        <v>233082.21937350102</v>
      </c>
      <c r="CU85" s="457">
        <f t="shared" ca="1" si="118"/>
        <v>86794.140761263741</v>
      </c>
      <c r="CV85" s="457">
        <f t="shared" ca="1" si="118"/>
        <v>0</v>
      </c>
      <c r="CW85" s="457">
        <f t="shared" ca="1" si="118"/>
        <v>0</v>
      </c>
      <c r="CX85" s="457">
        <f t="shared" ca="1" si="118"/>
        <v>0</v>
      </c>
      <c r="CY85" s="457">
        <f t="shared" ca="1" si="118"/>
        <v>151488.89944722891</v>
      </c>
      <c r="CZ85" s="457">
        <f t="shared" ca="1" si="118"/>
        <v>165830.75523480636</v>
      </c>
      <c r="DA85" s="457">
        <f t="shared" ca="1" si="118"/>
        <v>178638.06820262584</v>
      </c>
      <c r="DB85" s="457">
        <f t="shared" ca="1" si="118"/>
        <v>167442.04987787068</v>
      </c>
      <c r="DC85" s="457">
        <f t="shared" ca="1" si="118"/>
        <v>90720.392465850004</v>
      </c>
      <c r="DD85" s="457">
        <f t="shared" ca="1" si="118"/>
        <v>87938.267120476201</v>
      </c>
      <c r="DE85" s="457">
        <f t="shared" ca="1" si="118"/>
        <v>127673.56142704944</v>
      </c>
      <c r="DF85" s="457">
        <f t="shared" ca="1" si="118"/>
        <v>227550.42696051361</v>
      </c>
      <c r="DG85" s="457">
        <f t="shared" ca="1" si="118"/>
        <v>76873.705989909198</v>
      </c>
      <c r="DH85" s="457">
        <f t="shared" ca="1" si="118"/>
        <v>0</v>
      </c>
      <c r="DI85" s="457">
        <f t="shared" ca="1" si="118"/>
        <v>0</v>
      </c>
      <c r="DJ85" s="457">
        <f t="shared" ca="1" si="118"/>
        <v>0</v>
      </c>
      <c r="DK85" s="457">
        <f t="shared" ca="1" si="118"/>
        <v>122679.47158351005</v>
      </c>
      <c r="DL85" s="457">
        <f t="shared" ca="1" si="118"/>
        <v>158281.41889765786</v>
      </c>
      <c r="DM85" s="457">
        <f t="shared" ca="1" si="118"/>
        <v>171472.95125451233</v>
      </c>
      <c r="DN85" s="457">
        <f t="shared" ca="1" si="118"/>
        <v>179314.17121900115</v>
      </c>
      <c r="DO85" s="457">
        <f t="shared" ca="1" si="118"/>
        <v>100290.86408461993</v>
      </c>
      <c r="DP85" s="457">
        <f t="shared" ca="1" si="118"/>
        <v>97425.274978884583</v>
      </c>
      <c r="DQ85" s="457">
        <f t="shared" ca="1" si="118"/>
        <v>138352.62811465538</v>
      </c>
      <c r="DR85" s="457">
        <f t="shared" ca="1" si="118"/>
        <v>241225.79961412365</v>
      </c>
      <c r="DS85" s="457">
        <f t="shared" ca="1" si="118"/>
        <v>86028.77701440097</v>
      </c>
      <c r="DT85" s="457">
        <f t="shared" ca="1" si="118"/>
        <v>0</v>
      </c>
      <c r="DU85" s="457">
        <f t="shared" ca="1" si="118"/>
        <v>0</v>
      </c>
      <c r="DV85" s="457">
        <f t="shared" ca="1" si="118"/>
        <v>0</v>
      </c>
      <c r="DW85" s="457">
        <f t="shared" ca="1" si="118"/>
        <v>136510.06574666966</v>
      </c>
      <c r="DX85" s="457">
        <f t="shared" ca="1" si="118"/>
        <v>169878.72130938232</v>
      </c>
      <c r="DY85" s="457">
        <f t="shared" ca="1" si="118"/>
        <v>14751196.891375689</v>
      </c>
      <c r="DZ85" s="389"/>
      <c r="EA85" s="389"/>
    </row>
    <row r="86" spans="1:131" s="390" customFormat="1">
      <c r="A86" s="389"/>
      <c r="B86" s="389"/>
      <c r="C86" s="389"/>
      <c r="D86" s="389" t="s">
        <v>115</v>
      </c>
      <c r="E86" s="389"/>
      <c r="F86" s="389"/>
      <c r="G86" s="796"/>
      <c r="H86" s="829"/>
      <c r="I86" s="703">
        <f t="shared" ref="I86:BT86" si="119">SUM(I82:I85)</f>
        <v>0</v>
      </c>
      <c r="J86" s="389">
        <f t="shared" ca="1" si="119"/>
        <v>-4680000</v>
      </c>
      <c r="K86" s="389">
        <f t="shared" ca="1" si="119"/>
        <v>-5077301.0143801169</v>
      </c>
      <c r="L86" s="389">
        <f t="shared" ca="1" si="119"/>
        <v>-7602070.4770321222</v>
      </c>
      <c r="M86" s="389">
        <f t="shared" ca="1" si="119"/>
        <v>-10148875.796580048</v>
      </c>
      <c r="N86" s="389">
        <f t="shared" ca="1" si="119"/>
        <v>-12722695.740241725</v>
      </c>
      <c r="O86" s="389">
        <f t="shared" ca="1" si="119"/>
        <v>-15317420.911336716</v>
      </c>
      <c r="P86" s="389">
        <f t="shared" ca="1" si="119"/>
        <v>-17941229.198833685</v>
      </c>
      <c r="Q86" s="389">
        <f t="shared" ca="1" si="119"/>
        <v>-20498726.636434563</v>
      </c>
      <c r="R86" s="389">
        <f t="shared" ca="1" si="119"/>
        <v>-20684134.680169336</v>
      </c>
      <c r="S86" s="389">
        <f t="shared" ca="1" si="119"/>
        <v>-20884184.329223517</v>
      </c>
      <c r="T86" s="389">
        <f t="shared" ca="1" si="119"/>
        <v>-21079622.769120339</v>
      </c>
      <c r="U86" s="389">
        <f t="shared" ca="1" si="119"/>
        <v>-21283497.439362168</v>
      </c>
      <c r="V86" s="389">
        <f t="shared" ca="1" si="119"/>
        <v>-21482672.732470278</v>
      </c>
      <c r="W86" s="389">
        <f t="shared" ca="1" si="119"/>
        <v>-21690445.559679568</v>
      </c>
      <c r="X86" s="389">
        <f t="shared" ca="1" si="119"/>
        <v>-21900227.892329086</v>
      </c>
      <c r="Y86" s="389">
        <f t="shared" ca="1" si="119"/>
        <v>-22105174.674314357</v>
      </c>
      <c r="Z86" s="389">
        <f t="shared" ca="1" si="119"/>
        <v>-22318968.120559786</v>
      </c>
      <c r="AA86" s="389">
        <f t="shared" ca="1" si="119"/>
        <v>-22527833.558674373</v>
      </c>
      <c r="AB86" s="389">
        <f t="shared" ca="1" si="119"/>
        <v>-22745714.812449254</v>
      </c>
      <c r="AC86" s="389">
        <f t="shared" ca="1" si="119"/>
        <v>-22965703.336797796</v>
      </c>
      <c r="AD86" s="389">
        <f t="shared" ca="1" si="119"/>
        <v>-23166230.841789655</v>
      </c>
      <c r="AE86" s="389">
        <f t="shared" ca="1" si="119"/>
        <v>-23390286.448730338</v>
      </c>
      <c r="AF86" s="389">
        <f t="shared" ca="1" si="119"/>
        <v>-23609177.501414776</v>
      </c>
      <c r="AG86" s="389">
        <f t="shared" ca="1" si="119"/>
        <v>-23837517.132085621</v>
      </c>
      <c r="AH86" s="389">
        <f t="shared" ca="1" si="119"/>
        <v>-24060593.460366707</v>
      </c>
      <c r="AI86" s="389">
        <f t="shared" ca="1" si="119"/>
        <v>-16010677.224129617</v>
      </c>
      <c r="AJ86" s="389">
        <f t="shared" ca="1" si="119"/>
        <v>-16165526.842415931</v>
      </c>
      <c r="AK86" s="389">
        <f t="shared" ca="1" si="119"/>
        <v>-16308947.401728278</v>
      </c>
      <c r="AL86" s="389">
        <f t="shared" ca="1" si="119"/>
        <v>-16357527.185575601</v>
      </c>
      <c r="AM86" s="389">
        <f t="shared" ca="1" si="119"/>
        <v>-16504077.717066668</v>
      </c>
      <c r="AN86" s="389">
        <f t="shared" ca="1" si="119"/>
        <v>-16663699.330748556</v>
      </c>
      <c r="AO86" s="389">
        <f t="shared" ca="1" si="119"/>
        <v>-16824864.748330984</v>
      </c>
      <c r="AP86" s="389">
        <f t="shared" ca="1" si="119"/>
        <v>-16971772.861717712</v>
      </c>
      <c r="AQ86" s="389">
        <f t="shared" ca="1" si="119"/>
        <v>-17135917.857740629</v>
      </c>
      <c r="AR86" s="389">
        <f t="shared" ca="1" si="119"/>
        <v>-17237405.828630414</v>
      </c>
      <c r="AS86" s="389">
        <f t="shared" ca="1" si="119"/>
        <v>-17264328.241298512</v>
      </c>
      <c r="AT86" s="389">
        <f t="shared" ca="1" si="119"/>
        <v>-17266121.674723879</v>
      </c>
      <c r="AU86" s="389">
        <f t="shared" ca="1" si="119"/>
        <v>-17343353.913692605</v>
      </c>
      <c r="AV86" s="389">
        <f t="shared" ca="1" si="119"/>
        <v>-17423906.914519597</v>
      </c>
      <c r="AW86" s="389">
        <f t="shared" ca="1" si="119"/>
        <v>-17463508.022318128</v>
      </c>
      <c r="AX86" s="389">
        <f t="shared" ca="1" si="119"/>
        <v>-17417616.352819238</v>
      </c>
      <c r="AY86" s="389">
        <f t="shared" ca="1" si="119"/>
        <v>-17503671.914194409</v>
      </c>
      <c r="AZ86" s="389">
        <f t="shared" ca="1" si="119"/>
        <v>-17672961.250090644</v>
      </c>
      <c r="BA86" s="389">
        <f t="shared" ca="1" si="119"/>
        <v>-17843887.892683934</v>
      </c>
      <c r="BB86" s="389">
        <f t="shared" ca="1" si="119"/>
        <v>-17999693.716089353</v>
      </c>
      <c r="BC86" s="389">
        <f t="shared" ca="1" si="119"/>
        <v>-18078436.910475057</v>
      </c>
      <c r="BD86" s="389">
        <f t="shared" ca="1" si="119"/>
        <v>-18107037.100615397</v>
      </c>
      <c r="BE86" s="389">
        <f t="shared" ca="1" si="119"/>
        <v>-18129653.459112979</v>
      </c>
      <c r="BF86" s="389">
        <f t="shared" ca="1" si="119"/>
        <v>-18138440.428446166</v>
      </c>
      <c r="BG86" s="389">
        <f t="shared" ca="1" si="119"/>
        <v>-18224119.33360038</v>
      </c>
      <c r="BH86" s="389">
        <f t="shared" ca="1" si="119"/>
        <v>-18313233.125119094</v>
      </c>
      <c r="BI86" s="389">
        <f t="shared" ca="1" si="119"/>
        <v>-18360624.317392349</v>
      </c>
      <c r="BJ86" s="389">
        <f t="shared" ca="1" si="119"/>
        <v>-18321471.217087828</v>
      </c>
      <c r="BK86" s="389">
        <f t="shared" ca="1" si="119"/>
        <v>-18416154.79768914</v>
      </c>
      <c r="BL86" s="389">
        <f t="shared" ca="1" si="119"/>
        <v>-18594269.345924862</v>
      </c>
      <c r="BM86" s="389">
        <f t="shared" ca="1" si="119"/>
        <v>-18774106.555196058</v>
      </c>
      <c r="BN86" s="389">
        <f t="shared" ca="1" si="119"/>
        <v>-18943915.657537088</v>
      </c>
      <c r="BO86" s="389">
        <f t="shared" ca="1" si="119"/>
        <v>-19011988.430652261</v>
      </c>
      <c r="BP86" s="389">
        <f t="shared" ca="1" si="119"/>
        <v>-19045762.670181781</v>
      </c>
      <c r="BQ86" s="389">
        <f t="shared" ca="1" si="119"/>
        <v>-19073726.03242702</v>
      </c>
      <c r="BR86" s="389">
        <f t="shared" ca="1" si="119"/>
        <v>-19087466.813096412</v>
      </c>
      <c r="BS86" s="389">
        <f t="shared" ca="1" si="119"/>
        <v>-19179561.461809583</v>
      </c>
      <c r="BT86" s="389">
        <f t="shared" ca="1" si="119"/>
        <v>-19275185.108487718</v>
      </c>
      <c r="BU86" s="389">
        <f t="shared" ref="BU86:DY86" ca="1" si="120">SUM(BU82:BU85)</f>
        <v>-19328271.007318955</v>
      </c>
      <c r="BV86" s="389">
        <f t="shared" ca="1" si="120"/>
        <v>-19293761.463395685</v>
      </c>
      <c r="BW86" s="389">
        <f t="shared" ca="1" si="120"/>
        <v>-19394938.727148373</v>
      </c>
      <c r="BX86" s="389">
        <f t="shared" ca="1" si="120"/>
        <v>-19582519.728035647</v>
      </c>
      <c r="BY86" s="389">
        <f t="shared" ca="1" si="120"/>
        <v>-19771914.946146753</v>
      </c>
      <c r="BZ86" s="389">
        <f t="shared" ca="1" si="120"/>
        <v>-19944555.544821963</v>
      </c>
      <c r="CA86" s="389">
        <f t="shared" ca="1" si="120"/>
        <v>-20030847.254028775</v>
      </c>
      <c r="CB86" s="389">
        <f t="shared" ca="1" si="120"/>
        <v>-20070736.533125028</v>
      </c>
      <c r="CC86" s="389">
        <f t="shared" ca="1" si="120"/>
        <v>-20105024.281392504</v>
      </c>
      <c r="CD86" s="389">
        <f t="shared" ca="1" si="120"/>
        <v>-20124677.073932022</v>
      </c>
      <c r="CE86" s="389">
        <f t="shared" ca="1" si="120"/>
        <v>-20224185.348993391</v>
      </c>
      <c r="CF86" s="389">
        <f t="shared" ca="1" si="120"/>
        <v>-20327325.962830663</v>
      </c>
      <c r="CG86" s="389">
        <f t="shared" ca="1" si="120"/>
        <v>-20387093.715879437</v>
      </c>
      <c r="CH86" s="389">
        <f t="shared" ca="1" si="120"/>
        <v>-20358251.696300983</v>
      </c>
      <c r="CI86" s="389">
        <f t="shared" ca="1" si="120"/>
        <v>-20466928.251269776</v>
      </c>
      <c r="CJ86" s="389">
        <f t="shared" ca="1" si="120"/>
        <v>-20664877.156418275</v>
      </c>
      <c r="CK86" s="389">
        <f t="shared" ca="1" si="120"/>
        <v>-20864740.553500712</v>
      </c>
      <c r="CL86" s="389">
        <f t="shared" ca="1" si="120"/>
        <v>-21046923.276326016</v>
      </c>
      <c r="CM86" s="389">
        <f t="shared" ca="1" si="120"/>
        <v>-21137674.436308954</v>
      </c>
      <c r="CN86" s="389">
        <f t="shared" ca="1" si="120"/>
        <v>-21184656.53030489</v>
      </c>
      <c r="CO86" s="389">
        <f t="shared" ca="1" si="120"/>
        <v>-21226284.207749419</v>
      </c>
      <c r="CP86" s="389">
        <f t="shared" ca="1" si="120"/>
        <v>-21250199.516091898</v>
      </c>
      <c r="CQ86" s="389">
        <f t="shared" ca="1" si="120"/>
        <v>-21355486.41872688</v>
      </c>
      <c r="CR86" s="389">
        <f t="shared" ca="1" si="120"/>
        <v>-21464492.711685825</v>
      </c>
      <c r="CS86" s="389">
        <f t="shared" ca="1" si="120"/>
        <v>-21529247.406565834</v>
      </c>
      <c r="CT86" s="389">
        <f t="shared" ca="1" si="120"/>
        <v>-21504388.468208451</v>
      </c>
      <c r="CU86" s="389">
        <f t="shared" ca="1" si="120"/>
        <v>-21618836.763680659</v>
      </c>
      <c r="CV86" s="389">
        <f t="shared" ca="1" si="120"/>
        <v>-21827926.521333434</v>
      </c>
      <c r="CW86" s="389">
        <f t="shared" ca="1" si="120"/>
        <v>-22039038.521312807</v>
      </c>
      <c r="CX86" s="389">
        <f t="shared" ca="1" si="120"/>
        <v>-22231474.752952926</v>
      </c>
      <c r="CY86" s="389">
        <f t="shared" ca="1" si="120"/>
        <v>-22295000.829527345</v>
      </c>
      <c r="CZ86" s="389">
        <f t="shared" ca="1" si="120"/>
        <v>-22337811.221628319</v>
      </c>
      <c r="DA86" s="389">
        <f t="shared" ca="1" si="120"/>
        <v>-22375216.57823522</v>
      </c>
      <c r="DB86" s="389">
        <f t="shared" ca="1" si="120"/>
        <v>-22417166.350966606</v>
      </c>
      <c r="DC86" s="389">
        <f t="shared" ca="1" si="120"/>
        <v>-22543256.878108606</v>
      </c>
      <c r="DD86" s="389">
        <f t="shared" ca="1" si="120"/>
        <v>-22673349.033664092</v>
      </c>
      <c r="DE86" s="389">
        <f t="shared" ca="1" si="120"/>
        <v>-22757857.278934404</v>
      </c>
      <c r="DF86" s="389">
        <f t="shared" ca="1" si="120"/>
        <v>-22750412.813971944</v>
      </c>
      <c r="DG86" s="389">
        <f t="shared" ca="1" si="120"/>
        <v>-22886442.093192212</v>
      </c>
      <c r="DH86" s="389">
        <f t="shared" ca="1" si="120"/>
        <v>-23107791.682122875</v>
      </c>
      <c r="DI86" s="389">
        <f t="shared" ca="1" si="120"/>
        <v>-23331282.086140491</v>
      </c>
      <c r="DJ86" s="389">
        <f t="shared" ca="1" si="120"/>
        <v>-23542310.18784349</v>
      </c>
      <c r="DK86" s="389">
        <f t="shared" ca="1" si="120"/>
        <v>-23647323.629878361</v>
      </c>
      <c r="DL86" s="389">
        <f t="shared" ca="1" si="120"/>
        <v>-23710338.66982739</v>
      </c>
      <c r="DM86" s="389">
        <f t="shared" ca="1" si="120"/>
        <v>-23768183.744354364</v>
      </c>
      <c r="DN86" s="389">
        <f t="shared" ca="1" si="120"/>
        <v>-23811297.06548791</v>
      </c>
      <c r="DO86" s="389">
        <f t="shared" ca="1" si="120"/>
        <v>-23941300.661148932</v>
      </c>
      <c r="DP86" s="389">
        <f t="shared" ca="1" si="120"/>
        <v>-24075427.194801196</v>
      </c>
      <c r="DQ86" s="389">
        <f t="shared" ca="1" si="120"/>
        <v>-24162377.305669613</v>
      </c>
      <c r="DR86" s="389">
        <f t="shared" ca="1" si="120"/>
        <v>-24154841.489951607</v>
      </c>
      <c r="DS86" s="389">
        <f t="shared" ca="1" si="120"/>
        <v>-24294858.627028536</v>
      </c>
      <c r="DT86" s="389">
        <f t="shared" ca="1" si="120"/>
        <v>-24529829.923498467</v>
      </c>
      <c r="DU86" s="389">
        <f t="shared" ca="1" si="120"/>
        <v>-24767073.779402159</v>
      </c>
      <c r="DV86" s="389">
        <f t="shared" ca="1" si="120"/>
        <v>-24983330.143864337</v>
      </c>
      <c r="DW86" s="389">
        <f t="shared" ca="1" si="120"/>
        <v>-25088450.028065562</v>
      </c>
      <c r="DX86" s="389">
        <f t="shared" ca="1" si="120"/>
        <v>-25153354.119224142</v>
      </c>
      <c r="DY86" s="389">
        <f t="shared" ca="1" si="120"/>
        <v>-10645431.589666964</v>
      </c>
      <c r="DZ86" s="389"/>
      <c r="EA86" s="389"/>
    </row>
    <row r="87" spans="1:131" s="390" customFormat="1">
      <c r="A87" s="389"/>
      <c r="B87" s="389"/>
      <c r="C87" s="389"/>
      <c r="D87" s="389" t="s">
        <v>130</v>
      </c>
      <c r="E87" s="389"/>
      <c r="F87" s="389"/>
      <c r="G87" s="796">
        <f t="shared" ref="G87" ca="1" si="121">SUM(I87:DY87)</f>
        <v>10645431.589666964</v>
      </c>
      <c r="H87" s="829"/>
      <c r="I87" s="703">
        <f t="shared" ref="I87:AN87" si="122">MIN(-I86,I31*($J$10))</f>
        <v>0</v>
      </c>
      <c r="J87" s="389">
        <f t="shared" ca="1" si="122"/>
        <v>0</v>
      </c>
      <c r="K87" s="389">
        <f t="shared" ca="1" si="122"/>
        <v>0</v>
      </c>
      <c r="L87" s="389">
        <f t="shared" ca="1" si="122"/>
        <v>0</v>
      </c>
      <c r="M87" s="389">
        <f t="shared" ca="1" si="122"/>
        <v>0</v>
      </c>
      <c r="N87" s="389">
        <f t="shared" ca="1" si="122"/>
        <v>0</v>
      </c>
      <c r="O87" s="389">
        <f t="shared" ca="1" si="122"/>
        <v>0</v>
      </c>
      <c r="P87" s="389">
        <f t="shared" ca="1" si="122"/>
        <v>0</v>
      </c>
      <c r="Q87" s="389">
        <f t="shared" ca="1" si="122"/>
        <v>0</v>
      </c>
      <c r="R87" s="389">
        <f t="shared" ca="1" si="122"/>
        <v>0</v>
      </c>
      <c r="S87" s="389">
        <f t="shared" ca="1" si="122"/>
        <v>0</v>
      </c>
      <c r="T87" s="389">
        <f t="shared" ca="1" si="122"/>
        <v>0</v>
      </c>
      <c r="U87" s="389">
        <f t="shared" ca="1" si="122"/>
        <v>0</v>
      </c>
      <c r="V87" s="389">
        <f t="shared" ca="1" si="122"/>
        <v>0</v>
      </c>
      <c r="W87" s="389">
        <f t="shared" ca="1" si="122"/>
        <v>0</v>
      </c>
      <c r="X87" s="389">
        <f t="shared" ca="1" si="122"/>
        <v>0</v>
      </c>
      <c r="Y87" s="389">
        <f t="shared" ca="1" si="122"/>
        <v>0</v>
      </c>
      <c r="Z87" s="389">
        <f t="shared" ca="1" si="122"/>
        <v>0</v>
      </c>
      <c r="AA87" s="389">
        <f t="shared" ca="1" si="122"/>
        <v>0</v>
      </c>
      <c r="AB87" s="389">
        <f t="shared" ca="1" si="122"/>
        <v>0</v>
      </c>
      <c r="AC87" s="389">
        <f t="shared" ca="1" si="122"/>
        <v>0</v>
      </c>
      <c r="AD87" s="389">
        <f t="shared" ca="1" si="122"/>
        <v>0</v>
      </c>
      <c r="AE87" s="389">
        <f t="shared" ca="1" si="122"/>
        <v>0</v>
      </c>
      <c r="AF87" s="389">
        <f t="shared" ca="1" si="122"/>
        <v>0</v>
      </c>
      <c r="AG87" s="389">
        <f t="shared" ca="1" si="122"/>
        <v>0</v>
      </c>
      <c r="AH87" s="389">
        <f t="shared" ca="1" si="122"/>
        <v>0</v>
      </c>
      <c r="AI87" s="389">
        <f t="shared" ca="1" si="122"/>
        <v>0</v>
      </c>
      <c r="AJ87" s="389">
        <f t="shared" ca="1" si="122"/>
        <v>0</v>
      </c>
      <c r="AK87" s="389">
        <f t="shared" ca="1" si="122"/>
        <v>0</v>
      </c>
      <c r="AL87" s="389">
        <f t="shared" ca="1" si="122"/>
        <v>0</v>
      </c>
      <c r="AM87" s="389">
        <f t="shared" ca="1" si="122"/>
        <v>0</v>
      </c>
      <c r="AN87" s="389">
        <f t="shared" ca="1" si="122"/>
        <v>0</v>
      </c>
      <c r="AO87" s="389">
        <f t="shared" ref="AO87:BT87" ca="1" si="123">MIN(-AO86,AO31*($J$10))</f>
        <v>0</v>
      </c>
      <c r="AP87" s="389">
        <f t="shared" ca="1" si="123"/>
        <v>0</v>
      </c>
      <c r="AQ87" s="389">
        <f t="shared" ca="1" si="123"/>
        <v>0</v>
      </c>
      <c r="AR87" s="389">
        <f t="shared" ca="1" si="123"/>
        <v>0</v>
      </c>
      <c r="AS87" s="389">
        <f t="shared" ca="1" si="123"/>
        <v>0</v>
      </c>
      <c r="AT87" s="389">
        <f t="shared" ca="1" si="123"/>
        <v>0</v>
      </c>
      <c r="AU87" s="389">
        <f t="shared" ca="1" si="123"/>
        <v>0</v>
      </c>
      <c r="AV87" s="389">
        <f t="shared" ca="1" si="123"/>
        <v>0</v>
      </c>
      <c r="AW87" s="389">
        <f t="shared" ca="1" si="123"/>
        <v>0</v>
      </c>
      <c r="AX87" s="389">
        <f t="shared" ca="1" si="123"/>
        <v>0</v>
      </c>
      <c r="AY87" s="389">
        <f t="shared" ca="1" si="123"/>
        <v>0</v>
      </c>
      <c r="AZ87" s="389">
        <f t="shared" ca="1" si="123"/>
        <v>0</v>
      </c>
      <c r="BA87" s="389">
        <f t="shared" ca="1" si="123"/>
        <v>0</v>
      </c>
      <c r="BB87" s="389">
        <f t="shared" ca="1" si="123"/>
        <v>0</v>
      </c>
      <c r="BC87" s="389">
        <f t="shared" ca="1" si="123"/>
        <v>0</v>
      </c>
      <c r="BD87" s="389">
        <f t="shared" ca="1" si="123"/>
        <v>-2.0954757928848269E-11</v>
      </c>
      <c r="BE87" s="389">
        <f t="shared" ca="1" si="123"/>
        <v>0</v>
      </c>
      <c r="BF87" s="389">
        <f t="shared" ca="1" si="123"/>
        <v>0</v>
      </c>
      <c r="BG87" s="389">
        <f t="shared" ca="1" si="123"/>
        <v>0</v>
      </c>
      <c r="BH87" s="389">
        <f t="shared" ca="1" si="123"/>
        <v>0</v>
      </c>
      <c r="BI87" s="389">
        <f t="shared" ca="1" si="123"/>
        <v>0</v>
      </c>
      <c r="BJ87" s="389">
        <f t="shared" ca="1" si="123"/>
        <v>0</v>
      </c>
      <c r="BK87" s="389">
        <f t="shared" ca="1" si="123"/>
        <v>0</v>
      </c>
      <c r="BL87" s="389">
        <f t="shared" ca="1" si="123"/>
        <v>0</v>
      </c>
      <c r="BM87" s="389">
        <f t="shared" ca="1" si="123"/>
        <v>0</v>
      </c>
      <c r="BN87" s="389">
        <f t="shared" ca="1" si="123"/>
        <v>0</v>
      </c>
      <c r="BO87" s="389">
        <f t="shared" ca="1" si="123"/>
        <v>0</v>
      </c>
      <c r="BP87" s="389">
        <f t="shared" ca="1" si="123"/>
        <v>-2.0954757928848269E-11</v>
      </c>
      <c r="BQ87" s="389">
        <f t="shared" ca="1" si="123"/>
        <v>0</v>
      </c>
      <c r="BR87" s="389">
        <f t="shared" ca="1" si="123"/>
        <v>0</v>
      </c>
      <c r="BS87" s="389">
        <f t="shared" ca="1" si="123"/>
        <v>0</v>
      </c>
      <c r="BT87" s="389">
        <f t="shared" ca="1" si="123"/>
        <v>0</v>
      </c>
      <c r="BU87" s="389">
        <f t="shared" ref="BU87:CZ87" ca="1" si="124">MIN(-BU86,BU31*($J$10))</f>
        <v>0</v>
      </c>
      <c r="BV87" s="389">
        <f t="shared" ca="1" si="124"/>
        <v>0</v>
      </c>
      <c r="BW87" s="389">
        <f t="shared" ca="1" si="124"/>
        <v>0</v>
      </c>
      <c r="BX87" s="389">
        <f t="shared" ca="1" si="124"/>
        <v>0</v>
      </c>
      <c r="BY87" s="389">
        <f t="shared" ca="1" si="124"/>
        <v>0</v>
      </c>
      <c r="BZ87" s="389">
        <f t="shared" ca="1" si="124"/>
        <v>0</v>
      </c>
      <c r="CA87" s="389">
        <f t="shared" ca="1" si="124"/>
        <v>0</v>
      </c>
      <c r="CB87" s="389">
        <f t="shared" ca="1" si="124"/>
        <v>0</v>
      </c>
      <c r="CC87" s="389">
        <f t="shared" ca="1" si="124"/>
        <v>-2.0954757928848269E-11</v>
      </c>
      <c r="CD87" s="389">
        <f t="shared" ca="1" si="124"/>
        <v>0</v>
      </c>
      <c r="CE87" s="389">
        <f t="shared" ca="1" si="124"/>
        <v>0</v>
      </c>
      <c r="CF87" s="389">
        <f t="shared" ca="1" si="124"/>
        <v>0</v>
      </c>
      <c r="CG87" s="389">
        <f t="shared" ca="1" si="124"/>
        <v>0</v>
      </c>
      <c r="CH87" s="389">
        <f t="shared" ca="1" si="124"/>
        <v>0</v>
      </c>
      <c r="CI87" s="389">
        <f t="shared" ca="1" si="124"/>
        <v>0</v>
      </c>
      <c r="CJ87" s="389">
        <f t="shared" ca="1" si="124"/>
        <v>0</v>
      </c>
      <c r="CK87" s="389">
        <f t="shared" ca="1" si="124"/>
        <v>0</v>
      </c>
      <c r="CL87" s="389">
        <f t="shared" ca="1" si="124"/>
        <v>0</v>
      </c>
      <c r="CM87" s="389">
        <f t="shared" ca="1" si="124"/>
        <v>0</v>
      </c>
      <c r="CN87" s="389">
        <f t="shared" ca="1" si="124"/>
        <v>0</v>
      </c>
      <c r="CO87" s="389">
        <f t="shared" ca="1" si="124"/>
        <v>0</v>
      </c>
      <c r="CP87" s="389">
        <f t="shared" ca="1" si="124"/>
        <v>0</v>
      </c>
      <c r="CQ87" s="389">
        <f t="shared" ca="1" si="124"/>
        <v>0</v>
      </c>
      <c r="CR87" s="389">
        <f t="shared" ca="1" si="124"/>
        <v>0</v>
      </c>
      <c r="CS87" s="389">
        <f t="shared" ca="1" si="124"/>
        <v>0</v>
      </c>
      <c r="CT87" s="389">
        <f t="shared" ca="1" si="124"/>
        <v>0</v>
      </c>
      <c r="CU87" s="389">
        <f t="shared" ca="1" si="124"/>
        <v>0</v>
      </c>
      <c r="CV87" s="389">
        <f t="shared" ca="1" si="124"/>
        <v>0</v>
      </c>
      <c r="CW87" s="389">
        <f t="shared" ca="1" si="124"/>
        <v>0</v>
      </c>
      <c r="CX87" s="389">
        <f t="shared" ca="1" si="124"/>
        <v>0</v>
      </c>
      <c r="CY87" s="389">
        <f t="shared" ca="1" si="124"/>
        <v>-2.0954757928848269E-11</v>
      </c>
      <c r="CZ87" s="389">
        <f t="shared" ca="1" si="124"/>
        <v>0</v>
      </c>
      <c r="DA87" s="389">
        <f t="shared" ref="DA87:DY87" ca="1" si="125">MIN(-DA86,DA31*($J$10))</f>
        <v>0</v>
      </c>
      <c r="DB87" s="389">
        <f t="shared" ca="1" si="125"/>
        <v>0</v>
      </c>
      <c r="DC87" s="389">
        <f t="shared" ca="1" si="125"/>
        <v>0</v>
      </c>
      <c r="DD87" s="389">
        <f t="shared" ca="1" si="125"/>
        <v>0</v>
      </c>
      <c r="DE87" s="389">
        <f t="shared" ca="1" si="125"/>
        <v>0</v>
      </c>
      <c r="DF87" s="389">
        <f t="shared" ca="1" si="125"/>
        <v>0</v>
      </c>
      <c r="DG87" s="389">
        <f t="shared" ca="1" si="125"/>
        <v>0</v>
      </c>
      <c r="DH87" s="389">
        <f t="shared" ca="1" si="125"/>
        <v>0</v>
      </c>
      <c r="DI87" s="389">
        <f t="shared" ca="1" si="125"/>
        <v>0</v>
      </c>
      <c r="DJ87" s="389">
        <f t="shared" ca="1" si="125"/>
        <v>0</v>
      </c>
      <c r="DK87" s="389">
        <f t="shared" ca="1" si="125"/>
        <v>0</v>
      </c>
      <c r="DL87" s="389">
        <f t="shared" ca="1" si="125"/>
        <v>0</v>
      </c>
      <c r="DM87" s="389">
        <f t="shared" ca="1" si="125"/>
        <v>0</v>
      </c>
      <c r="DN87" s="389">
        <f t="shared" ca="1" si="125"/>
        <v>0</v>
      </c>
      <c r="DO87" s="389">
        <f t="shared" ca="1" si="125"/>
        <v>0</v>
      </c>
      <c r="DP87" s="389">
        <f t="shared" ca="1" si="125"/>
        <v>0</v>
      </c>
      <c r="DQ87" s="389">
        <f t="shared" ca="1" si="125"/>
        <v>0</v>
      </c>
      <c r="DR87" s="389">
        <f t="shared" ca="1" si="125"/>
        <v>0</v>
      </c>
      <c r="DS87" s="389">
        <f t="shared" ca="1" si="125"/>
        <v>0</v>
      </c>
      <c r="DT87" s="389">
        <f t="shared" ca="1" si="125"/>
        <v>0</v>
      </c>
      <c r="DU87" s="389">
        <f t="shared" ca="1" si="125"/>
        <v>0</v>
      </c>
      <c r="DV87" s="389">
        <f t="shared" ca="1" si="125"/>
        <v>0</v>
      </c>
      <c r="DW87" s="389">
        <f t="shared" ca="1" si="125"/>
        <v>0</v>
      </c>
      <c r="DX87" s="389">
        <f t="shared" ca="1" si="125"/>
        <v>0</v>
      </c>
      <c r="DY87" s="389">
        <f t="shared" ca="1" si="125"/>
        <v>10645431.589666964</v>
      </c>
      <c r="DZ87" s="458">
        <f ca="1">+L87/-L86</f>
        <v>0</v>
      </c>
      <c r="EA87" s="389"/>
    </row>
    <row r="88" spans="1:131" s="390" customFormat="1">
      <c r="A88" s="389"/>
      <c r="B88" s="389"/>
      <c r="C88" s="389"/>
      <c r="D88" s="389" t="s">
        <v>127</v>
      </c>
      <c r="E88" s="389"/>
      <c r="F88" s="389"/>
      <c r="G88" s="796"/>
      <c r="H88" s="829"/>
      <c r="I88" s="703">
        <f t="shared" ref="I88:BT88" si="126">SUM(I86:I87)</f>
        <v>0</v>
      </c>
      <c r="J88" s="389">
        <f t="shared" ca="1" si="126"/>
        <v>-4680000</v>
      </c>
      <c r="K88" s="389">
        <f t="shared" ca="1" si="126"/>
        <v>-5077301.0143801169</v>
      </c>
      <c r="L88" s="389">
        <f t="shared" ca="1" si="126"/>
        <v>-7602070.4770321222</v>
      </c>
      <c r="M88" s="389">
        <f t="shared" ca="1" si="126"/>
        <v>-10148875.796580048</v>
      </c>
      <c r="N88" s="389">
        <f t="shared" ca="1" si="126"/>
        <v>-12722695.740241725</v>
      </c>
      <c r="O88" s="389">
        <f t="shared" ca="1" si="126"/>
        <v>-15317420.911336716</v>
      </c>
      <c r="P88" s="389">
        <f t="shared" ca="1" si="126"/>
        <v>-17941229.198833685</v>
      </c>
      <c r="Q88" s="389">
        <f t="shared" ca="1" si="126"/>
        <v>-20498726.636434563</v>
      </c>
      <c r="R88" s="389">
        <f t="shared" ca="1" si="126"/>
        <v>-20684134.680169336</v>
      </c>
      <c r="S88" s="389">
        <f t="shared" ca="1" si="126"/>
        <v>-20884184.329223517</v>
      </c>
      <c r="T88" s="389">
        <f t="shared" ca="1" si="126"/>
        <v>-21079622.769120339</v>
      </c>
      <c r="U88" s="389">
        <f t="shared" ca="1" si="126"/>
        <v>-21283497.439362168</v>
      </c>
      <c r="V88" s="389">
        <f ca="1">SUM(V86:V87)</f>
        <v>-21482672.732470278</v>
      </c>
      <c r="W88" s="389">
        <f t="shared" ca="1" si="126"/>
        <v>-21690445.559679568</v>
      </c>
      <c r="X88" s="389">
        <f t="shared" ca="1" si="126"/>
        <v>-21900227.892329086</v>
      </c>
      <c r="Y88" s="389">
        <f t="shared" ca="1" si="126"/>
        <v>-22105174.674314357</v>
      </c>
      <c r="Z88" s="389">
        <f t="shared" ca="1" si="126"/>
        <v>-22318968.120559786</v>
      </c>
      <c r="AA88" s="389">
        <f t="shared" ca="1" si="126"/>
        <v>-22527833.558674373</v>
      </c>
      <c r="AB88" s="389">
        <f t="shared" ca="1" si="126"/>
        <v>-22745714.812449254</v>
      </c>
      <c r="AC88" s="389">
        <f t="shared" ca="1" si="126"/>
        <v>-22965703.336797796</v>
      </c>
      <c r="AD88" s="389">
        <f t="shared" ca="1" si="126"/>
        <v>-23166230.841789655</v>
      </c>
      <c r="AE88" s="389">
        <f t="shared" ca="1" si="126"/>
        <v>-23390286.448730338</v>
      </c>
      <c r="AF88" s="389">
        <f t="shared" ca="1" si="126"/>
        <v>-23609177.501414776</v>
      </c>
      <c r="AG88" s="389">
        <f t="shared" ca="1" si="126"/>
        <v>-23837517.132085621</v>
      </c>
      <c r="AH88" s="389">
        <f t="shared" ca="1" si="126"/>
        <v>-24060593.460366707</v>
      </c>
      <c r="AI88" s="389">
        <f t="shared" ca="1" si="126"/>
        <v>-16010677.224129617</v>
      </c>
      <c r="AJ88" s="389">
        <f t="shared" ca="1" si="126"/>
        <v>-16165526.842415931</v>
      </c>
      <c r="AK88" s="389">
        <f t="shared" ca="1" si="126"/>
        <v>-16308947.401728278</v>
      </c>
      <c r="AL88" s="389">
        <f t="shared" ca="1" si="126"/>
        <v>-16357527.185575601</v>
      </c>
      <c r="AM88" s="389">
        <f t="shared" ca="1" si="126"/>
        <v>-16504077.717066668</v>
      </c>
      <c r="AN88" s="389">
        <f t="shared" ca="1" si="126"/>
        <v>-16663699.330748556</v>
      </c>
      <c r="AO88" s="389">
        <f t="shared" ca="1" si="126"/>
        <v>-16824864.748330984</v>
      </c>
      <c r="AP88" s="389">
        <f t="shared" ca="1" si="126"/>
        <v>-16971772.861717712</v>
      </c>
      <c r="AQ88" s="389">
        <f t="shared" ca="1" si="126"/>
        <v>-17135917.857740629</v>
      </c>
      <c r="AR88" s="389">
        <f t="shared" ca="1" si="126"/>
        <v>-17237405.828630414</v>
      </c>
      <c r="AS88" s="389">
        <f t="shared" ca="1" si="126"/>
        <v>-17264328.241298512</v>
      </c>
      <c r="AT88" s="389">
        <f t="shared" ca="1" si="126"/>
        <v>-17266121.674723879</v>
      </c>
      <c r="AU88" s="389">
        <f t="shared" ca="1" si="126"/>
        <v>-17343353.913692605</v>
      </c>
      <c r="AV88" s="389">
        <f t="shared" ca="1" si="126"/>
        <v>-17423906.914519597</v>
      </c>
      <c r="AW88" s="389">
        <f t="shared" ca="1" si="126"/>
        <v>-17463508.022318128</v>
      </c>
      <c r="AX88" s="389">
        <f t="shared" ca="1" si="126"/>
        <v>-17417616.352819238</v>
      </c>
      <c r="AY88" s="389">
        <f t="shared" ca="1" si="126"/>
        <v>-17503671.914194409</v>
      </c>
      <c r="AZ88" s="389">
        <f t="shared" ca="1" si="126"/>
        <v>-17672961.250090644</v>
      </c>
      <c r="BA88" s="389">
        <f t="shared" ca="1" si="126"/>
        <v>-17843887.892683934</v>
      </c>
      <c r="BB88" s="389">
        <f t="shared" ca="1" si="126"/>
        <v>-17999693.716089353</v>
      </c>
      <c r="BC88" s="389">
        <f t="shared" ca="1" si="126"/>
        <v>-18078436.910475057</v>
      </c>
      <c r="BD88" s="389">
        <f t="shared" ca="1" si="126"/>
        <v>-18107037.100615397</v>
      </c>
      <c r="BE88" s="389">
        <f t="shared" ca="1" si="126"/>
        <v>-18129653.459112979</v>
      </c>
      <c r="BF88" s="389">
        <f t="shared" ca="1" si="126"/>
        <v>-18138440.428446166</v>
      </c>
      <c r="BG88" s="389">
        <f t="shared" ca="1" si="126"/>
        <v>-18224119.33360038</v>
      </c>
      <c r="BH88" s="389">
        <f t="shared" ca="1" si="126"/>
        <v>-18313233.125119094</v>
      </c>
      <c r="BI88" s="389">
        <f t="shared" ca="1" si="126"/>
        <v>-18360624.317392349</v>
      </c>
      <c r="BJ88" s="389">
        <f t="shared" ca="1" si="126"/>
        <v>-18321471.217087828</v>
      </c>
      <c r="BK88" s="389">
        <f t="shared" ca="1" si="126"/>
        <v>-18416154.79768914</v>
      </c>
      <c r="BL88" s="389">
        <f t="shared" ca="1" si="126"/>
        <v>-18594269.345924862</v>
      </c>
      <c r="BM88" s="389">
        <f t="shared" ca="1" si="126"/>
        <v>-18774106.555196058</v>
      </c>
      <c r="BN88" s="389">
        <f t="shared" ca="1" si="126"/>
        <v>-18943915.657537088</v>
      </c>
      <c r="BO88" s="389">
        <f t="shared" ca="1" si="126"/>
        <v>-19011988.430652261</v>
      </c>
      <c r="BP88" s="389">
        <f t="shared" ca="1" si="126"/>
        <v>-19045762.670181781</v>
      </c>
      <c r="BQ88" s="389">
        <f t="shared" ca="1" si="126"/>
        <v>-19073726.03242702</v>
      </c>
      <c r="BR88" s="389">
        <f t="shared" ca="1" si="126"/>
        <v>-19087466.813096412</v>
      </c>
      <c r="BS88" s="389">
        <f t="shared" ca="1" si="126"/>
        <v>-19179561.461809583</v>
      </c>
      <c r="BT88" s="389">
        <f t="shared" ca="1" si="126"/>
        <v>-19275185.108487718</v>
      </c>
      <c r="BU88" s="389">
        <f t="shared" ref="BU88:DY88" ca="1" si="127">SUM(BU86:BU87)</f>
        <v>-19328271.007318955</v>
      </c>
      <c r="BV88" s="389">
        <f t="shared" ca="1" si="127"/>
        <v>-19293761.463395685</v>
      </c>
      <c r="BW88" s="389">
        <f t="shared" ca="1" si="127"/>
        <v>-19394938.727148373</v>
      </c>
      <c r="BX88" s="389">
        <f t="shared" ca="1" si="127"/>
        <v>-19582519.728035647</v>
      </c>
      <c r="BY88" s="389">
        <f t="shared" ca="1" si="127"/>
        <v>-19771914.946146753</v>
      </c>
      <c r="BZ88" s="389">
        <f t="shared" ca="1" si="127"/>
        <v>-19944555.544821963</v>
      </c>
      <c r="CA88" s="389">
        <f t="shared" ca="1" si="127"/>
        <v>-20030847.254028775</v>
      </c>
      <c r="CB88" s="389">
        <f t="shared" ca="1" si="127"/>
        <v>-20070736.533125028</v>
      </c>
      <c r="CC88" s="389">
        <f t="shared" ca="1" si="127"/>
        <v>-20105024.281392504</v>
      </c>
      <c r="CD88" s="389">
        <f t="shared" ca="1" si="127"/>
        <v>-20124677.073932022</v>
      </c>
      <c r="CE88" s="389">
        <f t="shared" ca="1" si="127"/>
        <v>-20224185.348993391</v>
      </c>
      <c r="CF88" s="389">
        <f t="shared" ca="1" si="127"/>
        <v>-20327325.962830663</v>
      </c>
      <c r="CG88" s="389">
        <f t="shared" ca="1" si="127"/>
        <v>-20387093.715879437</v>
      </c>
      <c r="CH88" s="389">
        <f t="shared" ca="1" si="127"/>
        <v>-20358251.696300983</v>
      </c>
      <c r="CI88" s="389">
        <f t="shared" ca="1" si="127"/>
        <v>-20466928.251269776</v>
      </c>
      <c r="CJ88" s="389">
        <f t="shared" ca="1" si="127"/>
        <v>-20664877.156418275</v>
      </c>
      <c r="CK88" s="389">
        <f t="shared" ca="1" si="127"/>
        <v>-20864740.553500712</v>
      </c>
      <c r="CL88" s="389">
        <f t="shared" ca="1" si="127"/>
        <v>-21046923.276326016</v>
      </c>
      <c r="CM88" s="389">
        <f t="shared" ca="1" si="127"/>
        <v>-21137674.436308954</v>
      </c>
      <c r="CN88" s="389">
        <f t="shared" ca="1" si="127"/>
        <v>-21184656.53030489</v>
      </c>
      <c r="CO88" s="389">
        <f t="shared" ca="1" si="127"/>
        <v>-21226284.207749419</v>
      </c>
      <c r="CP88" s="389">
        <f t="shared" ca="1" si="127"/>
        <v>-21250199.516091898</v>
      </c>
      <c r="CQ88" s="389">
        <f t="shared" ca="1" si="127"/>
        <v>-21355486.41872688</v>
      </c>
      <c r="CR88" s="389">
        <f t="shared" ca="1" si="127"/>
        <v>-21464492.711685825</v>
      </c>
      <c r="CS88" s="389">
        <f t="shared" ca="1" si="127"/>
        <v>-21529247.406565834</v>
      </c>
      <c r="CT88" s="389">
        <f t="shared" ca="1" si="127"/>
        <v>-21504388.468208451</v>
      </c>
      <c r="CU88" s="389">
        <f t="shared" ca="1" si="127"/>
        <v>-21618836.763680659</v>
      </c>
      <c r="CV88" s="389">
        <f t="shared" ca="1" si="127"/>
        <v>-21827926.521333434</v>
      </c>
      <c r="CW88" s="389">
        <f t="shared" ca="1" si="127"/>
        <v>-22039038.521312807</v>
      </c>
      <c r="CX88" s="389">
        <f t="shared" ca="1" si="127"/>
        <v>-22231474.752952926</v>
      </c>
      <c r="CY88" s="389">
        <f t="shared" ca="1" si="127"/>
        <v>-22295000.829527345</v>
      </c>
      <c r="CZ88" s="389">
        <f t="shared" ca="1" si="127"/>
        <v>-22337811.221628319</v>
      </c>
      <c r="DA88" s="389">
        <f t="shared" ca="1" si="127"/>
        <v>-22375216.57823522</v>
      </c>
      <c r="DB88" s="389">
        <f t="shared" ca="1" si="127"/>
        <v>-22417166.350966606</v>
      </c>
      <c r="DC88" s="389">
        <f t="shared" ca="1" si="127"/>
        <v>-22543256.878108606</v>
      </c>
      <c r="DD88" s="389">
        <f t="shared" ca="1" si="127"/>
        <v>-22673349.033664092</v>
      </c>
      <c r="DE88" s="389">
        <f t="shared" ca="1" si="127"/>
        <v>-22757857.278934404</v>
      </c>
      <c r="DF88" s="389">
        <f t="shared" ca="1" si="127"/>
        <v>-22750412.813971944</v>
      </c>
      <c r="DG88" s="389">
        <f t="shared" ca="1" si="127"/>
        <v>-22886442.093192212</v>
      </c>
      <c r="DH88" s="389">
        <f t="shared" ca="1" si="127"/>
        <v>-23107791.682122875</v>
      </c>
      <c r="DI88" s="389">
        <f t="shared" ca="1" si="127"/>
        <v>-23331282.086140491</v>
      </c>
      <c r="DJ88" s="389">
        <f t="shared" ca="1" si="127"/>
        <v>-23542310.18784349</v>
      </c>
      <c r="DK88" s="389">
        <f t="shared" ca="1" si="127"/>
        <v>-23647323.629878361</v>
      </c>
      <c r="DL88" s="389">
        <f t="shared" ca="1" si="127"/>
        <v>-23710338.66982739</v>
      </c>
      <c r="DM88" s="389">
        <f t="shared" ca="1" si="127"/>
        <v>-23768183.744354364</v>
      </c>
      <c r="DN88" s="389">
        <f t="shared" ca="1" si="127"/>
        <v>-23811297.06548791</v>
      </c>
      <c r="DO88" s="389">
        <f t="shared" ca="1" si="127"/>
        <v>-23941300.661148932</v>
      </c>
      <c r="DP88" s="389">
        <f t="shared" ca="1" si="127"/>
        <v>-24075427.194801196</v>
      </c>
      <c r="DQ88" s="389">
        <f t="shared" ca="1" si="127"/>
        <v>-24162377.305669613</v>
      </c>
      <c r="DR88" s="389">
        <f t="shared" ca="1" si="127"/>
        <v>-24154841.489951607</v>
      </c>
      <c r="DS88" s="389">
        <f t="shared" ca="1" si="127"/>
        <v>-24294858.627028536</v>
      </c>
      <c r="DT88" s="389">
        <f t="shared" ca="1" si="127"/>
        <v>-24529829.923498467</v>
      </c>
      <c r="DU88" s="389">
        <f t="shared" ca="1" si="127"/>
        <v>-24767073.779402159</v>
      </c>
      <c r="DV88" s="389">
        <f t="shared" ca="1" si="127"/>
        <v>-24983330.143864337</v>
      </c>
      <c r="DW88" s="389">
        <f t="shared" ca="1" si="127"/>
        <v>-25088450.028065562</v>
      </c>
      <c r="DX88" s="389">
        <f t="shared" ca="1" si="127"/>
        <v>-25153354.119224142</v>
      </c>
      <c r="DY88" s="389">
        <f t="shared" ca="1" si="127"/>
        <v>0</v>
      </c>
      <c r="DZ88" s="389"/>
      <c r="EA88" s="389"/>
    </row>
    <row r="89" spans="1:131" s="390" customFormat="1">
      <c r="A89" s="389"/>
      <c r="B89" s="459"/>
      <c r="C89" s="389"/>
      <c r="D89" s="459" t="s">
        <v>128</v>
      </c>
      <c r="E89" s="460">
        <f ca="1">XIRR(J89:DY89,$J$14:$DY$14)</f>
        <v>0.11999999880790704</v>
      </c>
      <c r="F89" s="460"/>
      <c r="G89" s="796">
        <f t="shared" ref="G89" ca="1" si="128">SUM(I89:DY89)</f>
        <v>22632917.333178706</v>
      </c>
      <c r="H89" s="842"/>
      <c r="I89" s="892">
        <f t="shared" ref="I89:BT89" si="129">+I83+I85+I87</f>
        <v>0</v>
      </c>
      <c r="J89" s="459">
        <f t="shared" ca="1" si="129"/>
        <v>-4680000</v>
      </c>
      <c r="K89" s="459">
        <f t="shared" ca="1" si="129"/>
        <v>-352037.7064366049</v>
      </c>
      <c r="L89" s="459">
        <f t="shared" ca="1" si="129"/>
        <v>-2475663.5995460674</v>
      </c>
      <c r="M89" s="459">
        <f t="shared" ca="1" si="129"/>
        <v>-2475663.5995460674</v>
      </c>
      <c r="N89" s="459">
        <f t="shared" ca="1" si="129"/>
        <v>-2475663.5995460674</v>
      </c>
      <c r="O89" s="459">
        <f t="shared" ca="1" si="129"/>
        <v>-2475663.5995460674</v>
      </c>
      <c r="P89" s="459">
        <f t="shared" ca="1" si="129"/>
        <v>-2475663.5995460674</v>
      </c>
      <c r="Q89" s="459">
        <f t="shared" ca="1" si="129"/>
        <v>-2383976.2021068749</v>
      </c>
      <c r="R89" s="459">
        <f t="shared" ca="1" si="129"/>
        <v>0</v>
      </c>
      <c r="S89" s="459">
        <f t="shared" ca="1" si="129"/>
        <v>0</v>
      </c>
      <c r="T89" s="459">
        <f t="shared" ca="1" si="129"/>
        <v>0</v>
      </c>
      <c r="U89" s="459">
        <f t="shared" ca="1" si="129"/>
        <v>0</v>
      </c>
      <c r="V89" s="459">
        <f t="shared" ca="1" si="129"/>
        <v>0</v>
      </c>
      <c r="W89" s="459">
        <f t="shared" ca="1" si="129"/>
        <v>0</v>
      </c>
      <c r="X89" s="459">
        <f t="shared" ca="1" si="129"/>
        <v>0</v>
      </c>
      <c r="Y89" s="459">
        <f t="shared" ca="1" si="129"/>
        <v>0</v>
      </c>
      <c r="Z89" s="459">
        <f t="shared" ca="1" si="129"/>
        <v>0</v>
      </c>
      <c r="AA89" s="459">
        <f t="shared" ca="1" si="129"/>
        <v>0</v>
      </c>
      <c r="AB89" s="459">
        <f t="shared" ca="1" si="129"/>
        <v>0</v>
      </c>
      <c r="AC89" s="459">
        <f t="shared" ca="1" si="129"/>
        <v>0</v>
      </c>
      <c r="AD89" s="459">
        <f t="shared" ca="1" si="129"/>
        <v>0</v>
      </c>
      <c r="AE89" s="459">
        <f t="shared" ca="1" si="129"/>
        <v>0</v>
      </c>
      <c r="AF89" s="459">
        <f t="shared" ca="1" si="129"/>
        <v>0</v>
      </c>
      <c r="AG89" s="459">
        <f t="shared" ca="1" si="129"/>
        <v>0</v>
      </c>
      <c r="AH89" s="459">
        <f ca="1">+AH83+AH85+AH87</f>
        <v>0</v>
      </c>
      <c r="AI89" s="459">
        <f ca="1">+AI83+AI85+AI87</f>
        <v>8282621.8027114943</v>
      </c>
      <c r="AJ89" s="459">
        <f t="shared" ca="1" si="129"/>
        <v>0</v>
      </c>
      <c r="AK89" s="459">
        <f t="shared" ca="1" si="129"/>
        <v>7859.725154927618</v>
      </c>
      <c r="AL89" s="459">
        <f t="shared" ca="1" si="129"/>
        <v>109154.5983063013</v>
      </c>
      <c r="AM89" s="459">
        <f t="shared" ca="1" si="129"/>
        <v>6526.5311953254632</v>
      </c>
      <c r="AN89" s="459">
        <f t="shared" ca="1" si="129"/>
        <v>0</v>
      </c>
      <c r="AO89" s="459">
        <f t="shared" ca="1" si="129"/>
        <v>0</v>
      </c>
      <c r="AP89" s="459">
        <f t="shared" ca="1" si="129"/>
        <v>0</v>
      </c>
      <c r="AQ89" s="459">
        <f t="shared" ca="1" si="129"/>
        <v>0</v>
      </c>
      <c r="AR89" s="459">
        <f t="shared" ca="1" si="129"/>
        <v>58873.429848790242</v>
      </c>
      <c r="AS89" s="459">
        <f t="shared" ca="1" si="129"/>
        <v>139791.69164142892</v>
      </c>
      <c r="AT89" s="459">
        <f t="shared" ca="1" si="129"/>
        <v>159769.65777109182</v>
      </c>
      <c r="AU89" s="459">
        <f t="shared" ca="1" si="129"/>
        <v>89759.594867420892</v>
      </c>
      <c r="AV89" s="459">
        <f t="shared" ca="1" si="129"/>
        <v>87185.795961210359</v>
      </c>
      <c r="AW89" s="459">
        <f t="shared" ca="1" si="129"/>
        <v>123455.35304279767</v>
      </c>
      <c r="AX89" s="459">
        <f t="shared" ca="1" si="129"/>
        <v>214792.55441089167</v>
      </c>
      <c r="AY89" s="459">
        <f t="shared" ca="1" si="129"/>
        <v>76942.031111739183</v>
      </c>
      <c r="AZ89" s="459">
        <f t="shared" ca="1" si="129"/>
        <v>0</v>
      </c>
      <c r="BA89" s="459">
        <f t="shared" ca="1" si="129"/>
        <v>0</v>
      </c>
      <c r="BB89" s="459">
        <f t="shared" ca="1" si="129"/>
        <v>0</v>
      </c>
      <c r="BC89" s="459">
        <f t="shared" ca="1" si="129"/>
        <v>95343.489281013433</v>
      </c>
      <c r="BD89" s="459">
        <f t="shared" ca="1" si="129"/>
        <v>140581.4953809962</v>
      </c>
      <c r="BE89" s="459">
        <f t="shared" ca="1" si="129"/>
        <v>152508.51249168252</v>
      </c>
      <c r="BF89" s="459">
        <f t="shared" ca="1" si="129"/>
        <v>160874.01105573258</v>
      </c>
      <c r="BG89" s="459">
        <f t="shared" ca="1" si="129"/>
        <v>89749.687736345368</v>
      </c>
      <c r="BH89" s="459">
        <f t="shared" ca="1" si="129"/>
        <v>87143.457497537223</v>
      </c>
      <c r="BI89" s="459">
        <f t="shared" ca="1" si="129"/>
        <v>123987.76392719038</v>
      </c>
      <c r="BJ89" s="459">
        <f t="shared" ca="1" si="129"/>
        <v>216730.57733726793</v>
      </c>
      <c r="BK89" s="459">
        <f t="shared" ca="1" si="129"/>
        <v>76772.469337475603</v>
      </c>
      <c r="BL89" s="459">
        <f t="shared" ca="1" si="129"/>
        <v>0</v>
      </c>
      <c r="BM89" s="459">
        <f t="shared" ca="1" si="129"/>
        <v>0</v>
      </c>
      <c r="BN89" s="459">
        <f t="shared" ca="1" si="129"/>
        <v>0</v>
      </c>
      <c r="BO89" s="459">
        <f t="shared" ca="1" si="129"/>
        <v>115146.09185555542</v>
      </c>
      <c r="BP89" s="459">
        <f t="shared" ca="1" si="129"/>
        <v>144143.81078301906</v>
      </c>
      <c r="BQ89" s="459">
        <f t="shared" ca="1" si="129"/>
        <v>156240.53107943202</v>
      </c>
      <c r="BR89" s="459">
        <f t="shared" ca="1" si="129"/>
        <v>164755.02266349838</v>
      </c>
      <c r="BS89" s="459">
        <f t="shared" ca="1" si="129"/>
        <v>92512.592360065391</v>
      </c>
      <c r="BT89" s="459">
        <f t="shared" ca="1" si="129"/>
        <v>89874.30132771896</v>
      </c>
      <c r="BU89" s="459">
        <f t="shared" ref="BU89:DY89" ca="1" si="130">+BU83+BU85+BU87</f>
        <v>127295.19946494866</v>
      </c>
      <c r="BV89" s="459">
        <f t="shared" ca="1" si="130"/>
        <v>221445.75815829771</v>
      </c>
      <c r="BW89" s="459">
        <f t="shared" ca="1" si="130"/>
        <v>79377.675846796192</v>
      </c>
      <c r="BX89" s="459">
        <f t="shared" ca="1" si="130"/>
        <v>0</v>
      </c>
      <c r="BY89" s="459">
        <f t="shared" ca="1" si="130"/>
        <v>0</v>
      </c>
      <c r="BZ89" s="459">
        <f t="shared" ca="1" si="130"/>
        <v>0</v>
      </c>
      <c r="CA89" s="459">
        <f t="shared" ca="1" si="130"/>
        <v>106604.99152433057</v>
      </c>
      <c r="CB89" s="459">
        <f t="shared" ca="1" si="130"/>
        <v>147563.4590823171</v>
      </c>
      <c r="CC89" s="459">
        <f t="shared" ca="1" si="130"/>
        <v>159829.3304402011</v>
      </c>
      <c r="CD89" s="459">
        <f t="shared" ca="1" si="130"/>
        <v>168494.10933132426</v>
      </c>
      <c r="CE89" s="459">
        <f t="shared" ca="1" si="130"/>
        <v>95130.49751579015</v>
      </c>
      <c r="CF89" s="459">
        <f t="shared" ca="1" si="130"/>
        <v>92460.567649508375</v>
      </c>
      <c r="CG89" s="459">
        <f t="shared" ca="1" si="130"/>
        <v>130459.49312098254</v>
      </c>
      <c r="CH89" s="459">
        <f t="shared" ca="1" si="130"/>
        <v>226018.79328252989</v>
      </c>
      <c r="CI89" s="459">
        <f t="shared" ca="1" si="130"/>
        <v>81840.100497816791</v>
      </c>
      <c r="CJ89" s="459">
        <f t="shared" ca="1" si="130"/>
        <v>0</v>
      </c>
      <c r="CK89" s="459">
        <f t="shared" ca="1" si="130"/>
        <v>0</v>
      </c>
      <c r="CL89" s="459">
        <f t="shared" ca="1" si="130"/>
        <v>0</v>
      </c>
      <c r="CM89" s="459">
        <f t="shared" ca="1" si="130"/>
        <v>112807.25230762165</v>
      </c>
      <c r="CN89" s="459">
        <f t="shared" ca="1" si="130"/>
        <v>150828.55782341232</v>
      </c>
      <c r="CO89" s="459">
        <f t="shared" ca="1" si="130"/>
        <v>163262.84225818858</v>
      </c>
      <c r="CP89" s="459">
        <f t="shared" ca="1" si="130"/>
        <v>174724.57172044981</v>
      </c>
      <c r="CQ89" s="459">
        <f t="shared" ca="1" si="130"/>
        <v>100237.52568936143</v>
      </c>
      <c r="CR89" s="459">
        <f t="shared" ca="1" si="130"/>
        <v>97536.433121037247</v>
      </c>
      <c r="CS89" s="459">
        <f t="shared" ca="1" si="130"/>
        <v>136114.38875848716</v>
      </c>
      <c r="CT89" s="459">
        <f t="shared" ca="1" si="130"/>
        <v>233082.21937350102</v>
      </c>
      <c r="CU89" s="459">
        <f t="shared" ca="1" si="130"/>
        <v>86794.140761263741</v>
      </c>
      <c r="CV89" s="459">
        <f t="shared" ca="1" si="130"/>
        <v>0</v>
      </c>
      <c r="CW89" s="459">
        <f t="shared" ca="1" si="130"/>
        <v>0</v>
      </c>
      <c r="CX89" s="459">
        <f t="shared" ca="1" si="130"/>
        <v>0</v>
      </c>
      <c r="CY89" s="459">
        <f t="shared" ca="1" si="130"/>
        <v>151488.89944722888</v>
      </c>
      <c r="CZ89" s="459">
        <f t="shared" ca="1" si="130"/>
        <v>165830.75523480636</v>
      </c>
      <c r="DA89" s="459">
        <f t="shared" ca="1" si="130"/>
        <v>178638.06820262584</v>
      </c>
      <c r="DB89" s="459">
        <f t="shared" ca="1" si="130"/>
        <v>167442.04987787068</v>
      </c>
      <c r="DC89" s="459">
        <f t="shared" ca="1" si="130"/>
        <v>90720.392465850004</v>
      </c>
      <c r="DD89" s="459">
        <f t="shared" ca="1" si="130"/>
        <v>87938.267120476201</v>
      </c>
      <c r="DE89" s="459">
        <f t="shared" ca="1" si="130"/>
        <v>127673.56142704944</v>
      </c>
      <c r="DF89" s="459">
        <f t="shared" ca="1" si="130"/>
        <v>227550.42696051361</v>
      </c>
      <c r="DG89" s="459">
        <f t="shared" ca="1" si="130"/>
        <v>76873.705989909198</v>
      </c>
      <c r="DH89" s="459">
        <f t="shared" ca="1" si="130"/>
        <v>0</v>
      </c>
      <c r="DI89" s="459">
        <f t="shared" ca="1" si="130"/>
        <v>0</v>
      </c>
      <c r="DJ89" s="459">
        <f t="shared" ca="1" si="130"/>
        <v>0</v>
      </c>
      <c r="DK89" s="459">
        <f t="shared" ca="1" si="130"/>
        <v>122679.47158351005</v>
      </c>
      <c r="DL89" s="459">
        <f t="shared" ca="1" si="130"/>
        <v>158281.41889765786</v>
      </c>
      <c r="DM89" s="459">
        <f t="shared" ca="1" si="130"/>
        <v>171472.95125451233</v>
      </c>
      <c r="DN89" s="459">
        <f t="shared" ca="1" si="130"/>
        <v>179314.17121900115</v>
      </c>
      <c r="DO89" s="459">
        <f t="shared" ca="1" si="130"/>
        <v>100290.86408461993</v>
      </c>
      <c r="DP89" s="459">
        <f t="shared" ca="1" si="130"/>
        <v>97425.274978884583</v>
      </c>
      <c r="DQ89" s="459">
        <f t="shared" ca="1" si="130"/>
        <v>138352.62811465538</v>
      </c>
      <c r="DR89" s="459">
        <f t="shared" ca="1" si="130"/>
        <v>241225.79961412365</v>
      </c>
      <c r="DS89" s="459">
        <f t="shared" ca="1" si="130"/>
        <v>86028.77701440097</v>
      </c>
      <c r="DT89" s="459">
        <f t="shared" ca="1" si="130"/>
        <v>0</v>
      </c>
      <c r="DU89" s="459">
        <f t="shared" ca="1" si="130"/>
        <v>0</v>
      </c>
      <c r="DV89" s="459">
        <f t="shared" ca="1" si="130"/>
        <v>0</v>
      </c>
      <c r="DW89" s="459">
        <f t="shared" ca="1" si="130"/>
        <v>136510.06574666966</v>
      </c>
      <c r="DX89" s="459">
        <f t="shared" ca="1" si="130"/>
        <v>169878.72130938232</v>
      </c>
      <c r="DY89" s="459">
        <f t="shared" ca="1" si="130"/>
        <v>25396628.481042653</v>
      </c>
      <c r="DZ89" s="459"/>
      <c r="EA89" s="389"/>
    </row>
    <row r="90" spans="1:131" s="390" customFormat="1">
      <c r="A90" s="389"/>
      <c r="B90" s="389"/>
      <c r="C90" s="389"/>
      <c r="D90" s="389"/>
      <c r="E90" s="389"/>
      <c r="F90" s="389"/>
      <c r="G90" s="796"/>
      <c r="H90" s="829"/>
      <c r="I90" s="703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  <c r="BT90" s="389"/>
      <c r="BU90" s="389"/>
      <c r="BV90" s="389"/>
      <c r="BW90" s="389"/>
      <c r="BX90" s="389"/>
      <c r="BY90" s="389"/>
      <c r="BZ90" s="389"/>
      <c r="CA90" s="389"/>
      <c r="CB90" s="389"/>
      <c r="CC90" s="389"/>
      <c r="CD90" s="389"/>
      <c r="CE90" s="389"/>
      <c r="CF90" s="389"/>
      <c r="CG90" s="389"/>
      <c r="CH90" s="389"/>
      <c r="CI90" s="389"/>
      <c r="CJ90" s="389"/>
      <c r="CK90" s="389"/>
      <c r="CL90" s="389"/>
      <c r="CM90" s="389"/>
      <c r="CN90" s="389"/>
      <c r="CO90" s="389"/>
      <c r="CP90" s="389"/>
      <c r="CQ90" s="389"/>
      <c r="CR90" s="389"/>
      <c r="CS90" s="389"/>
      <c r="CT90" s="389"/>
      <c r="CU90" s="389"/>
      <c r="CV90" s="389"/>
      <c r="CW90" s="389"/>
      <c r="CX90" s="389"/>
      <c r="CY90" s="389"/>
      <c r="CZ90" s="389"/>
      <c r="DA90" s="389"/>
      <c r="DB90" s="389"/>
      <c r="DC90" s="389"/>
      <c r="DD90" s="389"/>
      <c r="DE90" s="389"/>
      <c r="DF90" s="389"/>
      <c r="DG90" s="389"/>
      <c r="DH90" s="389"/>
      <c r="DI90" s="389"/>
      <c r="DJ90" s="389"/>
      <c r="DK90" s="389"/>
      <c r="DL90" s="389"/>
      <c r="DM90" s="389"/>
      <c r="DN90" s="389"/>
      <c r="DO90" s="389"/>
      <c r="DP90" s="389"/>
      <c r="DQ90" s="389"/>
      <c r="DR90" s="389"/>
      <c r="DS90" s="389"/>
      <c r="DT90" s="389"/>
      <c r="DU90" s="389"/>
      <c r="DV90" s="389"/>
      <c r="DW90" s="389"/>
      <c r="DX90" s="389"/>
      <c r="DY90" s="389"/>
      <c r="DZ90" s="389"/>
      <c r="EA90" s="389"/>
    </row>
    <row r="91" spans="1:131" s="390" customFormat="1">
      <c r="A91" s="389"/>
      <c r="B91" s="433"/>
      <c r="C91" s="389"/>
      <c r="D91" s="433" t="s">
        <v>108</v>
      </c>
      <c r="E91" s="455">
        <f>I11</f>
        <v>0.15</v>
      </c>
      <c r="F91" s="572"/>
      <c r="G91" s="796"/>
      <c r="H91" s="840"/>
      <c r="I91" s="703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389"/>
      <c r="BU91" s="389"/>
      <c r="BV91" s="389"/>
      <c r="BW91" s="389"/>
      <c r="BX91" s="389"/>
      <c r="BY91" s="389"/>
      <c r="BZ91" s="389"/>
      <c r="CA91" s="389"/>
      <c r="CB91" s="389"/>
      <c r="CC91" s="389"/>
      <c r="CD91" s="389"/>
      <c r="CE91" s="389"/>
      <c r="CF91" s="389"/>
      <c r="CG91" s="389"/>
      <c r="CH91" s="389"/>
      <c r="CI91" s="389"/>
      <c r="CJ91" s="389"/>
      <c r="CK91" s="389"/>
      <c r="CL91" s="389"/>
      <c r="CM91" s="389"/>
      <c r="CN91" s="389"/>
      <c r="CO91" s="389"/>
      <c r="CP91" s="389"/>
      <c r="CQ91" s="389"/>
      <c r="CR91" s="389"/>
      <c r="CS91" s="389"/>
      <c r="CT91" s="389"/>
      <c r="CU91" s="389"/>
      <c r="CV91" s="389"/>
      <c r="CW91" s="389"/>
      <c r="CX91" s="389"/>
      <c r="CY91" s="389"/>
      <c r="CZ91" s="389"/>
      <c r="DA91" s="389"/>
      <c r="DB91" s="389"/>
      <c r="DC91" s="389"/>
      <c r="DD91" s="389"/>
      <c r="DE91" s="389"/>
      <c r="DF91" s="389"/>
      <c r="DG91" s="389"/>
      <c r="DH91" s="389"/>
      <c r="DI91" s="389"/>
      <c r="DJ91" s="389"/>
      <c r="DK91" s="389"/>
      <c r="DL91" s="389"/>
      <c r="DM91" s="389"/>
      <c r="DN91" s="389"/>
      <c r="DO91" s="389"/>
      <c r="DP91" s="389"/>
      <c r="DQ91" s="389"/>
      <c r="DR91" s="389"/>
      <c r="DS91" s="389"/>
      <c r="DT91" s="389"/>
      <c r="DU91" s="389"/>
      <c r="DV91" s="389"/>
      <c r="DW91" s="389"/>
      <c r="DX91" s="389"/>
      <c r="DY91" s="389"/>
      <c r="DZ91" s="389"/>
      <c r="EA91" s="389"/>
    </row>
    <row r="92" spans="1:131" s="390" customFormat="1">
      <c r="A92" s="389"/>
      <c r="B92" s="389"/>
      <c r="C92" s="389"/>
      <c r="D92" s="389" t="s">
        <v>124</v>
      </c>
      <c r="E92" s="389"/>
      <c r="F92" s="389"/>
      <c r="G92" s="796"/>
      <c r="H92" s="829"/>
      <c r="I92" s="703">
        <f>E99</f>
        <v>0</v>
      </c>
      <c r="J92" s="389">
        <f t="shared" ref="J92:BU92" si="131">I99</f>
        <v>0</v>
      </c>
      <c r="K92" s="389">
        <f t="shared" ca="1" si="131"/>
        <v>-4680000</v>
      </c>
      <c r="L92" s="389">
        <f t="shared" ca="1" si="131"/>
        <v>-5087921.2245943788</v>
      </c>
      <c r="M92" s="389">
        <f t="shared" ca="1" si="131"/>
        <v>-7624339.2981019719</v>
      </c>
      <c r="N92" s="389">
        <f t="shared" ca="1" si="131"/>
        <v>-10188090.817130229</v>
      </c>
      <c r="O92" s="389">
        <f t="shared" ca="1" si="131"/>
        <v>-12785409.621413933</v>
      </c>
      <c r="P92" s="389">
        <f t="shared" ca="1" si="131"/>
        <v>-15408789.644540239</v>
      </c>
      <c r="Q92" s="389">
        <f t="shared" ca="1" si="131"/>
        <v>-18068448.409874763</v>
      </c>
      <c r="R92" s="389">
        <f t="shared" ca="1" si="131"/>
        <v>-20668178.557450876</v>
      </c>
      <c r="S92" s="389">
        <f t="shared" ca="1" si="131"/>
        <v>-20898964.728255894</v>
      </c>
      <c r="T92" s="389">
        <f t="shared" ca="1" si="131"/>
        <v>-21148517.650236696</v>
      </c>
      <c r="U92" s="389">
        <f t="shared" ca="1" si="131"/>
        <v>-21392857.369011465</v>
      </c>
      <c r="V92" s="389">
        <f t="shared" ca="1" si="131"/>
        <v>-21648307.824829374</v>
      </c>
      <c r="W92" s="389">
        <f t="shared" ca="1" si="131"/>
        <v>-21898421.876951095</v>
      </c>
      <c r="X92" s="389">
        <f t="shared" ca="1" si="131"/>
        <v>-22159909.239469722</v>
      </c>
      <c r="Y92" s="389">
        <f t="shared" ca="1" si="131"/>
        <v>-22424519.002366841</v>
      </c>
      <c r="Z92" s="389">
        <f t="shared" ca="1" si="131"/>
        <v>-22683601.022076931</v>
      </c>
      <c r="AA92" s="389">
        <f t="shared" ca="1" si="131"/>
        <v>-22954464.148060035</v>
      </c>
      <c r="AB92" s="389">
        <f t="shared" ca="1" si="131"/>
        <v>-23219668.897032112</v>
      </c>
      <c r="AC92" s="389">
        <f t="shared" ca="1" si="131"/>
        <v>-23496933.168063048</v>
      </c>
      <c r="AD92" s="389">
        <f t="shared" ca="1" si="131"/>
        <v>-23777508.230317201</v>
      </c>
      <c r="AE92" s="389">
        <f t="shared" ca="1" si="131"/>
        <v>-24033809.437494278</v>
      </c>
      <c r="AF92" s="389">
        <f t="shared" ca="1" si="131"/>
        <v>-24320795.297772203</v>
      </c>
      <c r="AG92" s="389">
        <f t="shared" ca="1" si="131"/>
        <v>-24601785.974363189</v>
      </c>
      <c r="AH92" s="389">
        <f t="shared" ca="1" si="131"/>
        <v>-24895553.998553783</v>
      </c>
      <c r="AI92" s="389">
        <f t="shared" ca="1" si="131"/>
        <v>-25183185.158493765</v>
      </c>
      <c r="AJ92" s="389">
        <f t="shared" ca="1" si="131"/>
        <v>-17201273.822678693</v>
      </c>
      <c r="AK92" s="389">
        <f t="shared" ca="1" si="131"/>
        <v>-17406672.903449312</v>
      </c>
      <c r="AL92" s="389">
        <f t="shared" ca="1" si="131"/>
        <v>-17599921.437150795</v>
      </c>
      <c r="AM92" s="389">
        <f t="shared" ca="1" si="131"/>
        <v>-17700926.139957398</v>
      </c>
      <c r="AN92" s="389">
        <f t="shared" ca="1" si="131"/>
        <v>-17898907.526840284</v>
      </c>
      <c r="AO92" s="389">
        <f t="shared" ca="1" si="131"/>
        <v>-18112636.997733552</v>
      </c>
      <c r="AP92" s="389">
        <f t="shared" ca="1" si="131"/>
        <v>-18328918.595713895</v>
      </c>
      <c r="AQ92" s="389">
        <f t="shared" ca="1" si="131"/>
        <v>-18526488.665581103</v>
      </c>
      <c r="AR92" s="389">
        <f t="shared" ca="1" si="131"/>
        <v>-18747712.034329563</v>
      </c>
      <c r="AS92" s="389">
        <f t="shared" ca="1" si="131"/>
        <v>-18905440.579233702</v>
      </c>
      <c r="AT92" s="389">
        <f t="shared" ca="1" si="131"/>
        <v>-18991397.291842341</v>
      </c>
      <c r="AU92" s="389">
        <f t="shared" ca="1" si="131"/>
        <v>-19051045.030135259</v>
      </c>
      <c r="AV92" s="389">
        <f t="shared" ca="1" si="131"/>
        <v>-19188772.491008464</v>
      </c>
      <c r="AW92" s="389">
        <f t="shared" ca="1" si="131"/>
        <v>-19330718.343749534</v>
      </c>
      <c r="AX92" s="389">
        <f t="shared" ca="1" si="131"/>
        <v>-19430600.737679902</v>
      </c>
      <c r="AY92" s="389">
        <f t="shared" ca="1" si="131"/>
        <v>-19447827.484367423</v>
      </c>
      <c r="AZ92" s="389">
        <f t="shared" ca="1" si="131"/>
        <v>-19595576.222457532</v>
      </c>
      <c r="BA92" s="389">
        <f t="shared" ca="1" si="131"/>
        <v>-19829565.483064312</v>
      </c>
      <c r="BB92" s="389">
        <f t="shared" ca="1" si="131"/>
        <v>-20066348.79134072</v>
      </c>
      <c r="BC92" s="389">
        <f t="shared" ca="1" si="131"/>
        <v>-20282646.87308418</v>
      </c>
      <c r="BD92" s="389">
        <f t="shared" ca="1" si="131"/>
        <v>-20429496.901927035</v>
      </c>
      <c r="BE92" s="389">
        <f t="shared" ca="1" si="131"/>
        <v>-20524947.908222154</v>
      </c>
      <c r="BF92" s="389">
        <f t="shared" ca="1" si="131"/>
        <v>-20617526.211781006</v>
      </c>
      <c r="BG92" s="389">
        <f t="shared" ca="1" si="131"/>
        <v>-20694857.101878788</v>
      </c>
      <c r="BH92" s="389">
        <f t="shared" ca="1" si="131"/>
        <v>-20852223.102737609</v>
      </c>
      <c r="BI92" s="389">
        <f t="shared" ca="1" si="131"/>
        <v>-21014074.429084469</v>
      </c>
      <c r="BJ92" s="389">
        <f t="shared" ca="1" si="131"/>
        <v>-21132873.092141539</v>
      </c>
      <c r="BK92" s="389">
        <f t="shared" ca="1" si="131"/>
        <v>-21168488.518473204</v>
      </c>
      <c r="BL92" s="389">
        <f t="shared" ca="1" si="131"/>
        <v>-21336286.501638949</v>
      </c>
      <c r="BM92" s="389">
        <f t="shared" ca="1" si="131"/>
        <v>-21591061.449103437</v>
      </c>
      <c r="BN92" s="389">
        <f t="shared" ca="1" si="131"/>
        <v>-21848878.644517235</v>
      </c>
      <c r="BO92" s="389">
        <f t="shared" ca="1" si="131"/>
        <v>-22092848.814638194</v>
      </c>
      <c r="BP92" s="389">
        <f t="shared" ca="1" si="131"/>
        <v>-22241511.722331736</v>
      </c>
      <c r="BQ92" s="389">
        <f t="shared" ca="1" si="131"/>
        <v>-22354335.553878937</v>
      </c>
      <c r="BR92" s="389">
        <f t="shared" ca="1" si="131"/>
        <v>-22465026.415284578</v>
      </c>
      <c r="BS92" s="389">
        <f t="shared" ca="1" si="131"/>
        <v>-22559821.415339433</v>
      </c>
      <c r="BT92" s="389">
        <f t="shared" ca="1" si="131"/>
        <v>-22736693.906248651</v>
      </c>
      <c r="BU92" s="389">
        <f t="shared" ca="1" si="131"/>
        <v>-22918316.708928961</v>
      </c>
      <c r="BV92" s="389">
        <f t="shared" ref="BV92:DY92" ca="1" si="132">BU99</f>
        <v>-23055808.628450964</v>
      </c>
      <c r="BW92" s="389">
        <f t="shared" ca="1" si="132"/>
        <v>-23109670.498525616</v>
      </c>
      <c r="BX92" s="389">
        <f t="shared" ca="1" si="132"/>
        <v>-23297290.750570193</v>
      </c>
      <c r="BY92" s="389">
        <f t="shared" ca="1" si="132"/>
        <v>-23575481.898152761</v>
      </c>
      <c r="BZ92" s="389">
        <f t="shared" ca="1" si="132"/>
        <v>-23856994.904719789</v>
      </c>
      <c r="CA92" s="389">
        <f t="shared" ca="1" si="132"/>
        <v>-24114152.910279881</v>
      </c>
      <c r="CB92" s="389">
        <f t="shared" ca="1" si="132"/>
        <v>-24295493.154230114</v>
      </c>
      <c r="CC92" s="389">
        <f t="shared" ca="1" si="132"/>
        <v>-24428628.043040399</v>
      </c>
      <c r="CD92" s="389">
        <f t="shared" ca="1" si="132"/>
        <v>-24560499.071320869</v>
      </c>
      <c r="CE92" s="389">
        <f t="shared" ca="1" si="132"/>
        <v>-24675765.059756368</v>
      </c>
      <c r="CF92" s="389">
        <f t="shared" ca="1" si="132"/>
        <v>-24875285.964970034</v>
      </c>
      <c r="CG92" s="389">
        <f t="shared" ca="1" si="132"/>
        <v>-25079859.263752833</v>
      </c>
      <c r="CH92" s="389">
        <f t="shared" ca="1" si="132"/>
        <v>-25239160.304242942</v>
      </c>
      <c r="CI92" s="389">
        <f t="shared" ca="1" si="132"/>
        <v>-25314520.372744411</v>
      </c>
      <c r="CJ92" s="389">
        <f t="shared" ca="1" si="132"/>
        <v>-25525151.966532238</v>
      </c>
      <c r="CK92" s="389">
        <f t="shared" ca="1" si="132"/>
        <v>-25829945.832643699</v>
      </c>
      <c r="CL92" s="389">
        <f t="shared" ca="1" si="132"/>
        <v>-26138379.218744736</v>
      </c>
      <c r="CM92" s="389">
        <f t="shared" ca="1" si="132"/>
        <v>-26420128.59645601</v>
      </c>
      <c r="CN92" s="389">
        <f t="shared" ca="1" si="132"/>
        <v>-26622802.057001118</v>
      </c>
      <c r="CO92" s="389">
        <f t="shared" ca="1" si="132"/>
        <v>-26779560.445704486</v>
      </c>
      <c r="CP92" s="389">
        <f t="shared" ca="1" si="132"/>
        <v>-26936070.264220811</v>
      </c>
      <c r="CQ92" s="389">
        <f t="shared" ca="1" si="132"/>
        <v>-27072551.988000862</v>
      </c>
      <c r="CR92" s="389">
        <f t="shared" ca="1" si="132"/>
        <v>-27295585.712439433</v>
      </c>
      <c r="CS92" s="389">
        <f t="shared" ca="1" si="132"/>
        <v>-27523983.757905614</v>
      </c>
      <c r="CT92" s="389">
        <f t="shared" ca="1" si="132"/>
        <v>-27705868.132095542</v>
      </c>
      <c r="CU92" s="389">
        <f t="shared" ca="1" si="132"/>
        <v>-27803619.541960683</v>
      </c>
      <c r="CV92" s="389">
        <f t="shared" ca="1" si="132"/>
        <v>-28038054.940411467</v>
      </c>
      <c r="CW92" s="389">
        <f t="shared" ca="1" si="132"/>
        <v>-28372855.186644617</v>
      </c>
      <c r="CX92" s="389">
        <f t="shared" ca="1" si="132"/>
        <v>-28711653.256732382</v>
      </c>
      <c r="CY92" s="389">
        <f t="shared" ca="1" si="132"/>
        <v>-29021140.328231633</v>
      </c>
      <c r="CZ92" s="389">
        <f t="shared" ca="1" si="132"/>
        <v>-29216190.621624582</v>
      </c>
      <c r="DA92" s="389">
        <f t="shared" ca="1" si="132"/>
        <v>-29387909.566951312</v>
      </c>
      <c r="DB92" s="389">
        <f t="shared" ca="1" si="132"/>
        <v>-29560190.254711021</v>
      </c>
      <c r="DC92" s="389">
        <f t="shared" ca="1" si="132"/>
        <v>-29734272.310362313</v>
      </c>
      <c r="DD92" s="389">
        <f t="shared" ca="1" si="132"/>
        <v>-29998606.56459824</v>
      </c>
      <c r="DE92" s="389">
        <f t="shared" ca="1" si="132"/>
        <v>-30268879.339071915</v>
      </c>
      <c r="DF92" s="389">
        <f t="shared" ca="1" si="132"/>
        <v>-30490917.733236868</v>
      </c>
      <c r="DG92" s="389">
        <f t="shared" ca="1" si="132"/>
        <v>-30627456.99747134</v>
      </c>
      <c r="DH92" s="389">
        <f t="shared" ca="1" si="132"/>
        <v>-30904438.079477165</v>
      </c>
      <c r="DI92" s="389">
        <f t="shared" ca="1" si="132"/>
        <v>-31273465.585154571</v>
      </c>
      <c r="DJ92" s="389">
        <f t="shared" ca="1" si="132"/>
        <v>-31646899.619745273</v>
      </c>
      <c r="DK92" s="389">
        <f t="shared" ca="1" si="132"/>
        <v>-32000276.999410827</v>
      </c>
      <c r="DL92" s="389">
        <f t="shared" ca="1" si="132"/>
        <v>-32259710.36132098</v>
      </c>
      <c r="DM92" s="389">
        <f t="shared" ca="1" si="132"/>
        <v>-32474141.994363986</v>
      </c>
      <c r="DN92" s="389">
        <f t="shared" ca="1" si="132"/>
        <v>-32690440.261870191</v>
      </c>
      <c r="DO92" s="389">
        <f t="shared" ca="1" si="132"/>
        <v>-32888815.58701735</v>
      </c>
      <c r="DP92" s="389">
        <f t="shared" ca="1" si="132"/>
        <v>-33181247.527002122</v>
      </c>
      <c r="DQ92" s="389">
        <f ca="1">DP99</f>
        <v>-33480036.963278107</v>
      </c>
      <c r="DR92" s="389">
        <f t="shared" ref="DR92:DX92" ca="1" si="133">DQ99</f>
        <v>-33728496.448970623</v>
      </c>
      <c r="DS92" s="389">
        <f t="shared" ca="1" si="133"/>
        <v>-33890020.017677106</v>
      </c>
      <c r="DT92" s="389">
        <f t="shared" ca="1" si="133"/>
        <v>-34195540.099894352</v>
      </c>
      <c r="DU92" s="389">
        <f t="shared" ca="1" si="133"/>
        <v>-34603866.400340363</v>
      </c>
      <c r="DV92" s="389">
        <f t="shared" ca="1" si="133"/>
        <v>-35017068.493569553</v>
      </c>
      <c r="DW92" s="389">
        <f t="shared" ca="1" si="133"/>
        <v>-35394522.549720861</v>
      </c>
      <c r="DX92" s="389">
        <f t="shared" ca="1" si="133"/>
        <v>-35680655.74115219</v>
      </c>
      <c r="DY92" s="389">
        <f t="shared" ca="1" si="132"/>
        <v>-35923014.016008593</v>
      </c>
      <c r="DZ92" s="389"/>
      <c r="EA92" s="389"/>
    </row>
    <row r="93" spans="1:131" s="390" customFormat="1">
      <c r="A93" s="389"/>
      <c r="B93" s="389"/>
      <c r="C93" s="389"/>
      <c r="D93" s="389" t="s">
        <v>112</v>
      </c>
      <c r="E93" s="389"/>
      <c r="F93" s="389"/>
      <c r="G93" s="796"/>
      <c r="H93" s="389"/>
      <c r="I93" s="703">
        <f t="shared" ref="I93:BT93" si="134">I83</f>
        <v>0</v>
      </c>
      <c r="J93" s="389">
        <f t="shared" ca="1" si="134"/>
        <v>-4680000</v>
      </c>
      <c r="K93" s="389">
        <f t="shared" ca="1" si="134"/>
        <v>-352037.7064366049</v>
      </c>
      <c r="L93" s="389">
        <f t="shared" ca="1" si="134"/>
        <v>-2475663.5995460674</v>
      </c>
      <c r="M93" s="389">
        <f t="shared" ca="1" si="134"/>
        <v>-2475663.5995460674</v>
      </c>
      <c r="N93" s="389">
        <f t="shared" ca="1" si="134"/>
        <v>-2475663.5995460674</v>
      </c>
      <c r="O93" s="389">
        <f t="shared" ca="1" si="134"/>
        <v>-2475663.5995460674</v>
      </c>
      <c r="P93" s="389">
        <f t="shared" ca="1" si="134"/>
        <v>-2475663.5995460674</v>
      </c>
      <c r="Q93" s="389">
        <f t="shared" ca="1" si="134"/>
        <v>-2383976.2021068749</v>
      </c>
      <c r="R93" s="389">
        <f t="shared" ca="1" si="134"/>
        <v>0</v>
      </c>
      <c r="S93" s="389">
        <f t="shared" ca="1" si="134"/>
        <v>0</v>
      </c>
      <c r="T93" s="389">
        <f t="shared" ca="1" si="134"/>
        <v>0</v>
      </c>
      <c r="U93" s="389">
        <f t="shared" ca="1" si="134"/>
        <v>0</v>
      </c>
      <c r="V93" s="389">
        <f t="shared" ca="1" si="134"/>
        <v>0</v>
      </c>
      <c r="W93" s="389">
        <f t="shared" ca="1" si="134"/>
        <v>0</v>
      </c>
      <c r="X93" s="389">
        <f t="shared" ca="1" si="134"/>
        <v>0</v>
      </c>
      <c r="Y93" s="389">
        <f t="shared" ca="1" si="134"/>
        <v>0</v>
      </c>
      <c r="Z93" s="389">
        <f t="shared" ca="1" si="134"/>
        <v>0</v>
      </c>
      <c r="AA93" s="389">
        <f t="shared" ca="1" si="134"/>
        <v>0</v>
      </c>
      <c r="AB93" s="389">
        <f t="shared" ca="1" si="134"/>
        <v>0</v>
      </c>
      <c r="AC93" s="389">
        <f t="shared" ca="1" si="134"/>
        <v>0</v>
      </c>
      <c r="AD93" s="389">
        <f t="shared" ca="1" si="134"/>
        <v>0</v>
      </c>
      <c r="AE93" s="389">
        <f t="shared" ca="1" si="134"/>
        <v>0</v>
      </c>
      <c r="AF93" s="389">
        <f t="shared" ca="1" si="134"/>
        <v>0</v>
      </c>
      <c r="AG93" s="389">
        <f t="shared" ca="1" si="134"/>
        <v>0</v>
      </c>
      <c r="AH93" s="389">
        <f t="shared" ca="1" si="134"/>
        <v>0</v>
      </c>
      <c r="AI93" s="389">
        <f t="shared" ca="1" si="134"/>
        <v>0</v>
      </c>
      <c r="AJ93" s="389">
        <f t="shared" ca="1" si="134"/>
        <v>0</v>
      </c>
      <c r="AK93" s="389">
        <f t="shared" ca="1" si="134"/>
        <v>0</v>
      </c>
      <c r="AL93" s="389">
        <f t="shared" ca="1" si="134"/>
        <v>0</v>
      </c>
      <c r="AM93" s="389">
        <f t="shared" ca="1" si="134"/>
        <v>0</v>
      </c>
      <c r="AN93" s="389">
        <f t="shared" ca="1" si="134"/>
        <v>0</v>
      </c>
      <c r="AO93" s="389">
        <f t="shared" ca="1" si="134"/>
        <v>0</v>
      </c>
      <c r="AP93" s="389">
        <f t="shared" ca="1" si="134"/>
        <v>0</v>
      </c>
      <c r="AQ93" s="389">
        <f t="shared" ca="1" si="134"/>
        <v>0</v>
      </c>
      <c r="AR93" s="389">
        <f t="shared" ca="1" si="134"/>
        <v>0</v>
      </c>
      <c r="AS93" s="389">
        <f t="shared" ca="1" si="134"/>
        <v>0</v>
      </c>
      <c r="AT93" s="389">
        <f t="shared" ca="1" si="134"/>
        <v>0</v>
      </c>
      <c r="AU93" s="389">
        <f t="shared" ca="1" si="134"/>
        <v>0</v>
      </c>
      <c r="AV93" s="389">
        <f t="shared" ca="1" si="134"/>
        <v>0</v>
      </c>
      <c r="AW93" s="389">
        <f t="shared" ca="1" si="134"/>
        <v>0</v>
      </c>
      <c r="AX93" s="389">
        <f t="shared" ca="1" si="134"/>
        <v>0</v>
      </c>
      <c r="AY93" s="389">
        <f t="shared" ca="1" si="134"/>
        <v>0</v>
      </c>
      <c r="AZ93" s="389">
        <f t="shared" ca="1" si="134"/>
        <v>0</v>
      </c>
      <c r="BA93" s="389">
        <f t="shared" ca="1" si="134"/>
        <v>0</v>
      </c>
      <c r="BB93" s="389">
        <f t="shared" ca="1" si="134"/>
        <v>0</v>
      </c>
      <c r="BC93" s="389">
        <f t="shared" ca="1" si="134"/>
        <v>0</v>
      </c>
      <c r="BD93" s="389">
        <f t="shared" ca="1" si="134"/>
        <v>0</v>
      </c>
      <c r="BE93" s="389">
        <f t="shared" ca="1" si="134"/>
        <v>0</v>
      </c>
      <c r="BF93" s="389">
        <f t="shared" ca="1" si="134"/>
        <v>0</v>
      </c>
      <c r="BG93" s="389">
        <f t="shared" ca="1" si="134"/>
        <v>0</v>
      </c>
      <c r="BH93" s="389">
        <f t="shared" ca="1" si="134"/>
        <v>0</v>
      </c>
      <c r="BI93" s="389">
        <f t="shared" ca="1" si="134"/>
        <v>0</v>
      </c>
      <c r="BJ93" s="389">
        <f t="shared" ca="1" si="134"/>
        <v>0</v>
      </c>
      <c r="BK93" s="389">
        <f t="shared" ca="1" si="134"/>
        <v>0</v>
      </c>
      <c r="BL93" s="389">
        <f t="shared" ca="1" si="134"/>
        <v>0</v>
      </c>
      <c r="BM93" s="389">
        <f t="shared" ca="1" si="134"/>
        <v>0</v>
      </c>
      <c r="BN93" s="389">
        <f t="shared" ca="1" si="134"/>
        <v>0</v>
      </c>
      <c r="BO93" s="389">
        <f t="shared" ca="1" si="134"/>
        <v>0</v>
      </c>
      <c r="BP93" s="389">
        <f t="shared" ca="1" si="134"/>
        <v>0</v>
      </c>
      <c r="BQ93" s="389">
        <f t="shared" ca="1" si="134"/>
        <v>0</v>
      </c>
      <c r="BR93" s="389">
        <f t="shared" ca="1" si="134"/>
        <v>0</v>
      </c>
      <c r="BS93" s="389">
        <f t="shared" ca="1" si="134"/>
        <v>0</v>
      </c>
      <c r="BT93" s="389">
        <f t="shared" ca="1" si="134"/>
        <v>0</v>
      </c>
      <c r="BU93" s="389">
        <f t="shared" ref="BU93:DY93" ca="1" si="135">BU83</f>
        <v>0</v>
      </c>
      <c r="BV93" s="389">
        <f t="shared" ca="1" si="135"/>
        <v>0</v>
      </c>
      <c r="BW93" s="389">
        <f t="shared" ca="1" si="135"/>
        <v>0</v>
      </c>
      <c r="BX93" s="389">
        <f t="shared" ca="1" si="135"/>
        <v>0</v>
      </c>
      <c r="BY93" s="389">
        <f t="shared" ca="1" si="135"/>
        <v>0</v>
      </c>
      <c r="BZ93" s="389">
        <f t="shared" ca="1" si="135"/>
        <v>0</v>
      </c>
      <c r="CA93" s="389">
        <f t="shared" ca="1" si="135"/>
        <v>0</v>
      </c>
      <c r="CB93" s="389">
        <f t="shared" ca="1" si="135"/>
        <v>0</v>
      </c>
      <c r="CC93" s="389">
        <f t="shared" ca="1" si="135"/>
        <v>0</v>
      </c>
      <c r="CD93" s="389">
        <f t="shared" ca="1" si="135"/>
        <v>0</v>
      </c>
      <c r="CE93" s="389">
        <f t="shared" ca="1" si="135"/>
        <v>0</v>
      </c>
      <c r="CF93" s="389">
        <f t="shared" ca="1" si="135"/>
        <v>0</v>
      </c>
      <c r="CG93" s="389">
        <f t="shared" ca="1" si="135"/>
        <v>0</v>
      </c>
      <c r="CH93" s="389">
        <f t="shared" ca="1" si="135"/>
        <v>0</v>
      </c>
      <c r="CI93" s="389">
        <f t="shared" ca="1" si="135"/>
        <v>0</v>
      </c>
      <c r="CJ93" s="389">
        <f t="shared" ca="1" si="135"/>
        <v>0</v>
      </c>
      <c r="CK93" s="389">
        <f t="shared" ca="1" si="135"/>
        <v>0</v>
      </c>
      <c r="CL93" s="389">
        <f t="shared" ca="1" si="135"/>
        <v>0</v>
      </c>
      <c r="CM93" s="389">
        <f t="shared" ca="1" si="135"/>
        <v>0</v>
      </c>
      <c r="CN93" s="389">
        <f t="shared" ca="1" si="135"/>
        <v>0</v>
      </c>
      <c r="CO93" s="389">
        <f t="shared" ca="1" si="135"/>
        <v>0</v>
      </c>
      <c r="CP93" s="389">
        <f t="shared" ca="1" si="135"/>
        <v>0</v>
      </c>
      <c r="CQ93" s="389">
        <f t="shared" ca="1" si="135"/>
        <v>0</v>
      </c>
      <c r="CR93" s="389">
        <f t="shared" ca="1" si="135"/>
        <v>0</v>
      </c>
      <c r="CS93" s="389">
        <f t="shared" ca="1" si="135"/>
        <v>0</v>
      </c>
      <c r="CT93" s="389">
        <f t="shared" ca="1" si="135"/>
        <v>0</v>
      </c>
      <c r="CU93" s="389">
        <f t="shared" ca="1" si="135"/>
        <v>0</v>
      </c>
      <c r="CV93" s="389">
        <f t="shared" ca="1" si="135"/>
        <v>0</v>
      </c>
      <c r="CW93" s="389">
        <f t="shared" ca="1" si="135"/>
        <v>0</v>
      </c>
      <c r="CX93" s="389">
        <f t="shared" ca="1" si="135"/>
        <v>0</v>
      </c>
      <c r="CY93" s="389">
        <f t="shared" ca="1" si="135"/>
        <v>0</v>
      </c>
      <c r="CZ93" s="389">
        <f t="shared" ca="1" si="135"/>
        <v>0</v>
      </c>
      <c r="DA93" s="389">
        <f t="shared" ca="1" si="135"/>
        <v>0</v>
      </c>
      <c r="DB93" s="389">
        <f t="shared" ca="1" si="135"/>
        <v>0</v>
      </c>
      <c r="DC93" s="389">
        <f t="shared" ca="1" si="135"/>
        <v>0</v>
      </c>
      <c r="DD93" s="389">
        <f t="shared" ca="1" si="135"/>
        <v>0</v>
      </c>
      <c r="DE93" s="389">
        <f t="shared" ca="1" si="135"/>
        <v>0</v>
      </c>
      <c r="DF93" s="389">
        <f t="shared" ca="1" si="135"/>
        <v>0</v>
      </c>
      <c r="DG93" s="389">
        <f t="shared" ca="1" si="135"/>
        <v>0</v>
      </c>
      <c r="DH93" s="389">
        <f t="shared" ca="1" si="135"/>
        <v>0</v>
      </c>
      <c r="DI93" s="389">
        <f t="shared" ca="1" si="135"/>
        <v>0</v>
      </c>
      <c r="DJ93" s="389">
        <f t="shared" ca="1" si="135"/>
        <v>0</v>
      </c>
      <c r="DK93" s="389">
        <f t="shared" ca="1" si="135"/>
        <v>0</v>
      </c>
      <c r="DL93" s="389">
        <f t="shared" ca="1" si="135"/>
        <v>0</v>
      </c>
      <c r="DM93" s="389">
        <f t="shared" ca="1" si="135"/>
        <v>0</v>
      </c>
      <c r="DN93" s="389">
        <f t="shared" ca="1" si="135"/>
        <v>0</v>
      </c>
      <c r="DO93" s="389">
        <f t="shared" ca="1" si="135"/>
        <v>0</v>
      </c>
      <c r="DP93" s="389">
        <f t="shared" ca="1" si="135"/>
        <v>0</v>
      </c>
      <c r="DQ93" s="389">
        <f t="shared" ca="1" si="135"/>
        <v>0</v>
      </c>
      <c r="DR93" s="389">
        <f t="shared" ca="1" si="135"/>
        <v>0</v>
      </c>
      <c r="DS93" s="389">
        <f t="shared" ca="1" si="135"/>
        <v>0</v>
      </c>
      <c r="DT93" s="389">
        <f t="shared" ca="1" si="135"/>
        <v>0</v>
      </c>
      <c r="DU93" s="389">
        <f t="shared" ca="1" si="135"/>
        <v>0</v>
      </c>
      <c r="DV93" s="389">
        <f t="shared" ca="1" si="135"/>
        <v>0</v>
      </c>
      <c r="DW93" s="389">
        <f t="shared" ca="1" si="135"/>
        <v>0</v>
      </c>
      <c r="DX93" s="389">
        <f t="shared" ca="1" si="135"/>
        <v>0</v>
      </c>
      <c r="DY93" s="389">
        <f t="shared" ca="1" si="135"/>
        <v>0</v>
      </c>
      <c r="DZ93" s="389"/>
      <c r="EA93" s="389"/>
    </row>
    <row r="94" spans="1:131" s="390" customFormat="1">
      <c r="A94" s="389"/>
      <c r="B94" s="389"/>
      <c r="C94" s="389"/>
      <c r="D94" s="389" t="s">
        <v>125</v>
      </c>
      <c r="E94" s="389"/>
      <c r="F94" s="389"/>
      <c r="G94" s="796"/>
      <c r="H94" s="389"/>
      <c r="I94" s="703">
        <f>I92*$E$91</f>
        <v>0</v>
      </c>
      <c r="J94" s="389">
        <f>J92*(((1+$E91)^((J$14-I$14)/365))-1)</f>
        <v>0</v>
      </c>
      <c r="K94" s="389">
        <f t="shared" ref="K94:BV94" ca="1" si="136">K92*(((1+$E91)^((K$14-J$14)/365))-1)</f>
        <v>-55883.518157773564</v>
      </c>
      <c r="L94" s="389">
        <f t="shared" ca="1" si="136"/>
        <v>-60754.473961525953</v>
      </c>
      <c r="M94" s="389">
        <f t="shared" ca="1" si="136"/>
        <v>-88087.919482187383</v>
      </c>
      <c r="N94" s="389">
        <f t="shared" ca="1" si="136"/>
        <v>-121655.20473763744</v>
      </c>
      <c r="O94" s="389">
        <f t="shared" ca="1" si="136"/>
        <v>-147716.42358023918</v>
      </c>
      <c r="P94" s="389">
        <f t="shared" ca="1" si="136"/>
        <v>-183995.16578845677</v>
      </c>
      <c r="Q94" s="389">
        <f t="shared" ca="1" si="136"/>
        <v>-215753.94546923743</v>
      </c>
      <c r="R94" s="389">
        <f t="shared" ca="1" si="136"/>
        <v>-230786.17080501755</v>
      </c>
      <c r="S94" s="389">
        <f t="shared" ca="1" si="136"/>
        <v>-249552.92198080287</v>
      </c>
      <c r="T94" s="389">
        <f t="shared" ca="1" si="136"/>
        <v>-244339.71877477074</v>
      </c>
      <c r="U94" s="389">
        <f t="shared" ca="1" si="136"/>
        <v>-255450.45581790857</v>
      </c>
      <c r="V94" s="389">
        <f t="shared" ca="1" si="136"/>
        <v>-250114.0521217229</v>
      </c>
      <c r="W94" s="389">
        <f t="shared" ca="1" si="136"/>
        <v>-261487.36251862871</v>
      </c>
      <c r="X94" s="389">
        <f t="shared" ca="1" si="136"/>
        <v>-264609.76289711974</v>
      </c>
      <c r="Y94" s="389">
        <f t="shared" ca="1" si="136"/>
        <v>-259082.0197100903</v>
      </c>
      <c r="Z94" s="389">
        <f t="shared" ca="1" si="136"/>
        <v>-270863.12598310405</v>
      </c>
      <c r="AA94" s="389">
        <f t="shared" ca="1" si="136"/>
        <v>-265204.74897207622</v>
      </c>
      <c r="AB94" s="389">
        <f t="shared" ca="1" si="136"/>
        <v>-277264.27103093674</v>
      </c>
      <c r="AC94" s="389">
        <f t="shared" ca="1" si="136"/>
        <v>-280575.06225415453</v>
      </c>
      <c r="AD94" s="389">
        <f t="shared" ca="1" si="136"/>
        <v>-256301.20717707809</v>
      </c>
      <c r="AE94" s="389">
        <f t="shared" ca="1" si="136"/>
        <v>-286985.86027792329</v>
      </c>
      <c r="AF94" s="389">
        <f t="shared" ca="1" si="136"/>
        <v>-280990.67659098638</v>
      </c>
      <c r="AG94" s="389">
        <f t="shared" ca="1" si="136"/>
        <v>-293768.02419059491</v>
      </c>
      <c r="AH94" s="389">
        <f t="shared" ca="1" si="136"/>
        <v>-287631.15993998136</v>
      </c>
      <c r="AI94" s="389">
        <f t="shared" ca="1" si="136"/>
        <v>-300710.46689642308</v>
      </c>
      <c r="AJ94" s="389">
        <f t="shared" ca="1" si="136"/>
        <v>-205399.08077061962</v>
      </c>
      <c r="AK94" s="389">
        <f t="shared" ca="1" si="136"/>
        <v>-201108.2588564133</v>
      </c>
      <c r="AL94" s="389">
        <f t="shared" ca="1" si="136"/>
        <v>-210159.30111290698</v>
      </c>
      <c r="AM94" s="389">
        <f t="shared" ca="1" si="136"/>
        <v>-204507.91807820974</v>
      </c>
      <c r="AN94" s="389">
        <f t="shared" ca="1" si="136"/>
        <v>-213729.47089326687</v>
      </c>
      <c r="AO94" s="389">
        <f t="shared" ca="1" si="136"/>
        <v>-216281.59798034278</v>
      </c>
      <c r="AP94" s="389">
        <f t="shared" ca="1" si="136"/>
        <v>-197570.06986720729</v>
      </c>
      <c r="AQ94" s="389">
        <f t="shared" ca="1" si="136"/>
        <v>-221223.36874845892</v>
      </c>
      <c r="AR94" s="389">
        <f t="shared" ca="1" si="136"/>
        <v>-216601.97475293034</v>
      </c>
      <c r="AS94" s="389">
        <f t="shared" ca="1" si="136"/>
        <v>-225748.40425006745</v>
      </c>
      <c r="AT94" s="389">
        <f t="shared" ca="1" si="136"/>
        <v>-219417.39606401042</v>
      </c>
      <c r="AU94" s="389">
        <f t="shared" ca="1" si="136"/>
        <v>-227487.0557406251</v>
      </c>
      <c r="AV94" s="389">
        <f t="shared" ca="1" si="136"/>
        <v>-229131.64870227722</v>
      </c>
      <c r="AW94" s="389">
        <f t="shared" ca="1" si="136"/>
        <v>-223337.74697316432</v>
      </c>
      <c r="AX94" s="389">
        <f t="shared" ca="1" si="136"/>
        <v>-232019.30109841522</v>
      </c>
      <c r="AY94" s="389">
        <f t="shared" ca="1" si="136"/>
        <v>-224690.7692018504</v>
      </c>
      <c r="AZ94" s="389">
        <f t="shared" ca="1" si="136"/>
        <v>-233989.26060678234</v>
      </c>
      <c r="BA94" s="389">
        <f t="shared" ca="1" si="136"/>
        <v>-236783.30827640693</v>
      </c>
      <c r="BB94" s="389">
        <f t="shared" ca="1" si="136"/>
        <v>-216298.08174345939</v>
      </c>
      <c r="BC94" s="389">
        <f t="shared" ca="1" si="136"/>
        <v>-242193.51812386943</v>
      </c>
      <c r="BD94" s="389">
        <f t="shared" ca="1" si="136"/>
        <v>-236032.50167611788</v>
      </c>
      <c r="BE94" s="389">
        <f t="shared" ca="1" si="136"/>
        <v>-245086.8160505319</v>
      </c>
      <c r="BF94" s="389">
        <f t="shared" ca="1" si="136"/>
        <v>-238204.90115351669</v>
      </c>
      <c r="BG94" s="389">
        <f t="shared" ca="1" si="136"/>
        <v>-247115.68859516503</v>
      </c>
      <c r="BH94" s="389">
        <f t="shared" ca="1" si="136"/>
        <v>-248994.78384439799</v>
      </c>
      <c r="BI94" s="389">
        <f t="shared" ca="1" si="136"/>
        <v>-242786.42698426353</v>
      </c>
      <c r="BJ94" s="389">
        <f t="shared" ca="1" si="136"/>
        <v>-252346.00366893504</v>
      </c>
      <c r="BK94" s="389">
        <f t="shared" ca="1" si="136"/>
        <v>-244570.45250321916</v>
      </c>
      <c r="BL94" s="389">
        <f t="shared" ca="1" si="136"/>
        <v>-254774.94746448699</v>
      </c>
      <c r="BM94" s="389">
        <f t="shared" ca="1" si="136"/>
        <v>-257817.19541379844</v>
      </c>
      <c r="BN94" s="389">
        <f t="shared" ca="1" si="136"/>
        <v>-243970.17012095937</v>
      </c>
      <c r="BO94" s="389">
        <f t="shared" ca="1" si="136"/>
        <v>-263808.9995490982</v>
      </c>
      <c r="BP94" s="389">
        <f t="shared" ca="1" si="136"/>
        <v>-256967.64233021694</v>
      </c>
      <c r="BQ94" s="389">
        <f t="shared" ca="1" si="136"/>
        <v>-266931.39248507621</v>
      </c>
      <c r="BR94" s="389">
        <f t="shared" ca="1" si="136"/>
        <v>-259550.02271835328</v>
      </c>
      <c r="BS94" s="389">
        <f t="shared" ca="1" si="136"/>
        <v>-269385.08326928422</v>
      </c>
      <c r="BT94" s="389">
        <f t="shared" ca="1" si="136"/>
        <v>-271497.10400803119</v>
      </c>
      <c r="BU94" s="389">
        <f t="shared" ca="1" si="136"/>
        <v>-264787.11898694979</v>
      </c>
      <c r="BV94" s="389">
        <f t="shared" ca="1" si="136"/>
        <v>-275307.62823294697</v>
      </c>
      <c r="BW94" s="389">
        <f t="shared" ref="BW94:DY94" ca="1" si="137">BW92*(((1+$E91)^((BW$14-BV$14)/365))-1)</f>
        <v>-266997.9278913748</v>
      </c>
      <c r="BX94" s="389">
        <f t="shared" ca="1" si="137"/>
        <v>-278191.14758256823</v>
      </c>
      <c r="BY94" s="389">
        <f t="shared" ca="1" si="137"/>
        <v>-281513.00656702602</v>
      </c>
      <c r="BZ94" s="389">
        <f t="shared" ca="1" si="137"/>
        <v>-257158.00556009362</v>
      </c>
      <c r="CA94" s="389">
        <f t="shared" ca="1" si="137"/>
        <v>-287945.2354745628</v>
      </c>
      <c r="CB94" s="389">
        <f t="shared" ca="1" si="137"/>
        <v>-280698.34789260104</v>
      </c>
      <c r="CC94" s="389">
        <f t="shared" ca="1" si="137"/>
        <v>-291700.35872067191</v>
      </c>
      <c r="CD94" s="389">
        <f t="shared" ca="1" si="137"/>
        <v>-283760.0977668236</v>
      </c>
      <c r="CE94" s="389">
        <f t="shared" ca="1" si="137"/>
        <v>-294651.40272945503</v>
      </c>
      <c r="CF94" s="389">
        <f t="shared" ca="1" si="137"/>
        <v>-297033.86643231043</v>
      </c>
      <c r="CG94" s="389">
        <f t="shared" ca="1" si="137"/>
        <v>-289760.5336110926</v>
      </c>
      <c r="CH94" s="389">
        <f t="shared" ca="1" si="137"/>
        <v>-301378.8617839996</v>
      </c>
      <c r="CI94" s="389">
        <f t="shared" ca="1" si="137"/>
        <v>-292471.69428564404</v>
      </c>
      <c r="CJ94" s="389">
        <f t="shared" ca="1" si="137"/>
        <v>-304793.8661114602</v>
      </c>
      <c r="CK94" s="389">
        <f t="shared" ca="1" si="137"/>
        <v>-308433.38610103668</v>
      </c>
      <c r="CL94" s="389">
        <f t="shared" ca="1" si="137"/>
        <v>-281749.37771127227</v>
      </c>
      <c r="CM94" s="389">
        <f t="shared" ca="1" si="137"/>
        <v>-315480.71285272692</v>
      </c>
      <c r="CN94" s="389">
        <f t="shared" ca="1" si="137"/>
        <v>-307586.94652678107</v>
      </c>
      <c r="CO94" s="389">
        <f t="shared" ca="1" si="137"/>
        <v>-319772.66077451309</v>
      </c>
      <c r="CP94" s="389">
        <f t="shared" ca="1" si="137"/>
        <v>-311206.29550050362</v>
      </c>
      <c r="CQ94" s="389">
        <f t="shared" ca="1" si="137"/>
        <v>-323271.25012793054</v>
      </c>
      <c r="CR94" s="389">
        <f t="shared" ca="1" si="137"/>
        <v>-325934.47858721658</v>
      </c>
      <c r="CS94" s="389">
        <f t="shared" ca="1" si="137"/>
        <v>-317998.76294841617</v>
      </c>
      <c r="CT94" s="389">
        <f t="shared" ca="1" si="137"/>
        <v>-330833.62923864124</v>
      </c>
      <c r="CU94" s="389">
        <f t="shared" ca="1" si="137"/>
        <v>-321229.53921204776</v>
      </c>
      <c r="CV94" s="389">
        <f t="shared" ca="1" si="137"/>
        <v>-334800.24623314891</v>
      </c>
      <c r="CW94" s="389">
        <f t="shared" ca="1" si="137"/>
        <v>-338798.07008776371</v>
      </c>
      <c r="CX94" s="389">
        <f t="shared" ca="1" si="137"/>
        <v>-309487.07149925042</v>
      </c>
      <c r="CY94" s="389">
        <f t="shared" ca="1" si="137"/>
        <v>-346539.19284017669</v>
      </c>
      <c r="CZ94" s="389">
        <f t="shared" ca="1" si="137"/>
        <v>-337549.7005615402</v>
      </c>
      <c r="DA94" s="389">
        <f t="shared" ca="1" si="137"/>
        <v>-350918.75596233568</v>
      </c>
      <c r="DB94" s="389">
        <f t="shared" ca="1" si="137"/>
        <v>-341524.10552916327</v>
      </c>
      <c r="DC94" s="389">
        <f t="shared" ca="1" si="137"/>
        <v>-355054.64670177689</v>
      </c>
      <c r="DD94" s="389">
        <f t="shared" ca="1" si="137"/>
        <v>-358211.04159415193</v>
      </c>
      <c r="DE94" s="389">
        <f t="shared" ca="1" si="137"/>
        <v>-349711.95559200452</v>
      </c>
      <c r="DF94" s="389">
        <f t="shared" ca="1" si="137"/>
        <v>-364089.69119498343</v>
      </c>
      <c r="DG94" s="389">
        <f t="shared" ca="1" si="137"/>
        <v>-353854.78799573338</v>
      </c>
      <c r="DH94" s="389">
        <f t="shared" ca="1" si="137"/>
        <v>-369027.505677404</v>
      </c>
      <c r="DI94" s="389">
        <f t="shared" ca="1" si="137"/>
        <v>-373434.03459070344</v>
      </c>
      <c r="DJ94" s="389">
        <f t="shared" ca="1" si="137"/>
        <v>-353377.37966555386</v>
      </c>
      <c r="DK94" s="389">
        <f t="shared" ca="1" si="137"/>
        <v>-382112.83349366637</v>
      </c>
      <c r="DL94" s="389">
        <f t="shared" ca="1" si="137"/>
        <v>-372713.0519406643</v>
      </c>
      <c r="DM94" s="389">
        <f t="shared" ca="1" si="137"/>
        <v>-387771.21876071725</v>
      </c>
      <c r="DN94" s="389">
        <f t="shared" ca="1" si="137"/>
        <v>-377689.4963661629</v>
      </c>
      <c r="DO94" s="389">
        <f t="shared" ca="1" si="137"/>
        <v>-392722.80406939104</v>
      </c>
      <c r="DP94" s="389">
        <f t="shared" ca="1" si="137"/>
        <v>-396214.71125487227</v>
      </c>
      <c r="DQ94" s="389">
        <f t="shared" ca="1" si="137"/>
        <v>-386812.11380717007</v>
      </c>
      <c r="DR94" s="389">
        <f t="shared" ca="1" si="137"/>
        <v>-402749.36832060915</v>
      </c>
      <c r="DS94" s="389">
        <f t="shared" ca="1" si="137"/>
        <v>-391548.85923164914</v>
      </c>
      <c r="DT94" s="389">
        <f t="shared" ca="1" si="137"/>
        <v>-408326.30044600856</v>
      </c>
      <c r="DU94" s="389">
        <f t="shared" ca="1" si="137"/>
        <v>-413202.09322918614</v>
      </c>
      <c r="DV94" s="389">
        <f t="shared" ca="1" si="137"/>
        <v>-377454.05615130661</v>
      </c>
      <c r="DW94" s="389">
        <f t="shared" ca="1" si="137"/>
        <v>-422643.25717800244</v>
      </c>
      <c r="DX94" s="389">
        <f t="shared" ca="1" si="137"/>
        <v>-412236.99616577901</v>
      </c>
      <c r="DY94" s="389">
        <f t="shared" ca="1" si="137"/>
        <v>-428953.93291572016</v>
      </c>
      <c r="DZ94" s="389"/>
      <c r="EA94" s="389"/>
    </row>
    <row r="95" spans="1:131" s="390" customFormat="1">
      <c r="A95" s="389"/>
      <c r="B95" s="389"/>
      <c r="C95" s="389"/>
      <c r="D95" s="389" t="s">
        <v>129</v>
      </c>
      <c r="E95" s="389"/>
      <c r="F95" s="389"/>
      <c r="G95" s="796"/>
      <c r="H95" s="389"/>
      <c r="I95" s="703">
        <f t="shared" ref="I95:BT95" si="138">I85</f>
        <v>0</v>
      </c>
      <c r="J95" s="389">
        <f t="shared" ca="1" si="138"/>
        <v>0</v>
      </c>
      <c r="K95" s="389">
        <f t="shared" ca="1" si="138"/>
        <v>0</v>
      </c>
      <c r="L95" s="389">
        <f t="shared" ca="1" si="138"/>
        <v>0</v>
      </c>
      <c r="M95" s="389">
        <f t="shared" ca="1" si="138"/>
        <v>0</v>
      </c>
      <c r="N95" s="389">
        <f t="shared" ca="1" si="138"/>
        <v>0</v>
      </c>
      <c r="O95" s="389">
        <f t="shared" ca="1" si="138"/>
        <v>0</v>
      </c>
      <c r="P95" s="389">
        <f t="shared" ca="1" si="138"/>
        <v>0</v>
      </c>
      <c r="Q95" s="389">
        <f t="shared" ca="1" si="138"/>
        <v>0</v>
      </c>
      <c r="R95" s="389">
        <f t="shared" ca="1" si="138"/>
        <v>0</v>
      </c>
      <c r="S95" s="389">
        <f t="shared" ca="1" si="138"/>
        <v>0</v>
      </c>
      <c r="T95" s="389">
        <f t="shared" ca="1" si="138"/>
        <v>0</v>
      </c>
      <c r="U95" s="389">
        <f t="shared" ca="1" si="138"/>
        <v>0</v>
      </c>
      <c r="V95" s="389">
        <f t="shared" ca="1" si="138"/>
        <v>0</v>
      </c>
      <c r="W95" s="389">
        <f t="shared" ca="1" si="138"/>
        <v>0</v>
      </c>
      <c r="X95" s="389">
        <f t="shared" ca="1" si="138"/>
        <v>0</v>
      </c>
      <c r="Y95" s="389">
        <f t="shared" ca="1" si="138"/>
        <v>0</v>
      </c>
      <c r="Z95" s="389">
        <f t="shared" ca="1" si="138"/>
        <v>0</v>
      </c>
      <c r="AA95" s="389">
        <f t="shared" ca="1" si="138"/>
        <v>0</v>
      </c>
      <c r="AB95" s="389">
        <f t="shared" ca="1" si="138"/>
        <v>0</v>
      </c>
      <c r="AC95" s="389">
        <f t="shared" ca="1" si="138"/>
        <v>0</v>
      </c>
      <c r="AD95" s="389">
        <f t="shared" ca="1" si="138"/>
        <v>0</v>
      </c>
      <c r="AE95" s="389">
        <f t="shared" ca="1" si="138"/>
        <v>0</v>
      </c>
      <c r="AF95" s="389">
        <f t="shared" ca="1" si="138"/>
        <v>0</v>
      </c>
      <c r="AG95" s="389">
        <f t="shared" ca="1" si="138"/>
        <v>0</v>
      </c>
      <c r="AH95" s="389">
        <f ca="1">AH85</f>
        <v>0</v>
      </c>
      <c r="AI95" s="389">
        <f ca="1">AI85</f>
        <v>8282621.8027114943</v>
      </c>
      <c r="AJ95" s="389">
        <f ca="1">AJ85</f>
        <v>0</v>
      </c>
      <c r="AK95" s="389">
        <f ca="1">AK85</f>
        <v>7859.725154927618</v>
      </c>
      <c r="AL95" s="389">
        <f ca="1">AL85</f>
        <v>109154.5983063013</v>
      </c>
      <c r="AM95" s="389">
        <f t="shared" ca="1" si="138"/>
        <v>6526.5311953254632</v>
      </c>
      <c r="AN95" s="389">
        <f t="shared" ca="1" si="138"/>
        <v>0</v>
      </c>
      <c r="AO95" s="389">
        <f t="shared" ca="1" si="138"/>
        <v>0</v>
      </c>
      <c r="AP95" s="389">
        <f t="shared" ca="1" si="138"/>
        <v>0</v>
      </c>
      <c r="AQ95" s="389">
        <f t="shared" ca="1" si="138"/>
        <v>0</v>
      </c>
      <c r="AR95" s="389">
        <f t="shared" ca="1" si="138"/>
        <v>58873.429848790242</v>
      </c>
      <c r="AS95" s="389">
        <f t="shared" ca="1" si="138"/>
        <v>139791.69164142892</v>
      </c>
      <c r="AT95" s="389">
        <f t="shared" ca="1" si="138"/>
        <v>159769.65777109182</v>
      </c>
      <c r="AU95" s="389">
        <f t="shared" ca="1" si="138"/>
        <v>89759.594867420892</v>
      </c>
      <c r="AV95" s="389">
        <f t="shared" ca="1" si="138"/>
        <v>87185.795961210359</v>
      </c>
      <c r="AW95" s="389">
        <f t="shared" ca="1" si="138"/>
        <v>123455.35304279767</v>
      </c>
      <c r="AX95" s="389">
        <f t="shared" ca="1" si="138"/>
        <v>214792.55441089167</v>
      </c>
      <c r="AY95" s="389">
        <f t="shared" ca="1" si="138"/>
        <v>76942.031111739183</v>
      </c>
      <c r="AZ95" s="389">
        <f t="shared" ca="1" si="138"/>
        <v>0</v>
      </c>
      <c r="BA95" s="389">
        <f t="shared" ca="1" si="138"/>
        <v>0</v>
      </c>
      <c r="BB95" s="389">
        <f t="shared" ca="1" si="138"/>
        <v>0</v>
      </c>
      <c r="BC95" s="389">
        <f t="shared" ca="1" si="138"/>
        <v>95343.489281013433</v>
      </c>
      <c r="BD95" s="389">
        <f t="shared" ca="1" si="138"/>
        <v>140581.49538099623</v>
      </c>
      <c r="BE95" s="389">
        <f ca="1">BE85</f>
        <v>152508.51249168252</v>
      </c>
      <c r="BF95" s="389">
        <f t="shared" ca="1" si="138"/>
        <v>160874.01105573258</v>
      </c>
      <c r="BG95" s="389">
        <f ca="1">BG85</f>
        <v>89749.687736345368</v>
      </c>
      <c r="BH95" s="389">
        <f t="shared" ca="1" si="138"/>
        <v>87143.457497537223</v>
      </c>
      <c r="BI95" s="389">
        <f t="shared" ca="1" si="138"/>
        <v>123987.76392719038</v>
      </c>
      <c r="BJ95" s="389">
        <f t="shared" ca="1" si="138"/>
        <v>216730.57733726793</v>
      </c>
      <c r="BK95" s="389">
        <f t="shared" ca="1" si="138"/>
        <v>76772.469337475603</v>
      </c>
      <c r="BL95" s="389">
        <f t="shared" ca="1" si="138"/>
        <v>0</v>
      </c>
      <c r="BM95" s="389">
        <f t="shared" ca="1" si="138"/>
        <v>0</v>
      </c>
      <c r="BN95" s="389">
        <f t="shared" ca="1" si="138"/>
        <v>0</v>
      </c>
      <c r="BO95" s="389">
        <f t="shared" ca="1" si="138"/>
        <v>115146.09185555542</v>
      </c>
      <c r="BP95" s="389">
        <f t="shared" ca="1" si="138"/>
        <v>144143.81078301909</v>
      </c>
      <c r="BQ95" s="389">
        <f t="shared" ca="1" si="138"/>
        <v>156240.53107943202</v>
      </c>
      <c r="BR95" s="389">
        <f t="shared" ca="1" si="138"/>
        <v>164755.02266349838</v>
      </c>
      <c r="BS95" s="389">
        <f t="shared" ca="1" si="138"/>
        <v>92512.592360065391</v>
      </c>
      <c r="BT95" s="389">
        <f t="shared" ca="1" si="138"/>
        <v>89874.30132771896</v>
      </c>
      <c r="BU95" s="389">
        <f t="shared" ref="BU95:DY95" ca="1" si="139">BU85</f>
        <v>127295.19946494866</v>
      </c>
      <c r="BV95" s="389">
        <f t="shared" ca="1" si="139"/>
        <v>221445.75815829771</v>
      </c>
      <c r="BW95" s="389">
        <f t="shared" ca="1" si="139"/>
        <v>79377.675846796192</v>
      </c>
      <c r="BX95" s="389">
        <f t="shared" ca="1" si="139"/>
        <v>0</v>
      </c>
      <c r="BY95" s="389">
        <f t="shared" ca="1" si="139"/>
        <v>0</v>
      </c>
      <c r="BZ95" s="389">
        <f t="shared" ca="1" si="139"/>
        <v>0</v>
      </c>
      <c r="CA95" s="389">
        <f t="shared" ca="1" si="139"/>
        <v>106604.99152433057</v>
      </c>
      <c r="CB95" s="389">
        <f t="shared" ca="1" si="139"/>
        <v>147563.4590823171</v>
      </c>
      <c r="CC95" s="389">
        <f t="shared" ca="1" si="139"/>
        <v>159829.33044020113</v>
      </c>
      <c r="CD95" s="389">
        <f t="shared" ca="1" si="139"/>
        <v>168494.10933132426</v>
      </c>
      <c r="CE95" s="389">
        <f t="shared" ca="1" si="139"/>
        <v>95130.49751579015</v>
      </c>
      <c r="CF95" s="389">
        <f t="shared" ca="1" si="139"/>
        <v>92460.567649508375</v>
      </c>
      <c r="CG95" s="389">
        <f t="shared" ca="1" si="139"/>
        <v>130459.49312098254</v>
      </c>
      <c r="CH95" s="389">
        <f t="shared" ca="1" si="139"/>
        <v>226018.79328252989</v>
      </c>
      <c r="CI95" s="389">
        <f t="shared" ca="1" si="139"/>
        <v>81840.100497816791</v>
      </c>
      <c r="CJ95" s="389">
        <f t="shared" ca="1" si="139"/>
        <v>0</v>
      </c>
      <c r="CK95" s="389">
        <f t="shared" ca="1" si="139"/>
        <v>0</v>
      </c>
      <c r="CL95" s="389">
        <f t="shared" ca="1" si="139"/>
        <v>0</v>
      </c>
      <c r="CM95" s="389">
        <f t="shared" ca="1" si="139"/>
        <v>112807.25230762165</v>
      </c>
      <c r="CN95" s="389">
        <f t="shared" ca="1" si="139"/>
        <v>150828.55782341232</v>
      </c>
      <c r="CO95" s="389">
        <f t="shared" ca="1" si="139"/>
        <v>163262.84225818858</v>
      </c>
      <c r="CP95" s="389">
        <f t="shared" ca="1" si="139"/>
        <v>174724.57172044981</v>
      </c>
      <c r="CQ95" s="389">
        <f t="shared" ca="1" si="139"/>
        <v>100237.52568936143</v>
      </c>
      <c r="CR95" s="389">
        <f t="shared" ca="1" si="139"/>
        <v>97536.433121037247</v>
      </c>
      <c r="CS95" s="389">
        <f t="shared" ca="1" si="139"/>
        <v>136114.38875848716</v>
      </c>
      <c r="CT95" s="389">
        <f t="shared" ca="1" si="139"/>
        <v>233082.21937350102</v>
      </c>
      <c r="CU95" s="389">
        <f t="shared" ca="1" si="139"/>
        <v>86794.140761263741</v>
      </c>
      <c r="CV95" s="389">
        <f t="shared" ca="1" si="139"/>
        <v>0</v>
      </c>
      <c r="CW95" s="389">
        <f t="shared" ca="1" si="139"/>
        <v>0</v>
      </c>
      <c r="CX95" s="389">
        <f t="shared" ca="1" si="139"/>
        <v>0</v>
      </c>
      <c r="CY95" s="389">
        <f t="shared" ca="1" si="139"/>
        <v>151488.89944722891</v>
      </c>
      <c r="CZ95" s="389">
        <f t="shared" ca="1" si="139"/>
        <v>165830.75523480636</v>
      </c>
      <c r="DA95" s="389">
        <f t="shared" ca="1" si="139"/>
        <v>178638.06820262584</v>
      </c>
      <c r="DB95" s="389">
        <f t="shared" ca="1" si="139"/>
        <v>167442.04987787068</v>
      </c>
      <c r="DC95" s="389">
        <f t="shared" ca="1" si="139"/>
        <v>90720.392465850004</v>
      </c>
      <c r="DD95" s="389">
        <f t="shared" ca="1" si="139"/>
        <v>87938.267120476201</v>
      </c>
      <c r="DE95" s="389">
        <f t="shared" ca="1" si="139"/>
        <v>127673.56142704944</v>
      </c>
      <c r="DF95" s="389">
        <f t="shared" ca="1" si="139"/>
        <v>227550.42696051361</v>
      </c>
      <c r="DG95" s="389">
        <f t="shared" ca="1" si="139"/>
        <v>76873.705989909198</v>
      </c>
      <c r="DH95" s="389">
        <f t="shared" ca="1" si="139"/>
        <v>0</v>
      </c>
      <c r="DI95" s="389">
        <f t="shared" ca="1" si="139"/>
        <v>0</v>
      </c>
      <c r="DJ95" s="389">
        <f t="shared" ca="1" si="139"/>
        <v>0</v>
      </c>
      <c r="DK95" s="389">
        <f t="shared" ca="1" si="139"/>
        <v>122679.47158351005</v>
      </c>
      <c r="DL95" s="389">
        <f t="shared" ca="1" si="139"/>
        <v>158281.41889765786</v>
      </c>
      <c r="DM95" s="389">
        <f t="shared" ca="1" si="139"/>
        <v>171472.95125451233</v>
      </c>
      <c r="DN95" s="389">
        <f t="shared" ca="1" si="139"/>
        <v>179314.17121900115</v>
      </c>
      <c r="DO95" s="389">
        <f t="shared" ca="1" si="139"/>
        <v>100290.86408461993</v>
      </c>
      <c r="DP95" s="389">
        <f t="shared" ca="1" si="139"/>
        <v>97425.274978884583</v>
      </c>
      <c r="DQ95" s="389">
        <f t="shared" ca="1" si="139"/>
        <v>138352.62811465538</v>
      </c>
      <c r="DR95" s="389">
        <f t="shared" ca="1" si="139"/>
        <v>241225.79961412365</v>
      </c>
      <c r="DS95" s="389">
        <f t="shared" ca="1" si="139"/>
        <v>86028.77701440097</v>
      </c>
      <c r="DT95" s="389">
        <f t="shared" ca="1" si="139"/>
        <v>0</v>
      </c>
      <c r="DU95" s="389">
        <f t="shared" ca="1" si="139"/>
        <v>0</v>
      </c>
      <c r="DV95" s="389">
        <f t="shared" ca="1" si="139"/>
        <v>0</v>
      </c>
      <c r="DW95" s="389">
        <f t="shared" ca="1" si="139"/>
        <v>136510.06574666966</v>
      </c>
      <c r="DX95" s="389">
        <f t="shared" ca="1" si="139"/>
        <v>169878.72130938232</v>
      </c>
      <c r="DY95" s="389">
        <f t="shared" ca="1" si="139"/>
        <v>14751196.891375689</v>
      </c>
      <c r="DZ95" s="458"/>
      <c r="EA95" s="389"/>
    </row>
    <row r="96" spans="1:131" s="390" customFormat="1">
      <c r="A96" s="389"/>
      <c r="B96" s="389"/>
      <c r="C96" s="389"/>
      <c r="D96" s="389" t="s">
        <v>130</v>
      </c>
      <c r="E96" s="389"/>
      <c r="F96" s="389"/>
      <c r="G96" s="807"/>
      <c r="H96" s="389"/>
      <c r="I96" s="713">
        <f t="shared" ref="I96:BT96" si="140">I87</f>
        <v>0</v>
      </c>
      <c r="J96" s="457">
        <f t="shared" ca="1" si="140"/>
        <v>0</v>
      </c>
      <c r="K96" s="457">
        <f t="shared" ca="1" si="140"/>
        <v>0</v>
      </c>
      <c r="L96" s="457">
        <f t="shared" ca="1" si="140"/>
        <v>0</v>
      </c>
      <c r="M96" s="457">
        <f t="shared" ca="1" si="140"/>
        <v>0</v>
      </c>
      <c r="N96" s="457">
        <f t="shared" ca="1" si="140"/>
        <v>0</v>
      </c>
      <c r="O96" s="457">
        <f t="shared" ca="1" si="140"/>
        <v>0</v>
      </c>
      <c r="P96" s="457">
        <f t="shared" ca="1" si="140"/>
        <v>0</v>
      </c>
      <c r="Q96" s="457">
        <f t="shared" ca="1" si="140"/>
        <v>0</v>
      </c>
      <c r="R96" s="457">
        <f t="shared" ca="1" si="140"/>
        <v>0</v>
      </c>
      <c r="S96" s="457">
        <f t="shared" ca="1" si="140"/>
        <v>0</v>
      </c>
      <c r="T96" s="457">
        <f t="shared" ca="1" si="140"/>
        <v>0</v>
      </c>
      <c r="U96" s="457">
        <f t="shared" ca="1" si="140"/>
        <v>0</v>
      </c>
      <c r="V96" s="457">
        <f t="shared" ca="1" si="140"/>
        <v>0</v>
      </c>
      <c r="W96" s="457">
        <f t="shared" ca="1" si="140"/>
        <v>0</v>
      </c>
      <c r="X96" s="457">
        <f t="shared" ca="1" si="140"/>
        <v>0</v>
      </c>
      <c r="Y96" s="457">
        <f t="shared" ca="1" si="140"/>
        <v>0</v>
      </c>
      <c r="Z96" s="457">
        <f t="shared" ca="1" si="140"/>
        <v>0</v>
      </c>
      <c r="AA96" s="457">
        <f t="shared" ca="1" si="140"/>
        <v>0</v>
      </c>
      <c r="AB96" s="457">
        <f t="shared" ca="1" si="140"/>
        <v>0</v>
      </c>
      <c r="AC96" s="457">
        <f t="shared" ca="1" si="140"/>
        <v>0</v>
      </c>
      <c r="AD96" s="457">
        <f t="shared" ca="1" si="140"/>
        <v>0</v>
      </c>
      <c r="AE96" s="457">
        <f t="shared" ca="1" si="140"/>
        <v>0</v>
      </c>
      <c r="AF96" s="457">
        <f t="shared" ca="1" si="140"/>
        <v>0</v>
      </c>
      <c r="AG96" s="457">
        <f t="shared" ca="1" si="140"/>
        <v>0</v>
      </c>
      <c r="AH96" s="457">
        <f t="shared" ca="1" si="140"/>
        <v>0</v>
      </c>
      <c r="AI96" s="457">
        <f t="shared" ca="1" si="140"/>
        <v>0</v>
      </c>
      <c r="AJ96" s="457">
        <f t="shared" ca="1" si="140"/>
        <v>0</v>
      </c>
      <c r="AK96" s="457">
        <f t="shared" ca="1" si="140"/>
        <v>0</v>
      </c>
      <c r="AL96" s="457">
        <f t="shared" ca="1" si="140"/>
        <v>0</v>
      </c>
      <c r="AM96" s="457">
        <f t="shared" ca="1" si="140"/>
        <v>0</v>
      </c>
      <c r="AN96" s="457">
        <f t="shared" ca="1" si="140"/>
        <v>0</v>
      </c>
      <c r="AO96" s="457">
        <f t="shared" ca="1" si="140"/>
        <v>0</v>
      </c>
      <c r="AP96" s="457">
        <f t="shared" ca="1" si="140"/>
        <v>0</v>
      </c>
      <c r="AQ96" s="457">
        <f t="shared" ca="1" si="140"/>
        <v>0</v>
      </c>
      <c r="AR96" s="457">
        <f t="shared" ca="1" si="140"/>
        <v>0</v>
      </c>
      <c r="AS96" s="457">
        <f t="shared" ca="1" si="140"/>
        <v>0</v>
      </c>
      <c r="AT96" s="457">
        <f t="shared" ca="1" si="140"/>
        <v>0</v>
      </c>
      <c r="AU96" s="457">
        <f t="shared" ca="1" si="140"/>
        <v>0</v>
      </c>
      <c r="AV96" s="457">
        <f t="shared" ca="1" si="140"/>
        <v>0</v>
      </c>
      <c r="AW96" s="457">
        <f t="shared" ca="1" si="140"/>
        <v>0</v>
      </c>
      <c r="AX96" s="457">
        <f t="shared" ca="1" si="140"/>
        <v>0</v>
      </c>
      <c r="AY96" s="457">
        <f t="shared" ca="1" si="140"/>
        <v>0</v>
      </c>
      <c r="AZ96" s="457">
        <f t="shared" ca="1" si="140"/>
        <v>0</v>
      </c>
      <c r="BA96" s="457">
        <f t="shared" ca="1" si="140"/>
        <v>0</v>
      </c>
      <c r="BB96" s="457">
        <f t="shared" ca="1" si="140"/>
        <v>0</v>
      </c>
      <c r="BC96" s="457">
        <f t="shared" ca="1" si="140"/>
        <v>0</v>
      </c>
      <c r="BD96" s="457">
        <f t="shared" ca="1" si="140"/>
        <v>-2.0954757928848269E-11</v>
      </c>
      <c r="BE96" s="457">
        <f t="shared" ca="1" si="140"/>
        <v>0</v>
      </c>
      <c r="BF96" s="457">
        <f t="shared" ca="1" si="140"/>
        <v>0</v>
      </c>
      <c r="BG96" s="457">
        <f t="shared" ca="1" si="140"/>
        <v>0</v>
      </c>
      <c r="BH96" s="457">
        <f t="shared" ca="1" si="140"/>
        <v>0</v>
      </c>
      <c r="BI96" s="457">
        <f t="shared" ca="1" si="140"/>
        <v>0</v>
      </c>
      <c r="BJ96" s="457">
        <f t="shared" ca="1" si="140"/>
        <v>0</v>
      </c>
      <c r="BK96" s="457">
        <f t="shared" ca="1" si="140"/>
        <v>0</v>
      </c>
      <c r="BL96" s="457">
        <f t="shared" ca="1" si="140"/>
        <v>0</v>
      </c>
      <c r="BM96" s="457">
        <f t="shared" ca="1" si="140"/>
        <v>0</v>
      </c>
      <c r="BN96" s="457">
        <f t="shared" ca="1" si="140"/>
        <v>0</v>
      </c>
      <c r="BO96" s="457">
        <f t="shared" ca="1" si="140"/>
        <v>0</v>
      </c>
      <c r="BP96" s="457">
        <f t="shared" ca="1" si="140"/>
        <v>-2.0954757928848269E-11</v>
      </c>
      <c r="BQ96" s="457">
        <f t="shared" ca="1" si="140"/>
        <v>0</v>
      </c>
      <c r="BR96" s="457">
        <f t="shared" ca="1" si="140"/>
        <v>0</v>
      </c>
      <c r="BS96" s="457">
        <f t="shared" ca="1" si="140"/>
        <v>0</v>
      </c>
      <c r="BT96" s="457">
        <f t="shared" ca="1" si="140"/>
        <v>0</v>
      </c>
      <c r="BU96" s="457">
        <f t="shared" ref="BU96:DY96" ca="1" si="141">BU87</f>
        <v>0</v>
      </c>
      <c r="BV96" s="457">
        <f t="shared" ca="1" si="141"/>
        <v>0</v>
      </c>
      <c r="BW96" s="457">
        <f t="shared" ca="1" si="141"/>
        <v>0</v>
      </c>
      <c r="BX96" s="457">
        <f t="shared" ca="1" si="141"/>
        <v>0</v>
      </c>
      <c r="BY96" s="457">
        <f t="shared" ca="1" si="141"/>
        <v>0</v>
      </c>
      <c r="BZ96" s="457">
        <f t="shared" ca="1" si="141"/>
        <v>0</v>
      </c>
      <c r="CA96" s="457">
        <f t="shared" ca="1" si="141"/>
        <v>0</v>
      </c>
      <c r="CB96" s="457">
        <f t="shared" ca="1" si="141"/>
        <v>0</v>
      </c>
      <c r="CC96" s="457">
        <f t="shared" ca="1" si="141"/>
        <v>-2.0954757928848269E-11</v>
      </c>
      <c r="CD96" s="457">
        <f t="shared" ca="1" si="141"/>
        <v>0</v>
      </c>
      <c r="CE96" s="457">
        <f t="shared" ca="1" si="141"/>
        <v>0</v>
      </c>
      <c r="CF96" s="457">
        <f t="shared" ca="1" si="141"/>
        <v>0</v>
      </c>
      <c r="CG96" s="457">
        <f t="shared" ca="1" si="141"/>
        <v>0</v>
      </c>
      <c r="CH96" s="457">
        <f t="shared" ca="1" si="141"/>
        <v>0</v>
      </c>
      <c r="CI96" s="457">
        <f t="shared" ca="1" si="141"/>
        <v>0</v>
      </c>
      <c r="CJ96" s="457">
        <f t="shared" ca="1" si="141"/>
        <v>0</v>
      </c>
      <c r="CK96" s="457">
        <f t="shared" ca="1" si="141"/>
        <v>0</v>
      </c>
      <c r="CL96" s="457">
        <f t="shared" ca="1" si="141"/>
        <v>0</v>
      </c>
      <c r="CM96" s="457">
        <f t="shared" ca="1" si="141"/>
        <v>0</v>
      </c>
      <c r="CN96" s="457">
        <f t="shared" ca="1" si="141"/>
        <v>0</v>
      </c>
      <c r="CO96" s="457">
        <f t="shared" ca="1" si="141"/>
        <v>0</v>
      </c>
      <c r="CP96" s="457">
        <f t="shared" ca="1" si="141"/>
        <v>0</v>
      </c>
      <c r="CQ96" s="457">
        <f t="shared" ca="1" si="141"/>
        <v>0</v>
      </c>
      <c r="CR96" s="457">
        <f t="shared" ca="1" si="141"/>
        <v>0</v>
      </c>
      <c r="CS96" s="457">
        <f t="shared" ca="1" si="141"/>
        <v>0</v>
      </c>
      <c r="CT96" s="457">
        <f t="shared" ca="1" si="141"/>
        <v>0</v>
      </c>
      <c r="CU96" s="457">
        <f t="shared" ca="1" si="141"/>
        <v>0</v>
      </c>
      <c r="CV96" s="457">
        <f t="shared" ca="1" si="141"/>
        <v>0</v>
      </c>
      <c r="CW96" s="457">
        <f t="shared" ca="1" si="141"/>
        <v>0</v>
      </c>
      <c r="CX96" s="457">
        <f t="shared" ca="1" si="141"/>
        <v>0</v>
      </c>
      <c r="CY96" s="457">
        <f t="shared" ca="1" si="141"/>
        <v>-2.0954757928848269E-11</v>
      </c>
      <c r="CZ96" s="457">
        <f t="shared" ca="1" si="141"/>
        <v>0</v>
      </c>
      <c r="DA96" s="457">
        <f t="shared" ca="1" si="141"/>
        <v>0</v>
      </c>
      <c r="DB96" s="457">
        <f t="shared" ca="1" si="141"/>
        <v>0</v>
      </c>
      <c r="DC96" s="457">
        <f t="shared" ca="1" si="141"/>
        <v>0</v>
      </c>
      <c r="DD96" s="457">
        <f t="shared" ca="1" si="141"/>
        <v>0</v>
      </c>
      <c r="DE96" s="457">
        <f t="shared" ca="1" si="141"/>
        <v>0</v>
      </c>
      <c r="DF96" s="457">
        <f t="shared" ca="1" si="141"/>
        <v>0</v>
      </c>
      <c r="DG96" s="457">
        <f t="shared" ca="1" si="141"/>
        <v>0</v>
      </c>
      <c r="DH96" s="457">
        <f t="shared" ca="1" si="141"/>
        <v>0</v>
      </c>
      <c r="DI96" s="457">
        <f t="shared" ca="1" si="141"/>
        <v>0</v>
      </c>
      <c r="DJ96" s="457">
        <f t="shared" ca="1" si="141"/>
        <v>0</v>
      </c>
      <c r="DK96" s="457">
        <f t="shared" ca="1" si="141"/>
        <v>0</v>
      </c>
      <c r="DL96" s="457">
        <f t="shared" ca="1" si="141"/>
        <v>0</v>
      </c>
      <c r="DM96" s="457">
        <f t="shared" ca="1" si="141"/>
        <v>0</v>
      </c>
      <c r="DN96" s="457">
        <f t="shared" ca="1" si="141"/>
        <v>0</v>
      </c>
      <c r="DO96" s="457">
        <f t="shared" ca="1" si="141"/>
        <v>0</v>
      </c>
      <c r="DP96" s="457">
        <f t="shared" ca="1" si="141"/>
        <v>0</v>
      </c>
      <c r="DQ96" s="457">
        <f ca="1">DQ87</f>
        <v>0</v>
      </c>
      <c r="DR96" s="457">
        <f t="shared" ref="DR96:DX96" ca="1" si="142">DR87</f>
        <v>0</v>
      </c>
      <c r="DS96" s="457">
        <f t="shared" ca="1" si="142"/>
        <v>0</v>
      </c>
      <c r="DT96" s="457">
        <f t="shared" ca="1" si="142"/>
        <v>0</v>
      </c>
      <c r="DU96" s="457">
        <f t="shared" ca="1" si="142"/>
        <v>0</v>
      </c>
      <c r="DV96" s="457">
        <f t="shared" ca="1" si="142"/>
        <v>0</v>
      </c>
      <c r="DW96" s="457">
        <f t="shared" ca="1" si="142"/>
        <v>0</v>
      </c>
      <c r="DX96" s="457">
        <f t="shared" ca="1" si="142"/>
        <v>0</v>
      </c>
      <c r="DY96" s="457">
        <f t="shared" ca="1" si="141"/>
        <v>10645431.589666964</v>
      </c>
      <c r="DZ96" s="389"/>
      <c r="EA96" s="389"/>
    </row>
    <row r="97" spans="1:131" s="390" customFormat="1">
      <c r="A97" s="389"/>
      <c r="B97" s="389"/>
      <c r="C97" s="389"/>
      <c r="D97" s="389" t="s">
        <v>115</v>
      </c>
      <c r="E97" s="389"/>
      <c r="F97" s="389"/>
      <c r="G97" s="796"/>
      <c r="H97" s="389"/>
      <c r="I97" s="703">
        <f t="shared" ref="I97:BT97" si="143">SUM(I92:I96)</f>
        <v>0</v>
      </c>
      <c r="J97" s="389">
        <f t="shared" ca="1" si="143"/>
        <v>-4680000</v>
      </c>
      <c r="K97" s="389">
        <f t="shared" ca="1" si="143"/>
        <v>-5087921.2245943788</v>
      </c>
      <c r="L97" s="389">
        <f t="shared" ca="1" si="143"/>
        <v>-7624339.2981019719</v>
      </c>
      <c r="M97" s="389">
        <f t="shared" ca="1" si="143"/>
        <v>-10188090.817130229</v>
      </c>
      <c r="N97" s="389">
        <f t="shared" ca="1" si="143"/>
        <v>-12785409.621413933</v>
      </c>
      <c r="O97" s="389">
        <f t="shared" ca="1" si="143"/>
        <v>-15408789.644540239</v>
      </c>
      <c r="P97" s="389">
        <f t="shared" ca="1" si="143"/>
        <v>-18068448.409874763</v>
      </c>
      <c r="Q97" s="389">
        <f t="shared" ca="1" si="143"/>
        <v>-20668178.557450876</v>
      </c>
      <c r="R97" s="389">
        <f t="shared" ca="1" si="143"/>
        <v>-20898964.728255894</v>
      </c>
      <c r="S97" s="389">
        <f t="shared" ca="1" si="143"/>
        <v>-21148517.650236696</v>
      </c>
      <c r="T97" s="389">
        <f t="shared" ca="1" si="143"/>
        <v>-21392857.369011465</v>
      </c>
      <c r="U97" s="389">
        <f t="shared" ca="1" si="143"/>
        <v>-21648307.824829374</v>
      </c>
      <c r="V97" s="389">
        <f t="shared" ca="1" si="143"/>
        <v>-21898421.876951095</v>
      </c>
      <c r="W97" s="389">
        <f t="shared" ca="1" si="143"/>
        <v>-22159909.239469722</v>
      </c>
      <c r="X97" s="389">
        <f t="shared" ca="1" si="143"/>
        <v>-22424519.002366841</v>
      </c>
      <c r="Y97" s="389">
        <f t="shared" ca="1" si="143"/>
        <v>-22683601.022076931</v>
      </c>
      <c r="Z97" s="389">
        <f t="shared" ca="1" si="143"/>
        <v>-22954464.148060035</v>
      </c>
      <c r="AA97" s="389">
        <f t="shared" ca="1" si="143"/>
        <v>-23219668.897032112</v>
      </c>
      <c r="AB97" s="389">
        <f t="shared" ca="1" si="143"/>
        <v>-23496933.168063048</v>
      </c>
      <c r="AC97" s="389">
        <f t="shared" ca="1" si="143"/>
        <v>-23777508.230317201</v>
      </c>
      <c r="AD97" s="389">
        <f t="shared" ca="1" si="143"/>
        <v>-24033809.437494278</v>
      </c>
      <c r="AE97" s="389">
        <f t="shared" ca="1" si="143"/>
        <v>-24320795.297772203</v>
      </c>
      <c r="AF97" s="389">
        <f t="shared" ca="1" si="143"/>
        <v>-24601785.974363189</v>
      </c>
      <c r="AG97" s="389">
        <f t="shared" ca="1" si="143"/>
        <v>-24895553.998553783</v>
      </c>
      <c r="AH97" s="389">
        <f t="shared" ca="1" si="143"/>
        <v>-25183185.158493765</v>
      </c>
      <c r="AI97" s="389">
        <f t="shared" ca="1" si="143"/>
        <v>-17201273.822678693</v>
      </c>
      <c r="AJ97" s="389">
        <f t="shared" ca="1" si="143"/>
        <v>-17406672.903449312</v>
      </c>
      <c r="AK97" s="389">
        <f t="shared" ca="1" si="143"/>
        <v>-17599921.437150795</v>
      </c>
      <c r="AL97" s="389">
        <f t="shared" ca="1" si="143"/>
        <v>-17700926.139957398</v>
      </c>
      <c r="AM97" s="389">
        <f t="shared" ca="1" si="143"/>
        <v>-17898907.526840284</v>
      </c>
      <c r="AN97" s="389">
        <f t="shared" ca="1" si="143"/>
        <v>-18112636.997733552</v>
      </c>
      <c r="AO97" s="389">
        <f t="shared" ca="1" si="143"/>
        <v>-18328918.595713895</v>
      </c>
      <c r="AP97" s="389">
        <f t="shared" ca="1" si="143"/>
        <v>-18526488.665581103</v>
      </c>
      <c r="AQ97" s="389">
        <f t="shared" ca="1" si="143"/>
        <v>-18747712.034329563</v>
      </c>
      <c r="AR97" s="389">
        <f t="shared" ca="1" si="143"/>
        <v>-18905440.579233702</v>
      </c>
      <c r="AS97" s="389">
        <f t="shared" ca="1" si="143"/>
        <v>-18991397.291842341</v>
      </c>
      <c r="AT97" s="389">
        <f t="shared" ca="1" si="143"/>
        <v>-19051045.030135259</v>
      </c>
      <c r="AU97" s="389">
        <f t="shared" ca="1" si="143"/>
        <v>-19188772.491008464</v>
      </c>
      <c r="AV97" s="389">
        <f t="shared" ca="1" si="143"/>
        <v>-19330718.343749534</v>
      </c>
      <c r="AW97" s="389">
        <f t="shared" ca="1" si="143"/>
        <v>-19430600.737679902</v>
      </c>
      <c r="AX97" s="389">
        <f t="shared" ca="1" si="143"/>
        <v>-19447827.484367423</v>
      </c>
      <c r="AY97" s="389">
        <f t="shared" ca="1" si="143"/>
        <v>-19595576.222457532</v>
      </c>
      <c r="AZ97" s="389">
        <f t="shared" ca="1" si="143"/>
        <v>-19829565.483064312</v>
      </c>
      <c r="BA97" s="389">
        <f t="shared" ca="1" si="143"/>
        <v>-20066348.79134072</v>
      </c>
      <c r="BB97" s="389">
        <f t="shared" ca="1" si="143"/>
        <v>-20282646.87308418</v>
      </c>
      <c r="BC97" s="389">
        <f t="shared" ca="1" si="143"/>
        <v>-20429496.901927035</v>
      </c>
      <c r="BD97" s="389">
        <f t="shared" ca="1" si="143"/>
        <v>-20524947.908222154</v>
      </c>
      <c r="BE97" s="389">
        <f t="shared" ca="1" si="143"/>
        <v>-20617526.211781006</v>
      </c>
      <c r="BF97" s="389">
        <f ca="1">SUM(BF92:BF96)</f>
        <v>-20694857.101878788</v>
      </c>
      <c r="BG97" s="389">
        <f t="shared" ca="1" si="143"/>
        <v>-20852223.102737609</v>
      </c>
      <c r="BH97" s="389">
        <f t="shared" ca="1" si="143"/>
        <v>-21014074.429084469</v>
      </c>
      <c r="BI97" s="389">
        <f t="shared" ca="1" si="143"/>
        <v>-21132873.092141539</v>
      </c>
      <c r="BJ97" s="389">
        <f t="shared" ca="1" si="143"/>
        <v>-21168488.518473204</v>
      </c>
      <c r="BK97" s="389">
        <f t="shared" ca="1" si="143"/>
        <v>-21336286.501638949</v>
      </c>
      <c r="BL97" s="389">
        <f t="shared" ca="1" si="143"/>
        <v>-21591061.449103437</v>
      </c>
      <c r="BM97" s="389">
        <f t="shared" ca="1" si="143"/>
        <v>-21848878.644517235</v>
      </c>
      <c r="BN97" s="389">
        <f t="shared" ca="1" si="143"/>
        <v>-22092848.814638194</v>
      </c>
      <c r="BO97" s="389">
        <f t="shared" ca="1" si="143"/>
        <v>-22241511.722331736</v>
      </c>
      <c r="BP97" s="389">
        <f t="shared" ca="1" si="143"/>
        <v>-22354335.553878937</v>
      </c>
      <c r="BQ97" s="389">
        <f t="shared" ca="1" si="143"/>
        <v>-22465026.415284578</v>
      </c>
      <c r="BR97" s="389">
        <f t="shared" ca="1" si="143"/>
        <v>-22559821.415339433</v>
      </c>
      <c r="BS97" s="389">
        <f t="shared" ca="1" si="143"/>
        <v>-22736693.906248651</v>
      </c>
      <c r="BT97" s="389">
        <f t="shared" ca="1" si="143"/>
        <v>-22918316.708928961</v>
      </c>
      <c r="BU97" s="389">
        <f t="shared" ref="BU97:DY97" ca="1" si="144">SUM(BU92:BU96)</f>
        <v>-23055808.628450964</v>
      </c>
      <c r="BV97" s="389">
        <f t="shared" ca="1" si="144"/>
        <v>-23109670.498525616</v>
      </c>
      <c r="BW97" s="389">
        <f t="shared" ca="1" si="144"/>
        <v>-23297290.750570193</v>
      </c>
      <c r="BX97" s="389">
        <f t="shared" ca="1" si="144"/>
        <v>-23575481.898152761</v>
      </c>
      <c r="BY97" s="389">
        <f t="shared" ca="1" si="144"/>
        <v>-23856994.904719789</v>
      </c>
      <c r="BZ97" s="389">
        <f t="shared" ca="1" si="144"/>
        <v>-24114152.910279881</v>
      </c>
      <c r="CA97" s="389">
        <f t="shared" ca="1" si="144"/>
        <v>-24295493.154230114</v>
      </c>
      <c r="CB97" s="389">
        <f t="shared" ca="1" si="144"/>
        <v>-24428628.043040399</v>
      </c>
      <c r="CC97" s="389">
        <f t="shared" ca="1" si="144"/>
        <v>-24560499.071320869</v>
      </c>
      <c r="CD97" s="389">
        <f t="shared" ca="1" si="144"/>
        <v>-24675765.059756368</v>
      </c>
      <c r="CE97" s="389">
        <f t="shared" ca="1" si="144"/>
        <v>-24875285.964970034</v>
      </c>
      <c r="CF97" s="389">
        <f t="shared" ca="1" si="144"/>
        <v>-25079859.263752833</v>
      </c>
      <c r="CG97" s="389">
        <f t="shared" ca="1" si="144"/>
        <v>-25239160.304242942</v>
      </c>
      <c r="CH97" s="389">
        <f t="shared" ca="1" si="144"/>
        <v>-25314520.372744411</v>
      </c>
      <c r="CI97" s="389">
        <f t="shared" ca="1" si="144"/>
        <v>-25525151.966532238</v>
      </c>
      <c r="CJ97" s="389">
        <f t="shared" ca="1" si="144"/>
        <v>-25829945.832643699</v>
      </c>
      <c r="CK97" s="389">
        <f t="shared" ca="1" si="144"/>
        <v>-26138379.218744736</v>
      </c>
      <c r="CL97" s="389">
        <f t="shared" ca="1" si="144"/>
        <v>-26420128.59645601</v>
      </c>
      <c r="CM97" s="389">
        <f t="shared" ca="1" si="144"/>
        <v>-26622802.057001118</v>
      </c>
      <c r="CN97" s="389">
        <f t="shared" ca="1" si="144"/>
        <v>-26779560.445704486</v>
      </c>
      <c r="CO97" s="389">
        <f t="shared" ca="1" si="144"/>
        <v>-26936070.264220811</v>
      </c>
      <c r="CP97" s="389">
        <f t="shared" ca="1" si="144"/>
        <v>-27072551.988000862</v>
      </c>
      <c r="CQ97" s="389">
        <f t="shared" ca="1" si="144"/>
        <v>-27295585.712439433</v>
      </c>
      <c r="CR97" s="389">
        <f t="shared" ca="1" si="144"/>
        <v>-27523983.757905614</v>
      </c>
      <c r="CS97" s="389">
        <f t="shared" ca="1" si="144"/>
        <v>-27705868.132095542</v>
      </c>
      <c r="CT97" s="389">
        <f t="shared" ca="1" si="144"/>
        <v>-27803619.541960683</v>
      </c>
      <c r="CU97" s="389">
        <f t="shared" ca="1" si="144"/>
        <v>-28038054.940411467</v>
      </c>
      <c r="CV97" s="389">
        <f t="shared" ca="1" si="144"/>
        <v>-28372855.186644617</v>
      </c>
      <c r="CW97" s="389">
        <f t="shared" ca="1" si="144"/>
        <v>-28711653.256732382</v>
      </c>
      <c r="CX97" s="389">
        <f t="shared" ca="1" si="144"/>
        <v>-29021140.328231633</v>
      </c>
      <c r="CY97" s="389">
        <f t="shared" ca="1" si="144"/>
        <v>-29216190.621624582</v>
      </c>
      <c r="CZ97" s="389">
        <f t="shared" ca="1" si="144"/>
        <v>-29387909.566951312</v>
      </c>
      <c r="DA97" s="389">
        <f t="shared" ca="1" si="144"/>
        <v>-29560190.254711021</v>
      </c>
      <c r="DB97" s="389">
        <f t="shared" ca="1" si="144"/>
        <v>-29734272.310362313</v>
      </c>
      <c r="DC97" s="389">
        <f t="shared" ca="1" si="144"/>
        <v>-29998606.56459824</v>
      </c>
      <c r="DD97" s="389">
        <f t="shared" ca="1" si="144"/>
        <v>-30268879.339071915</v>
      </c>
      <c r="DE97" s="389">
        <f t="shared" ca="1" si="144"/>
        <v>-30490917.733236868</v>
      </c>
      <c r="DF97" s="389">
        <f t="shared" ca="1" si="144"/>
        <v>-30627456.99747134</v>
      </c>
      <c r="DG97" s="389">
        <f t="shared" ca="1" si="144"/>
        <v>-30904438.079477165</v>
      </c>
      <c r="DH97" s="389">
        <f t="shared" ca="1" si="144"/>
        <v>-31273465.585154571</v>
      </c>
      <c r="DI97" s="389">
        <f t="shared" ca="1" si="144"/>
        <v>-31646899.619745273</v>
      </c>
      <c r="DJ97" s="389">
        <f t="shared" ca="1" si="144"/>
        <v>-32000276.999410827</v>
      </c>
      <c r="DK97" s="389">
        <f t="shared" ca="1" si="144"/>
        <v>-32259710.36132098</v>
      </c>
      <c r="DL97" s="389">
        <f t="shared" ca="1" si="144"/>
        <v>-32474141.994363986</v>
      </c>
      <c r="DM97" s="389">
        <f t="shared" ca="1" si="144"/>
        <v>-32690440.261870191</v>
      </c>
      <c r="DN97" s="389">
        <f t="shared" ca="1" si="144"/>
        <v>-32888815.58701735</v>
      </c>
      <c r="DO97" s="389">
        <f t="shared" ca="1" si="144"/>
        <v>-33181247.527002122</v>
      </c>
      <c r="DP97" s="389">
        <f t="shared" ca="1" si="144"/>
        <v>-33480036.963278107</v>
      </c>
      <c r="DQ97" s="389">
        <f t="shared" ca="1" si="144"/>
        <v>-33728496.448970623</v>
      </c>
      <c r="DR97" s="389">
        <f t="shared" ca="1" si="144"/>
        <v>-33890020.017677106</v>
      </c>
      <c r="DS97" s="389">
        <f t="shared" ca="1" si="144"/>
        <v>-34195540.099894352</v>
      </c>
      <c r="DT97" s="389">
        <f t="shared" ca="1" si="144"/>
        <v>-34603866.400340363</v>
      </c>
      <c r="DU97" s="389">
        <f t="shared" ca="1" si="144"/>
        <v>-35017068.493569553</v>
      </c>
      <c r="DV97" s="389">
        <f t="shared" ca="1" si="144"/>
        <v>-35394522.549720861</v>
      </c>
      <c r="DW97" s="389">
        <f t="shared" ca="1" si="144"/>
        <v>-35680655.74115219</v>
      </c>
      <c r="DX97" s="389">
        <f t="shared" ca="1" si="144"/>
        <v>-35923014.016008593</v>
      </c>
      <c r="DY97" s="389">
        <f t="shared" ca="1" si="144"/>
        <v>-10955339.467881655</v>
      </c>
      <c r="DZ97" s="389"/>
      <c r="EA97" s="389"/>
    </row>
    <row r="98" spans="1:131" s="390" customFormat="1">
      <c r="A98" s="389"/>
      <c r="B98" s="389"/>
      <c r="C98" s="389"/>
      <c r="D98" s="389" t="s">
        <v>131</v>
      </c>
      <c r="E98" s="389"/>
      <c r="F98" s="389"/>
      <c r="G98" s="796">
        <f t="shared" ref="G98" ca="1" si="145">SUM(I98:DY98)</f>
        <v>10955339.467881655</v>
      </c>
      <c r="H98" s="389"/>
      <c r="I98" s="703">
        <f t="shared" ref="I98:AN98" si="146">MIN(-I97,I39*($J$11))</f>
        <v>0</v>
      </c>
      <c r="J98" s="389">
        <f t="shared" ca="1" si="146"/>
        <v>0</v>
      </c>
      <c r="K98" s="389">
        <f t="shared" ca="1" si="146"/>
        <v>0</v>
      </c>
      <c r="L98" s="389">
        <f t="shared" ca="1" si="146"/>
        <v>0</v>
      </c>
      <c r="M98" s="389">
        <f t="shared" ca="1" si="146"/>
        <v>0</v>
      </c>
      <c r="N98" s="389">
        <f t="shared" ca="1" si="146"/>
        <v>0</v>
      </c>
      <c r="O98" s="389">
        <f t="shared" ca="1" si="146"/>
        <v>0</v>
      </c>
      <c r="P98" s="389">
        <f t="shared" ca="1" si="146"/>
        <v>0</v>
      </c>
      <c r="Q98" s="389">
        <f t="shared" ca="1" si="146"/>
        <v>0</v>
      </c>
      <c r="R98" s="389">
        <f t="shared" ca="1" si="146"/>
        <v>0</v>
      </c>
      <c r="S98" s="389">
        <f t="shared" ca="1" si="146"/>
        <v>0</v>
      </c>
      <c r="T98" s="389">
        <f t="shared" ca="1" si="146"/>
        <v>0</v>
      </c>
      <c r="U98" s="389">
        <f t="shared" ca="1" si="146"/>
        <v>0</v>
      </c>
      <c r="V98" s="389">
        <f t="shared" ca="1" si="146"/>
        <v>0</v>
      </c>
      <c r="W98" s="389">
        <f t="shared" ca="1" si="146"/>
        <v>0</v>
      </c>
      <c r="X98" s="389">
        <f t="shared" ca="1" si="146"/>
        <v>0</v>
      </c>
      <c r="Y98" s="389">
        <f t="shared" ca="1" si="146"/>
        <v>0</v>
      </c>
      <c r="Z98" s="389">
        <f t="shared" ca="1" si="146"/>
        <v>0</v>
      </c>
      <c r="AA98" s="389">
        <f t="shared" ca="1" si="146"/>
        <v>0</v>
      </c>
      <c r="AB98" s="389">
        <f t="shared" ca="1" si="146"/>
        <v>0</v>
      </c>
      <c r="AC98" s="389">
        <f t="shared" ca="1" si="146"/>
        <v>0</v>
      </c>
      <c r="AD98" s="389">
        <f t="shared" ca="1" si="146"/>
        <v>0</v>
      </c>
      <c r="AE98" s="389">
        <f t="shared" ca="1" si="146"/>
        <v>0</v>
      </c>
      <c r="AF98" s="389">
        <f t="shared" ca="1" si="146"/>
        <v>0</v>
      </c>
      <c r="AG98" s="389">
        <f t="shared" ca="1" si="146"/>
        <v>0</v>
      </c>
      <c r="AH98" s="389">
        <f t="shared" ca="1" si="146"/>
        <v>0</v>
      </c>
      <c r="AI98" s="389">
        <f t="shared" ca="1" si="146"/>
        <v>0</v>
      </c>
      <c r="AJ98" s="389">
        <f t="shared" ca="1" si="146"/>
        <v>0</v>
      </c>
      <c r="AK98" s="389">
        <f t="shared" ca="1" si="146"/>
        <v>0</v>
      </c>
      <c r="AL98" s="389">
        <f t="shared" ca="1" si="146"/>
        <v>0</v>
      </c>
      <c r="AM98" s="389">
        <f t="shared" ca="1" si="146"/>
        <v>0</v>
      </c>
      <c r="AN98" s="389">
        <f t="shared" ca="1" si="146"/>
        <v>0</v>
      </c>
      <c r="AO98" s="389">
        <f t="shared" ref="AO98:BT98" ca="1" si="147">MIN(-AO97,AO39*($J$11))</f>
        <v>0</v>
      </c>
      <c r="AP98" s="389">
        <f t="shared" ca="1" si="147"/>
        <v>0</v>
      </c>
      <c r="AQ98" s="389">
        <f t="shared" ca="1" si="147"/>
        <v>0</v>
      </c>
      <c r="AR98" s="389">
        <f t="shared" ca="1" si="147"/>
        <v>0</v>
      </c>
      <c r="AS98" s="389">
        <f t="shared" ca="1" si="147"/>
        <v>0</v>
      </c>
      <c r="AT98" s="389">
        <f t="shared" ca="1" si="147"/>
        <v>0</v>
      </c>
      <c r="AU98" s="389">
        <f t="shared" ca="1" si="147"/>
        <v>0</v>
      </c>
      <c r="AV98" s="389">
        <f t="shared" ca="1" si="147"/>
        <v>0</v>
      </c>
      <c r="AW98" s="389">
        <f t="shared" ca="1" si="147"/>
        <v>0</v>
      </c>
      <c r="AX98" s="389">
        <f t="shared" ca="1" si="147"/>
        <v>0</v>
      </c>
      <c r="AY98" s="389">
        <f t="shared" ca="1" si="147"/>
        <v>0</v>
      </c>
      <c r="AZ98" s="389">
        <f t="shared" ca="1" si="147"/>
        <v>0</v>
      </c>
      <c r="BA98" s="389">
        <f t="shared" ca="1" si="147"/>
        <v>0</v>
      </c>
      <c r="BB98" s="389">
        <f t="shared" ca="1" si="147"/>
        <v>0</v>
      </c>
      <c r="BC98" s="389">
        <f t="shared" ca="1" si="147"/>
        <v>0</v>
      </c>
      <c r="BD98" s="389">
        <f t="shared" ca="1" si="147"/>
        <v>0</v>
      </c>
      <c r="BE98" s="389">
        <f t="shared" ca="1" si="147"/>
        <v>0</v>
      </c>
      <c r="BF98" s="389">
        <f t="shared" ca="1" si="147"/>
        <v>0</v>
      </c>
      <c r="BG98" s="389">
        <f t="shared" ca="1" si="147"/>
        <v>0</v>
      </c>
      <c r="BH98" s="389">
        <f t="shared" ca="1" si="147"/>
        <v>0</v>
      </c>
      <c r="BI98" s="389">
        <f t="shared" ca="1" si="147"/>
        <v>0</v>
      </c>
      <c r="BJ98" s="389">
        <f t="shared" ca="1" si="147"/>
        <v>0</v>
      </c>
      <c r="BK98" s="389">
        <f t="shared" ca="1" si="147"/>
        <v>0</v>
      </c>
      <c r="BL98" s="389">
        <f t="shared" ca="1" si="147"/>
        <v>0</v>
      </c>
      <c r="BM98" s="389">
        <f t="shared" ca="1" si="147"/>
        <v>0</v>
      </c>
      <c r="BN98" s="389">
        <f t="shared" ca="1" si="147"/>
        <v>0</v>
      </c>
      <c r="BO98" s="389">
        <f t="shared" ca="1" si="147"/>
        <v>0</v>
      </c>
      <c r="BP98" s="389">
        <f t="shared" ca="1" si="147"/>
        <v>0</v>
      </c>
      <c r="BQ98" s="389">
        <f t="shared" ca="1" si="147"/>
        <v>0</v>
      </c>
      <c r="BR98" s="389">
        <f t="shared" ca="1" si="147"/>
        <v>0</v>
      </c>
      <c r="BS98" s="389">
        <f t="shared" ca="1" si="147"/>
        <v>0</v>
      </c>
      <c r="BT98" s="389">
        <f t="shared" ca="1" si="147"/>
        <v>0</v>
      </c>
      <c r="BU98" s="389">
        <f t="shared" ref="BU98:CZ98" ca="1" si="148">MIN(-BU97,BU39*($J$11))</f>
        <v>0</v>
      </c>
      <c r="BV98" s="389">
        <f t="shared" ca="1" si="148"/>
        <v>0</v>
      </c>
      <c r="BW98" s="389">
        <f t="shared" ca="1" si="148"/>
        <v>0</v>
      </c>
      <c r="BX98" s="389">
        <f t="shared" ca="1" si="148"/>
        <v>0</v>
      </c>
      <c r="BY98" s="389">
        <f t="shared" ca="1" si="148"/>
        <v>0</v>
      </c>
      <c r="BZ98" s="389">
        <f t="shared" ca="1" si="148"/>
        <v>0</v>
      </c>
      <c r="CA98" s="389">
        <f t="shared" ca="1" si="148"/>
        <v>0</v>
      </c>
      <c r="CB98" s="389">
        <f t="shared" ca="1" si="148"/>
        <v>0</v>
      </c>
      <c r="CC98" s="389">
        <f t="shared" ca="1" si="148"/>
        <v>0</v>
      </c>
      <c r="CD98" s="389">
        <f t="shared" ca="1" si="148"/>
        <v>0</v>
      </c>
      <c r="CE98" s="389">
        <f t="shared" ca="1" si="148"/>
        <v>0</v>
      </c>
      <c r="CF98" s="389">
        <f t="shared" ca="1" si="148"/>
        <v>0</v>
      </c>
      <c r="CG98" s="389">
        <f t="shared" ca="1" si="148"/>
        <v>0</v>
      </c>
      <c r="CH98" s="389">
        <f t="shared" ca="1" si="148"/>
        <v>0</v>
      </c>
      <c r="CI98" s="389">
        <f t="shared" ca="1" si="148"/>
        <v>0</v>
      </c>
      <c r="CJ98" s="389">
        <f t="shared" ca="1" si="148"/>
        <v>0</v>
      </c>
      <c r="CK98" s="389">
        <f t="shared" ca="1" si="148"/>
        <v>0</v>
      </c>
      <c r="CL98" s="389">
        <f t="shared" ca="1" si="148"/>
        <v>0</v>
      </c>
      <c r="CM98" s="389">
        <f t="shared" ca="1" si="148"/>
        <v>0</v>
      </c>
      <c r="CN98" s="389">
        <f t="shared" ca="1" si="148"/>
        <v>0</v>
      </c>
      <c r="CO98" s="389">
        <f t="shared" ca="1" si="148"/>
        <v>0</v>
      </c>
      <c r="CP98" s="389">
        <f t="shared" ca="1" si="148"/>
        <v>0</v>
      </c>
      <c r="CQ98" s="389">
        <f t="shared" ca="1" si="148"/>
        <v>0</v>
      </c>
      <c r="CR98" s="389">
        <f t="shared" ca="1" si="148"/>
        <v>0</v>
      </c>
      <c r="CS98" s="389">
        <f t="shared" ca="1" si="148"/>
        <v>0</v>
      </c>
      <c r="CT98" s="389">
        <f t="shared" ca="1" si="148"/>
        <v>0</v>
      </c>
      <c r="CU98" s="389">
        <f t="shared" ca="1" si="148"/>
        <v>0</v>
      </c>
      <c r="CV98" s="389">
        <f t="shared" ca="1" si="148"/>
        <v>0</v>
      </c>
      <c r="CW98" s="389">
        <f t="shared" ca="1" si="148"/>
        <v>0</v>
      </c>
      <c r="CX98" s="389">
        <f t="shared" ca="1" si="148"/>
        <v>0</v>
      </c>
      <c r="CY98" s="389">
        <f t="shared" ca="1" si="148"/>
        <v>0</v>
      </c>
      <c r="CZ98" s="389">
        <f t="shared" ca="1" si="148"/>
        <v>0</v>
      </c>
      <c r="DA98" s="389">
        <f t="shared" ref="DA98:DY98" ca="1" si="149">MIN(-DA97,DA39*($J$11))</f>
        <v>0</v>
      </c>
      <c r="DB98" s="389">
        <f t="shared" ca="1" si="149"/>
        <v>0</v>
      </c>
      <c r="DC98" s="389">
        <f t="shared" ca="1" si="149"/>
        <v>0</v>
      </c>
      <c r="DD98" s="389">
        <f t="shared" ca="1" si="149"/>
        <v>0</v>
      </c>
      <c r="DE98" s="389">
        <f t="shared" ca="1" si="149"/>
        <v>0</v>
      </c>
      <c r="DF98" s="389">
        <f t="shared" ca="1" si="149"/>
        <v>0</v>
      </c>
      <c r="DG98" s="389">
        <f t="shared" ca="1" si="149"/>
        <v>0</v>
      </c>
      <c r="DH98" s="389">
        <f t="shared" ca="1" si="149"/>
        <v>0</v>
      </c>
      <c r="DI98" s="389">
        <f t="shared" ca="1" si="149"/>
        <v>0</v>
      </c>
      <c r="DJ98" s="389">
        <f t="shared" ca="1" si="149"/>
        <v>0</v>
      </c>
      <c r="DK98" s="389">
        <f t="shared" ca="1" si="149"/>
        <v>0</v>
      </c>
      <c r="DL98" s="389">
        <f t="shared" ca="1" si="149"/>
        <v>0</v>
      </c>
      <c r="DM98" s="389">
        <f t="shared" ca="1" si="149"/>
        <v>0</v>
      </c>
      <c r="DN98" s="389">
        <f t="shared" ca="1" si="149"/>
        <v>0</v>
      </c>
      <c r="DO98" s="389">
        <f t="shared" ca="1" si="149"/>
        <v>0</v>
      </c>
      <c r="DP98" s="389">
        <f t="shared" ca="1" si="149"/>
        <v>0</v>
      </c>
      <c r="DQ98" s="389">
        <f t="shared" ca="1" si="149"/>
        <v>0</v>
      </c>
      <c r="DR98" s="389">
        <f t="shared" ca="1" si="149"/>
        <v>0</v>
      </c>
      <c r="DS98" s="389">
        <f t="shared" ca="1" si="149"/>
        <v>0</v>
      </c>
      <c r="DT98" s="389">
        <f t="shared" ca="1" si="149"/>
        <v>0</v>
      </c>
      <c r="DU98" s="389">
        <f t="shared" ca="1" si="149"/>
        <v>0</v>
      </c>
      <c r="DV98" s="389">
        <f t="shared" ca="1" si="149"/>
        <v>0</v>
      </c>
      <c r="DW98" s="389">
        <f t="shared" ca="1" si="149"/>
        <v>-5.5006239563226703E-11</v>
      </c>
      <c r="DX98" s="389">
        <f t="shared" ca="1" si="149"/>
        <v>0</v>
      </c>
      <c r="DY98" s="389">
        <f t="shared" ca="1" si="149"/>
        <v>10955339.467881655</v>
      </c>
      <c r="DZ98" s="458">
        <f ca="1">+L98/-L97</f>
        <v>0</v>
      </c>
      <c r="EA98" s="389"/>
    </row>
    <row r="99" spans="1:131" s="390" customFormat="1">
      <c r="A99" s="389"/>
      <c r="B99" s="389"/>
      <c r="C99" s="389"/>
      <c r="D99" s="389" t="s">
        <v>127</v>
      </c>
      <c r="E99" s="389"/>
      <c r="F99" s="389"/>
      <c r="G99" s="796"/>
      <c r="H99" s="389"/>
      <c r="I99" s="703">
        <f t="shared" ref="I99:BT99" si="150">SUM(I97:I98)</f>
        <v>0</v>
      </c>
      <c r="J99" s="389">
        <f t="shared" ca="1" si="150"/>
        <v>-4680000</v>
      </c>
      <c r="K99" s="389">
        <f t="shared" ca="1" si="150"/>
        <v>-5087921.2245943788</v>
      </c>
      <c r="L99" s="389">
        <f t="shared" ca="1" si="150"/>
        <v>-7624339.2981019719</v>
      </c>
      <c r="M99" s="389">
        <f t="shared" ca="1" si="150"/>
        <v>-10188090.817130229</v>
      </c>
      <c r="N99" s="389">
        <f t="shared" ca="1" si="150"/>
        <v>-12785409.621413933</v>
      </c>
      <c r="O99" s="389">
        <f t="shared" ca="1" si="150"/>
        <v>-15408789.644540239</v>
      </c>
      <c r="P99" s="389">
        <f t="shared" ca="1" si="150"/>
        <v>-18068448.409874763</v>
      </c>
      <c r="Q99" s="389">
        <f t="shared" ca="1" si="150"/>
        <v>-20668178.557450876</v>
      </c>
      <c r="R99" s="389">
        <f t="shared" ca="1" si="150"/>
        <v>-20898964.728255894</v>
      </c>
      <c r="S99" s="389">
        <f t="shared" ca="1" si="150"/>
        <v>-21148517.650236696</v>
      </c>
      <c r="T99" s="389">
        <f t="shared" ca="1" si="150"/>
        <v>-21392857.369011465</v>
      </c>
      <c r="U99" s="389">
        <f t="shared" ca="1" si="150"/>
        <v>-21648307.824829374</v>
      </c>
      <c r="V99" s="389">
        <f t="shared" ca="1" si="150"/>
        <v>-21898421.876951095</v>
      </c>
      <c r="W99" s="389">
        <f t="shared" ca="1" si="150"/>
        <v>-22159909.239469722</v>
      </c>
      <c r="X99" s="389">
        <f t="shared" ca="1" si="150"/>
        <v>-22424519.002366841</v>
      </c>
      <c r="Y99" s="389">
        <f t="shared" ca="1" si="150"/>
        <v>-22683601.022076931</v>
      </c>
      <c r="Z99" s="389">
        <f t="shared" ca="1" si="150"/>
        <v>-22954464.148060035</v>
      </c>
      <c r="AA99" s="389">
        <f t="shared" ca="1" si="150"/>
        <v>-23219668.897032112</v>
      </c>
      <c r="AB99" s="389">
        <f t="shared" ca="1" si="150"/>
        <v>-23496933.168063048</v>
      </c>
      <c r="AC99" s="389">
        <f t="shared" ca="1" si="150"/>
        <v>-23777508.230317201</v>
      </c>
      <c r="AD99" s="389">
        <f t="shared" ca="1" si="150"/>
        <v>-24033809.437494278</v>
      </c>
      <c r="AE99" s="389">
        <f t="shared" ca="1" si="150"/>
        <v>-24320795.297772203</v>
      </c>
      <c r="AF99" s="389">
        <f t="shared" ca="1" si="150"/>
        <v>-24601785.974363189</v>
      </c>
      <c r="AG99" s="389">
        <f t="shared" ca="1" si="150"/>
        <v>-24895553.998553783</v>
      </c>
      <c r="AH99" s="389">
        <f t="shared" ca="1" si="150"/>
        <v>-25183185.158493765</v>
      </c>
      <c r="AI99" s="389">
        <f t="shared" ca="1" si="150"/>
        <v>-17201273.822678693</v>
      </c>
      <c r="AJ99" s="389">
        <f t="shared" ca="1" si="150"/>
        <v>-17406672.903449312</v>
      </c>
      <c r="AK99" s="389">
        <f t="shared" ca="1" si="150"/>
        <v>-17599921.437150795</v>
      </c>
      <c r="AL99" s="389">
        <f t="shared" ca="1" si="150"/>
        <v>-17700926.139957398</v>
      </c>
      <c r="AM99" s="389">
        <f t="shared" ca="1" si="150"/>
        <v>-17898907.526840284</v>
      </c>
      <c r="AN99" s="389">
        <f t="shared" ca="1" si="150"/>
        <v>-18112636.997733552</v>
      </c>
      <c r="AO99" s="389">
        <f t="shared" ca="1" si="150"/>
        <v>-18328918.595713895</v>
      </c>
      <c r="AP99" s="389">
        <f t="shared" ca="1" si="150"/>
        <v>-18526488.665581103</v>
      </c>
      <c r="AQ99" s="389">
        <f t="shared" ca="1" si="150"/>
        <v>-18747712.034329563</v>
      </c>
      <c r="AR99" s="389">
        <f t="shared" ca="1" si="150"/>
        <v>-18905440.579233702</v>
      </c>
      <c r="AS99" s="389">
        <f t="shared" ca="1" si="150"/>
        <v>-18991397.291842341</v>
      </c>
      <c r="AT99" s="389">
        <f t="shared" ca="1" si="150"/>
        <v>-19051045.030135259</v>
      </c>
      <c r="AU99" s="389">
        <f t="shared" ca="1" si="150"/>
        <v>-19188772.491008464</v>
      </c>
      <c r="AV99" s="389">
        <f t="shared" ca="1" si="150"/>
        <v>-19330718.343749534</v>
      </c>
      <c r="AW99" s="389">
        <f t="shared" ca="1" si="150"/>
        <v>-19430600.737679902</v>
      </c>
      <c r="AX99" s="389">
        <f t="shared" ca="1" si="150"/>
        <v>-19447827.484367423</v>
      </c>
      <c r="AY99" s="389">
        <f t="shared" ca="1" si="150"/>
        <v>-19595576.222457532</v>
      </c>
      <c r="AZ99" s="389">
        <f t="shared" ca="1" si="150"/>
        <v>-19829565.483064312</v>
      </c>
      <c r="BA99" s="389">
        <f t="shared" ca="1" si="150"/>
        <v>-20066348.79134072</v>
      </c>
      <c r="BB99" s="389">
        <f t="shared" ca="1" si="150"/>
        <v>-20282646.87308418</v>
      </c>
      <c r="BC99" s="389">
        <f t="shared" ca="1" si="150"/>
        <v>-20429496.901927035</v>
      </c>
      <c r="BD99" s="389">
        <f t="shared" ca="1" si="150"/>
        <v>-20524947.908222154</v>
      </c>
      <c r="BE99" s="389">
        <f t="shared" ca="1" si="150"/>
        <v>-20617526.211781006</v>
      </c>
      <c r="BF99" s="389">
        <f t="shared" ca="1" si="150"/>
        <v>-20694857.101878788</v>
      </c>
      <c r="BG99" s="389">
        <f t="shared" ca="1" si="150"/>
        <v>-20852223.102737609</v>
      </c>
      <c r="BH99" s="389">
        <f t="shared" ca="1" si="150"/>
        <v>-21014074.429084469</v>
      </c>
      <c r="BI99" s="389">
        <f t="shared" ca="1" si="150"/>
        <v>-21132873.092141539</v>
      </c>
      <c r="BJ99" s="389">
        <f t="shared" ca="1" si="150"/>
        <v>-21168488.518473204</v>
      </c>
      <c r="BK99" s="389">
        <f t="shared" ca="1" si="150"/>
        <v>-21336286.501638949</v>
      </c>
      <c r="BL99" s="389">
        <f t="shared" ca="1" si="150"/>
        <v>-21591061.449103437</v>
      </c>
      <c r="BM99" s="389">
        <f t="shared" ca="1" si="150"/>
        <v>-21848878.644517235</v>
      </c>
      <c r="BN99" s="389">
        <f t="shared" ca="1" si="150"/>
        <v>-22092848.814638194</v>
      </c>
      <c r="BO99" s="389">
        <f t="shared" ca="1" si="150"/>
        <v>-22241511.722331736</v>
      </c>
      <c r="BP99" s="389">
        <f t="shared" ca="1" si="150"/>
        <v>-22354335.553878937</v>
      </c>
      <c r="BQ99" s="389">
        <f t="shared" ca="1" si="150"/>
        <v>-22465026.415284578</v>
      </c>
      <c r="BR99" s="389">
        <f t="shared" ca="1" si="150"/>
        <v>-22559821.415339433</v>
      </c>
      <c r="BS99" s="389">
        <f t="shared" ca="1" si="150"/>
        <v>-22736693.906248651</v>
      </c>
      <c r="BT99" s="389">
        <f t="shared" ca="1" si="150"/>
        <v>-22918316.708928961</v>
      </c>
      <c r="BU99" s="389">
        <f t="shared" ref="BU99:DY99" ca="1" si="151">SUM(BU97:BU98)</f>
        <v>-23055808.628450964</v>
      </c>
      <c r="BV99" s="389">
        <f t="shared" ca="1" si="151"/>
        <v>-23109670.498525616</v>
      </c>
      <c r="BW99" s="389">
        <f t="shared" ca="1" si="151"/>
        <v>-23297290.750570193</v>
      </c>
      <c r="BX99" s="389">
        <f t="shared" ca="1" si="151"/>
        <v>-23575481.898152761</v>
      </c>
      <c r="BY99" s="389">
        <f t="shared" ca="1" si="151"/>
        <v>-23856994.904719789</v>
      </c>
      <c r="BZ99" s="389">
        <f t="shared" ca="1" si="151"/>
        <v>-24114152.910279881</v>
      </c>
      <c r="CA99" s="389">
        <f t="shared" ca="1" si="151"/>
        <v>-24295493.154230114</v>
      </c>
      <c r="CB99" s="389">
        <f t="shared" ca="1" si="151"/>
        <v>-24428628.043040399</v>
      </c>
      <c r="CC99" s="389">
        <f t="shared" ca="1" si="151"/>
        <v>-24560499.071320869</v>
      </c>
      <c r="CD99" s="389">
        <f t="shared" ca="1" si="151"/>
        <v>-24675765.059756368</v>
      </c>
      <c r="CE99" s="389">
        <f t="shared" ca="1" si="151"/>
        <v>-24875285.964970034</v>
      </c>
      <c r="CF99" s="389">
        <f t="shared" ca="1" si="151"/>
        <v>-25079859.263752833</v>
      </c>
      <c r="CG99" s="389">
        <f t="shared" ca="1" si="151"/>
        <v>-25239160.304242942</v>
      </c>
      <c r="CH99" s="389">
        <f t="shared" ca="1" si="151"/>
        <v>-25314520.372744411</v>
      </c>
      <c r="CI99" s="389">
        <f t="shared" ca="1" si="151"/>
        <v>-25525151.966532238</v>
      </c>
      <c r="CJ99" s="389">
        <f t="shared" ca="1" si="151"/>
        <v>-25829945.832643699</v>
      </c>
      <c r="CK99" s="389">
        <f t="shared" ca="1" si="151"/>
        <v>-26138379.218744736</v>
      </c>
      <c r="CL99" s="389">
        <f t="shared" ca="1" si="151"/>
        <v>-26420128.59645601</v>
      </c>
      <c r="CM99" s="389">
        <f t="shared" ca="1" si="151"/>
        <v>-26622802.057001118</v>
      </c>
      <c r="CN99" s="389">
        <f t="shared" ca="1" si="151"/>
        <v>-26779560.445704486</v>
      </c>
      <c r="CO99" s="389">
        <f t="shared" ca="1" si="151"/>
        <v>-26936070.264220811</v>
      </c>
      <c r="CP99" s="389">
        <f t="shared" ca="1" si="151"/>
        <v>-27072551.988000862</v>
      </c>
      <c r="CQ99" s="389">
        <f t="shared" ca="1" si="151"/>
        <v>-27295585.712439433</v>
      </c>
      <c r="CR99" s="389">
        <f t="shared" ca="1" si="151"/>
        <v>-27523983.757905614</v>
      </c>
      <c r="CS99" s="389">
        <f t="shared" ca="1" si="151"/>
        <v>-27705868.132095542</v>
      </c>
      <c r="CT99" s="389">
        <f t="shared" ca="1" si="151"/>
        <v>-27803619.541960683</v>
      </c>
      <c r="CU99" s="389">
        <f t="shared" ca="1" si="151"/>
        <v>-28038054.940411467</v>
      </c>
      <c r="CV99" s="389">
        <f t="shared" ca="1" si="151"/>
        <v>-28372855.186644617</v>
      </c>
      <c r="CW99" s="389">
        <f t="shared" ca="1" si="151"/>
        <v>-28711653.256732382</v>
      </c>
      <c r="CX99" s="389">
        <f t="shared" ca="1" si="151"/>
        <v>-29021140.328231633</v>
      </c>
      <c r="CY99" s="389">
        <f t="shared" ca="1" si="151"/>
        <v>-29216190.621624582</v>
      </c>
      <c r="CZ99" s="389">
        <f t="shared" ca="1" si="151"/>
        <v>-29387909.566951312</v>
      </c>
      <c r="DA99" s="389">
        <f t="shared" ca="1" si="151"/>
        <v>-29560190.254711021</v>
      </c>
      <c r="DB99" s="389">
        <f t="shared" ca="1" si="151"/>
        <v>-29734272.310362313</v>
      </c>
      <c r="DC99" s="389">
        <f t="shared" ca="1" si="151"/>
        <v>-29998606.56459824</v>
      </c>
      <c r="DD99" s="389">
        <f t="shared" ca="1" si="151"/>
        <v>-30268879.339071915</v>
      </c>
      <c r="DE99" s="389">
        <f t="shared" ca="1" si="151"/>
        <v>-30490917.733236868</v>
      </c>
      <c r="DF99" s="389">
        <f t="shared" ca="1" si="151"/>
        <v>-30627456.99747134</v>
      </c>
      <c r="DG99" s="389">
        <f t="shared" ca="1" si="151"/>
        <v>-30904438.079477165</v>
      </c>
      <c r="DH99" s="389">
        <f t="shared" ca="1" si="151"/>
        <v>-31273465.585154571</v>
      </c>
      <c r="DI99" s="389">
        <f t="shared" ca="1" si="151"/>
        <v>-31646899.619745273</v>
      </c>
      <c r="DJ99" s="389">
        <f t="shared" ca="1" si="151"/>
        <v>-32000276.999410827</v>
      </c>
      <c r="DK99" s="389">
        <f t="shared" ca="1" si="151"/>
        <v>-32259710.36132098</v>
      </c>
      <c r="DL99" s="389">
        <f t="shared" ca="1" si="151"/>
        <v>-32474141.994363986</v>
      </c>
      <c r="DM99" s="389">
        <f t="shared" ca="1" si="151"/>
        <v>-32690440.261870191</v>
      </c>
      <c r="DN99" s="389">
        <f t="shared" ca="1" si="151"/>
        <v>-32888815.58701735</v>
      </c>
      <c r="DO99" s="389">
        <f t="shared" ca="1" si="151"/>
        <v>-33181247.527002122</v>
      </c>
      <c r="DP99" s="389">
        <f ca="1">SUM(DP97:DP98)</f>
        <v>-33480036.963278107</v>
      </c>
      <c r="DQ99" s="389">
        <f t="shared" ref="DQ99:DX99" ca="1" si="152">SUM(DQ97:DQ98)</f>
        <v>-33728496.448970623</v>
      </c>
      <c r="DR99" s="389">
        <f t="shared" ca="1" si="152"/>
        <v>-33890020.017677106</v>
      </c>
      <c r="DS99" s="389">
        <f t="shared" ca="1" si="152"/>
        <v>-34195540.099894352</v>
      </c>
      <c r="DT99" s="389">
        <f t="shared" ca="1" si="152"/>
        <v>-34603866.400340363</v>
      </c>
      <c r="DU99" s="389">
        <f t="shared" ca="1" si="152"/>
        <v>-35017068.493569553</v>
      </c>
      <c r="DV99" s="389">
        <f t="shared" ca="1" si="152"/>
        <v>-35394522.549720861</v>
      </c>
      <c r="DW99" s="389">
        <f t="shared" ca="1" si="152"/>
        <v>-35680655.74115219</v>
      </c>
      <c r="DX99" s="389">
        <f t="shared" ca="1" si="152"/>
        <v>-35923014.016008593</v>
      </c>
      <c r="DY99" s="389">
        <f t="shared" ca="1" si="151"/>
        <v>0</v>
      </c>
      <c r="DZ99" s="389"/>
      <c r="EA99" s="389"/>
    </row>
    <row r="100" spans="1:131" s="390" customFormat="1">
      <c r="A100" s="389"/>
      <c r="B100" s="459"/>
      <c r="C100" s="389"/>
      <c r="D100" s="459" t="s">
        <v>128</v>
      </c>
      <c r="E100" s="460">
        <f ca="1">XIRR(J100:DY100,J14:DY14)</f>
        <v>0.15000000596046451</v>
      </c>
      <c r="F100" s="460"/>
      <c r="G100" s="796">
        <f t="shared" ref="G100" ca="1" si="153">SUM(I100:DY100)</f>
        <v>33588256.801060364</v>
      </c>
      <c r="H100" s="460"/>
      <c r="I100" s="892">
        <f>+I93+I95+I96+I98</f>
        <v>0</v>
      </c>
      <c r="J100" s="459">
        <f t="shared" ref="J100:BU100" ca="1" si="154">+J93+J95+J96+J98</f>
        <v>-4680000</v>
      </c>
      <c r="K100" s="459">
        <f t="shared" ca="1" si="154"/>
        <v>-352037.7064366049</v>
      </c>
      <c r="L100" s="459">
        <f t="shared" ca="1" si="154"/>
        <v>-2475663.5995460674</v>
      </c>
      <c r="M100" s="459">
        <f t="shared" ca="1" si="154"/>
        <v>-2475663.5995460674</v>
      </c>
      <c r="N100" s="459">
        <f t="shared" ca="1" si="154"/>
        <v>-2475663.5995460674</v>
      </c>
      <c r="O100" s="459">
        <f t="shared" ca="1" si="154"/>
        <v>-2475663.5995460674</v>
      </c>
      <c r="P100" s="459">
        <f t="shared" ca="1" si="154"/>
        <v>-2475663.5995460674</v>
      </c>
      <c r="Q100" s="459">
        <f t="shared" ca="1" si="154"/>
        <v>-2383976.2021068749</v>
      </c>
      <c r="R100" s="459">
        <f t="shared" ca="1" si="154"/>
        <v>0</v>
      </c>
      <c r="S100" s="459">
        <f t="shared" ca="1" si="154"/>
        <v>0</v>
      </c>
      <c r="T100" s="459">
        <f t="shared" ca="1" si="154"/>
        <v>0</v>
      </c>
      <c r="U100" s="459">
        <f t="shared" ca="1" si="154"/>
        <v>0</v>
      </c>
      <c r="V100" s="459">
        <f t="shared" ca="1" si="154"/>
        <v>0</v>
      </c>
      <c r="W100" s="459">
        <f t="shared" ca="1" si="154"/>
        <v>0</v>
      </c>
      <c r="X100" s="459">
        <f t="shared" ca="1" si="154"/>
        <v>0</v>
      </c>
      <c r="Y100" s="459">
        <f t="shared" ca="1" si="154"/>
        <v>0</v>
      </c>
      <c r="Z100" s="459">
        <f t="shared" ca="1" si="154"/>
        <v>0</v>
      </c>
      <c r="AA100" s="459">
        <f t="shared" ca="1" si="154"/>
        <v>0</v>
      </c>
      <c r="AB100" s="459">
        <f t="shared" ca="1" si="154"/>
        <v>0</v>
      </c>
      <c r="AC100" s="459">
        <f t="shared" ca="1" si="154"/>
        <v>0</v>
      </c>
      <c r="AD100" s="459">
        <f t="shared" ca="1" si="154"/>
        <v>0</v>
      </c>
      <c r="AE100" s="459">
        <f t="shared" ca="1" si="154"/>
        <v>0</v>
      </c>
      <c r="AF100" s="459">
        <f t="shared" ca="1" si="154"/>
        <v>0</v>
      </c>
      <c r="AG100" s="459">
        <f t="shared" ca="1" si="154"/>
        <v>0</v>
      </c>
      <c r="AH100" s="459">
        <f t="shared" ca="1" si="154"/>
        <v>0</v>
      </c>
      <c r="AI100" s="459">
        <f t="shared" ca="1" si="154"/>
        <v>8282621.8027114943</v>
      </c>
      <c r="AJ100" s="459">
        <f t="shared" ca="1" si="154"/>
        <v>0</v>
      </c>
      <c r="AK100" s="459">
        <f t="shared" ca="1" si="154"/>
        <v>7859.725154927618</v>
      </c>
      <c r="AL100" s="459">
        <f t="shared" ca="1" si="154"/>
        <v>109154.5983063013</v>
      </c>
      <c r="AM100" s="459">
        <f t="shared" ca="1" si="154"/>
        <v>6526.5311953254632</v>
      </c>
      <c r="AN100" s="459">
        <f t="shared" ca="1" si="154"/>
        <v>0</v>
      </c>
      <c r="AO100" s="459">
        <f t="shared" ca="1" si="154"/>
        <v>0</v>
      </c>
      <c r="AP100" s="459">
        <f t="shared" ca="1" si="154"/>
        <v>0</v>
      </c>
      <c r="AQ100" s="459">
        <f t="shared" ca="1" si="154"/>
        <v>0</v>
      </c>
      <c r="AR100" s="459">
        <f t="shared" ca="1" si="154"/>
        <v>58873.429848790242</v>
      </c>
      <c r="AS100" s="459">
        <f t="shared" ca="1" si="154"/>
        <v>139791.69164142892</v>
      </c>
      <c r="AT100" s="459">
        <f t="shared" ca="1" si="154"/>
        <v>159769.65777109182</v>
      </c>
      <c r="AU100" s="459">
        <f t="shared" ca="1" si="154"/>
        <v>89759.594867420892</v>
      </c>
      <c r="AV100" s="459">
        <f t="shared" ca="1" si="154"/>
        <v>87185.795961210359</v>
      </c>
      <c r="AW100" s="459">
        <f t="shared" ca="1" si="154"/>
        <v>123455.35304279767</v>
      </c>
      <c r="AX100" s="459">
        <f t="shared" ca="1" si="154"/>
        <v>214792.55441089167</v>
      </c>
      <c r="AY100" s="459">
        <f t="shared" ca="1" si="154"/>
        <v>76942.031111739183</v>
      </c>
      <c r="AZ100" s="459">
        <f t="shared" ca="1" si="154"/>
        <v>0</v>
      </c>
      <c r="BA100" s="459">
        <f t="shared" ca="1" si="154"/>
        <v>0</v>
      </c>
      <c r="BB100" s="459">
        <f t="shared" ca="1" si="154"/>
        <v>0</v>
      </c>
      <c r="BC100" s="459">
        <f t="shared" ca="1" si="154"/>
        <v>95343.489281013433</v>
      </c>
      <c r="BD100" s="459">
        <f t="shared" ca="1" si="154"/>
        <v>140581.4953809962</v>
      </c>
      <c r="BE100" s="459">
        <f t="shared" ca="1" si="154"/>
        <v>152508.51249168252</v>
      </c>
      <c r="BF100" s="459">
        <f t="shared" ca="1" si="154"/>
        <v>160874.01105573258</v>
      </c>
      <c r="BG100" s="459">
        <f t="shared" ca="1" si="154"/>
        <v>89749.687736345368</v>
      </c>
      <c r="BH100" s="459">
        <f t="shared" ca="1" si="154"/>
        <v>87143.457497537223</v>
      </c>
      <c r="BI100" s="459">
        <f t="shared" ca="1" si="154"/>
        <v>123987.76392719038</v>
      </c>
      <c r="BJ100" s="459">
        <f t="shared" ca="1" si="154"/>
        <v>216730.57733726793</v>
      </c>
      <c r="BK100" s="459">
        <f t="shared" ca="1" si="154"/>
        <v>76772.469337475603</v>
      </c>
      <c r="BL100" s="459">
        <f t="shared" ca="1" si="154"/>
        <v>0</v>
      </c>
      <c r="BM100" s="459">
        <f t="shared" ca="1" si="154"/>
        <v>0</v>
      </c>
      <c r="BN100" s="459">
        <f t="shared" ca="1" si="154"/>
        <v>0</v>
      </c>
      <c r="BO100" s="459">
        <f t="shared" ca="1" si="154"/>
        <v>115146.09185555542</v>
      </c>
      <c r="BP100" s="459">
        <f t="shared" ca="1" si="154"/>
        <v>144143.81078301906</v>
      </c>
      <c r="BQ100" s="459">
        <f t="shared" ca="1" si="154"/>
        <v>156240.53107943202</v>
      </c>
      <c r="BR100" s="459">
        <f t="shared" ca="1" si="154"/>
        <v>164755.02266349838</v>
      </c>
      <c r="BS100" s="459">
        <f t="shared" ca="1" si="154"/>
        <v>92512.592360065391</v>
      </c>
      <c r="BT100" s="459">
        <f t="shared" ca="1" si="154"/>
        <v>89874.30132771896</v>
      </c>
      <c r="BU100" s="459">
        <f t="shared" ca="1" si="154"/>
        <v>127295.19946494866</v>
      </c>
      <c r="BV100" s="459">
        <f t="shared" ref="BV100:DY100" ca="1" si="155">+BV93+BV95+BV96+BV98</f>
        <v>221445.75815829771</v>
      </c>
      <c r="BW100" s="459">
        <f t="shared" ca="1" si="155"/>
        <v>79377.675846796192</v>
      </c>
      <c r="BX100" s="459">
        <f t="shared" ca="1" si="155"/>
        <v>0</v>
      </c>
      <c r="BY100" s="459">
        <f t="shared" ca="1" si="155"/>
        <v>0</v>
      </c>
      <c r="BZ100" s="459">
        <f t="shared" ca="1" si="155"/>
        <v>0</v>
      </c>
      <c r="CA100" s="459">
        <f t="shared" ca="1" si="155"/>
        <v>106604.99152433057</v>
      </c>
      <c r="CB100" s="459">
        <f t="shared" ca="1" si="155"/>
        <v>147563.4590823171</v>
      </c>
      <c r="CC100" s="459">
        <f t="shared" ca="1" si="155"/>
        <v>159829.3304402011</v>
      </c>
      <c r="CD100" s="459">
        <f t="shared" ca="1" si="155"/>
        <v>168494.10933132426</v>
      </c>
      <c r="CE100" s="459">
        <f t="shared" ca="1" si="155"/>
        <v>95130.49751579015</v>
      </c>
      <c r="CF100" s="459">
        <f t="shared" ca="1" si="155"/>
        <v>92460.567649508375</v>
      </c>
      <c r="CG100" s="459">
        <f t="shared" ca="1" si="155"/>
        <v>130459.49312098254</v>
      </c>
      <c r="CH100" s="459">
        <f t="shared" ca="1" si="155"/>
        <v>226018.79328252989</v>
      </c>
      <c r="CI100" s="459">
        <f t="shared" ca="1" si="155"/>
        <v>81840.100497816791</v>
      </c>
      <c r="CJ100" s="459">
        <f t="shared" ca="1" si="155"/>
        <v>0</v>
      </c>
      <c r="CK100" s="459">
        <f t="shared" ca="1" si="155"/>
        <v>0</v>
      </c>
      <c r="CL100" s="459">
        <f t="shared" ca="1" si="155"/>
        <v>0</v>
      </c>
      <c r="CM100" s="459">
        <f t="shared" ca="1" si="155"/>
        <v>112807.25230762165</v>
      </c>
      <c r="CN100" s="459">
        <f t="shared" ca="1" si="155"/>
        <v>150828.55782341232</v>
      </c>
      <c r="CO100" s="459">
        <f t="shared" ca="1" si="155"/>
        <v>163262.84225818858</v>
      </c>
      <c r="CP100" s="459">
        <f t="shared" ca="1" si="155"/>
        <v>174724.57172044981</v>
      </c>
      <c r="CQ100" s="459">
        <f t="shared" ca="1" si="155"/>
        <v>100237.52568936143</v>
      </c>
      <c r="CR100" s="459">
        <f t="shared" ca="1" si="155"/>
        <v>97536.433121037247</v>
      </c>
      <c r="CS100" s="459">
        <f t="shared" ca="1" si="155"/>
        <v>136114.38875848716</v>
      </c>
      <c r="CT100" s="459">
        <f t="shared" ca="1" si="155"/>
        <v>233082.21937350102</v>
      </c>
      <c r="CU100" s="459">
        <f t="shared" ca="1" si="155"/>
        <v>86794.140761263741</v>
      </c>
      <c r="CV100" s="459">
        <f t="shared" ca="1" si="155"/>
        <v>0</v>
      </c>
      <c r="CW100" s="459">
        <f t="shared" ca="1" si="155"/>
        <v>0</v>
      </c>
      <c r="CX100" s="459">
        <f t="shared" ca="1" si="155"/>
        <v>0</v>
      </c>
      <c r="CY100" s="459">
        <f t="shared" ca="1" si="155"/>
        <v>151488.89944722888</v>
      </c>
      <c r="CZ100" s="459">
        <f t="shared" ca="1" si="155"/>
        <v>165830.75523480636</v>
      </c>
      <c r="DA100" s="459">
        <f t="shared" ca="1" si="155"/>
        <v>178638.06820262584</v>
      </c>
      <c r="DB100" s="459">
        <f t="shared" ca="1" si="155"/>
        <v>167442.04987787068</v>
      </c>
      <c r="DC100" s="459">
        <f t="shared" ca="1" si="155"/>
        <v>90720.392465850004</v>
      </c>
      <c r="DD100" s="459">
        <f t="shared" ca="1" si="155"/>
        <v>87938.267120476201</v>
      </c>
      <c r="DE100" s="459">
        <f t="shared" ca="1" si="155"/>
        <v>127673.56142704944</v>
      </c>
      <c r="DF100" s="459">
        <f t="shared" ca="1" si="155"/>
        <v>227550.42696051361</v>
      </c>
      <c r="DG100" s="459">
        <f t="shared" ca="1" si="155"/>
        <v>76873.705989909198</v>
      </c>
      <c r="DH100" s="459">
        <f t="shared" ca="1" si="155"/>
        <v>0</v>
      </c>
      <c r="DI100" s="459">
        <f t="shared" ca="1" si="155"/>
        <v>0</v>
      </c>
      <c r="DJ100" s="459">
        <f t="shared" ca="1" si="155"/>
        <v>0</v>
      </c>
      <c r="DK100" s="459">
        <f t="shared" ca="1" si="155"/>
        <v>122679.47158351005</v>
      </c>
      <c r="DL100" s="459">
        <f t="shared" ca="1" si="155"/>
        <v>158281.41889765786</v>
      </c>
      <c r="DM100" s="459">
        <f t="shared" ca="1" si="155"/>
        <v>171472.95125451233</v>
      </c>
      <c r="DN100" s="459">
        <f t="shared" ca="1" si="155"/>
        <v>179314.17121900115</v>
      </c>
      <c r="DO100" s="459">
        <f t="shared" ca="1" si="155"/>
        <v>100290.86408461993</v>
      </c>
      <c r="DP100" s="459">
        <f t="shared" ca="1" si="155"/>
        <v>97425.274978884583</v>
      </c>
      <c r="DQ100" s="459">
        <f ca="1">+DQ93+DQ95+DQ96+DQ98</f>
        <v>138352.62811465538</v>
      </c>
      <c r="DR100" s="459">
        <f t="shared" ref="DR100:DX100" ca="1" si="156">+DR93+DR95+DR96+DR98</f>
        <v>241225.79961412365</v>
      </c>
      <c r="DS100" s="459">
        <f t="shared" ca="1" si="156"/>
        <v>86028.77701440097</v>
      </c>
      <c r="DT100" s="459">
        <f t="shared" ca="1" si="156"/>
        <v>0</v>
      </c>
      <c r="DU100" s="459">
        <f t="shared" ca="1" si="156"/>
        <v>0</v>
      </c>
      <c r="DV100" s="459">
        <f t="shared" ca="1" si="156"/>
        <v>0</v>
      </c>
      <c r="DW100" s="459">
        <f t="shared" ca="1" si="156"/>
        <v>136510.0657466696</v>
      </c>
      <c r="DX100" s="459">
        <f t="shared" ca="1" si="156"/>
        <v>169878.72130938232</v>
      </c>
      <c r="DY100" s="459">
        <f t="shared" ca="1" si="155"/>
        <v>36351967.948924311</v>
      </c>
      <c r="DZ100" s="459"/>
      <c r="EA100" s="389"/>
    </row>
    <row r="101" spans="1:131" s="390" customFormat="1">
      <c r="A101" s="389"/>
      <c r="B101" s="389"/>
      <c r="C101" s="457"/>
      <c r="D101" s="457"/>
      <c r="E101" s="457"/>
      <c r="F101" s="457"/>
      <c r="G101" s="807"/>
      <c r="H101" s="457"/>
      <c r="I101" s="457"/>
      <c r="J101" s="457"/>
      <c r="K101" s="457"/>
      <c r="L101" s="457"/>
      <c r="M101" s="457"/>
      <c r="N101" s="457"/>
      <c r="O101" s="457"/>
      <c r="P101" s="457"/>
      <c r="Q101" s="457"/>
      <c r="R101" s="457"/>
      <c r="S101" s="457"/>
      <c r="T101" s="457"/>
      <c r="U101" s="457"/>
      <c r="V101" s="457"/>
      <c r="W101" s="457"/>
      <c r="X101" s="457"/>
      <c r="Y101" s="457"/>
      <c r="Z101" s="457"/>
      <c r="AA101" s="457"/>
      <c r="AB101" s="457"/>
      <c r="AC101" s="457"/>
      <c r="AD101" s="457"/>
      <c r="AE101" s="457"/>
      <c r="AF101" s="457"/>
      <c r="AG101" s="457"/>
      <c r="AH101" s="457"/>
      <c r="AI101" s="457"/>
      <c r="AJ101" s="457"/>
      <c r="AK101" s="457"/>
      <c r="AL101" s="457"/>
      <c r="AM101" s="457"/>
      <c r="AN101" s="457"/>
      <c r="AO101" s="457"/>
      <c r="AP101" s="457"/>
      <c r="AQ101" s="457"/>
      <c r="AR101" s="457"/>
      <c r="AS101" s="457"/>
      <c r="AT101" s="457"/>
      <c r="AU101" s="457"/>
      <c r="AV101" s="457"/>
      <c r="AW101" s="457"/>
      <c r="AX101" s="457"/>
      <c r="AY101" s="457"/>
      <c r="AZ101" s="457"/>
      <c r="BA101" s="457"/>
      <c r="BB101" s="457"/>
      <c r="BC101" s="457"/>
      <c r="BD101" s="457"/>
      <c r="BE101" s="457"/>
      <c r="BF101" s="457"/>
      <c r="BG101" s="457"/>
      <c r="BH101" s="457"/>
      <c r="BI101" s="457"/>
      <c r="BJ101" s="457"/>
      <c r="BK101" s="457"/>
      <c r="BL101" s="457"/>
      <c r="BM101" s="457"/>
      <c r="BN101" s="457"/>
      <c r="BO101" s="457"/>
      <c r="BP101" s="457"/>
      <c r="BQ101" s="457"/>
      <c r="BR101" s="457"/>
      <c r="BS101" s="457"/>
      <c r="BT101" s="457"/>
      <c r="BU101" s="457"/>
      <c r="BV101" s="457"/>
      <c r="BW101" s="457"/>
      <c r="BX101" s="457"/>
      <c r="BY101" s="457"/>
      <c r="BZ101" s="457"/>
      <c r="CA101" s="457"/>
      <c r="CB101" s="457"/>
      <c r="CC101" s="457"/>
      <c r="CD101" s="457"/>
      <c r="CE101" s="457"/>
      <c r="CF101" s="457"/>
      <c r="CG101" s="457"/>
      <c r="CH101" s="457"/>
      <c r="CI101" s="457"/>
      <c r="CJ101" s="457"/>
      <c r="CK101" s="457"/>
      <c r="CL101" s="457"/>
      <c r="CM101" s="457"/>
      <c r="CN101" s="457"/>
      <c r="CO101" s="457"/>
      <c r="CP101" s="457"/>
      <c r="CQ101" s="457"/>
      <c r="CR101" s="457"/>
      <c r="CS101" s="457"/>
      <c r="CT101" s="457"/>
      <c r="CU101" s="457"/>
      <c r="CV101" s="457"/>
      <c r="CW101" s="457"/>
      <c r="CX101" s="457"/>
      <c r="CY101" s="457"/>
      <c r="CZ101" s="457"/>
      <c r="DA101" s="457"/>
      <c r="DB101" s="457"/>
      <c r="DC101" s="457"/>
      <c r="DD101" s="457"/>
      <c r="DE101" s="457"/>
      <c r="DF101" s="457"/>
      <c r="DG101" s="457"/>
      <c r="DH101" s="457"/>
      <c r="DI101" s="457"/>
      <c r="DJ101" s="457"/>
      <c r="DK101" s="457"/>
      <c r="DL101" s="457"/>
      <c r="DM101" s="457"/>
      <c r="DN101" s="457"/>
      <c r="DO101" s="457"/>
      <c r="DP101" s="457"/>
      <c r="DQ101" s="457"/>
      <c r="DR101" s="457"/>
      <c r="DS101" s="457"/>
      <c r="DT101" s="457"/>
      <c r="DU101" s="457"/>
      <c r="DV101" s="457"/>
      <c r="DW101" s="457"/>
      <c r="DX101" s="457"/>
      <c r="DY101" s="457"/>
      <c r="DZ101" s="457"/>
      <c r="EA101" s="457"/>
    </row>
    <row r="102" spans="1:131" s="390" customFormat="1" ht="5.0999999999999996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  <c r="BU102" s="389"/>
      <c r="BV102" s="389"/>
      <c r="BW102" s="389"/>
      <c r="BX102" s="389"/>
      <c r="BY102" s="389"/>
      <c r="BZ102" s="389"/>
      <c r="CA102" s="389"/>
      <c r="CB102" s="389"/>
      <c r="CC102" s="389"/>
      <c r="CD102" s="389"/>
      <c r="CE102" s="389"/>
      <c r="CF102" s="389"/>
      <c r="CG102" s="389"/>
      <c r="CH102" s="389"/>
      <c r="CI102" s="389"/>
      <c r="CJ102" s="389"/>
      <c r="CK102" s="389"/>
      <c r="CL102" s="389"/>
      <c r="CM102" s="389"/>
      <c r="CN102" s="389"/>
      <c r="CO102" s="389"/>
      <c r="CP102" s="389"/>
      <c r="CQ102" s="389"/>
      <c r="CR102" s="389"/>
      <c r="CS102" s="389"/>
      <c r="CT102" s="389"/>
      <c r="CU102" s="389"/>
      <c r="CV102" s="389"/>
      <c r="CW102" s="389"/>
      <c r="CX102" s="389"/>
      <c r="CY102" s="389"/>
      <c r="CZ102" s="389"/>
      <c r="DA102" s="389"/>
      <c r="DB102" s="389"/>
      <c r="DC102" s="389"/>
      <c r="DD102" s="389"/>
      <c r="DE102" s="389"/>
      <c r="DF102" s="389"/>
      <c r="DG102" s="389"/>
      <c r="DH102" s="389"/>
      <c r="DI102" s="389"/>
      <c r="DJ102" s="389"/>
      <c r="DK102" s="389"/>
      <c r="DL102" s="389"/>
      <c r="DM102" s="389"/>
      <c r="DN102" s="389"/>
      <c r="DO102" s="389"/>
      <c r="DP102" s="389"/>
      <c r="DQ102" s="389"/>
      <c r="DR102" s="389"/>
      <c r="DS102" s="389"/>
      <c r="DT102" s="389"/>
      <c r="DU102" s="389"/>
      <c r="DV102" s="389"/>
      <c r="DW102" s="389"/>
      <c r="DX102" s="389"/>
      <c r="DY102" s="389"/>
      <c r="DZ102" s="389"/>
      <c r="EA102" s="389"/>
    </row>
    <row r="103" spans="1:131" s="390" customForma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  <c r="BU103" s="389"/>
      <c r="BV103" s="389"/>
      <c r="BW103" s="389"/>
      <c r="BX103" s="389"/>
      <c r="BY103" s="389"/>
      <c r="BZ103" s="389"/>
      <c r="CA103" s="389"/>
      <c r="CB103" s="389"/>
      <c r="CC103" s="389"/>
      <c r="CD103" s="389"/>
      <c r="CE103" s="389"/>
      <c r="CF103" s="389"/>
      <c r="CG103" s="389"/>
      <c r="CH103" s="389"/>
      <c r="CI103" s="389"/>
      <c r="CJ103" s="389"/>
      <c r="CK103" s="389"/>
      <c r="CL103" s="389"/>
      <c r="CM103" s="389"/>
      <c r="CN103" s="389"/>
      <c r="CO103" s="389"/>
      <c r="CP103" s="389"/>
      <c r="CQ103" s="389"/>
      <c r="CR103" s="389"/>
      <c r="CS103" s="389"/>
      <c r="CT103" s="389"/>
      <c r="CU103" s="389"/>
      <c r="CV103" s="389"/>
      <c r="CW103" s="389"/>
      <c r="CX103" s="389"/>
      <c r="CY103" s="389"/>
      <c r="CZ103" s="389"/>
      <c r="DA103" s="389"/>
      <c r="DB103" s="389"/>
      <c r="DC103" s="389"/>
      <c r="DD103" s="389"/>
      <c r="DE103" s="389"/>
      <c r="DF103" s="389"/>
      <c r="DG103" s="389"/>
      <c r="DH103" s="389"/>
      <c r="DI103" s="389"/>
      <c r="DJ103" s="389"/>
      <c r="DK103" s="389"/>
      <c r="DL103" s="389"/>
      <c r="DM103" s="389"/>
      <c r="DN103" s="389"/>
      <c r="DO103" s="389"/>
      <c r="DP103" s="389"/>
      <c r="DQ103" s="389"/>
      <c r="DR103" s="389"/>
      <c r="DS103" s="389"/>
      <c r="DT103" s="389"/>
      <c r="DU103" s="389"/>
      <c r="DV103" s="389"/>
      <c r="DW103" s="389"/>
      <c r="DX103" s="389"/>
      <c r="DY103" s="389"/>
      <c r="DZ103" s="389"/>
      <c r="EA103" s="389"/>
    </row>
    <row r="104" spans="1:131" s="1223" customFormat="1" ht="13.5" thickBot="1">
      <c r="D104" s="1224" t="s">
        <v>668</v>
      </c>
      <c r="E104" s="1224"/>
      <c r="F104" s="1224"/>
      <c r="G104" s="1225"/>
      <c r="H104" s="1225"/>
      <c r="I104" s="1225"/>
      <c r="J104" s="1225"/>
      <c r="K104" s="1225"/>
      <c r="L104" s="1225"/>
      <c r="M104" s="1225"/>
      <c r="N104" s="1225"/>
      <c r="O104" s="1225"/>
      <c r="P104" s="1225"/>
      <c r="Q104" s="1225"/>
      <c r="R104" s="1225"/>
      <c r="S104" s="1225"/>
      <c r="T104" s="1225"/>
      <c r="U104" s="1225"/>
      <c r="V104" s="1225"/>
      <c r="W104" s="1225"/>
      <c r="X104" s="1225"/>
      <c r="Y104" s="1225"/>
      <c r="Z104" s="1225"/>
      <c r="AA104" s="1225"/>
      <c r="AB104" s="1225"/>
      <c r="AC104" s="1225"/>
      <c r="AD104" s="1225"/>
      <c r="AE104" s="1225"/>
      <c r="AF104" s="1225"/>
      <c r="AG104" s="1225"/>
      <c r="AH104" s="1225"/>
      <c r="AI104" s="1225"/>
      <c r="AJ104" s="1225"/>
      <c r="AK104" s="1225"/>
      <c r="AL104" s="1225"/>
      <c r="AM104" s="1225"/>
      <c r="AN104" s="1225"/>
      <c r="AO104" s="1225"/>
      <c r="AP104" s="1225"/>
      <c r="AQ104" s="1224"/>
      <c r="AR104" s="1224"/>
      <c r="AS104" s="1226"/>
      <c r="AT104" s="1226"/>
      <c r="AU104" s="1226"/>
      <c r="AV104" s="1226"/>
      <c r="AW104" s="1226"/>
      <c r="AX104" s="1226"/>
      <c r="AY104" s="1226"/>
      <c r="AZ104" s="1226"/>
      <c r="BA104" s="1226"/>
      <c r="BB104" s="1226"/>
      <c r="BC104" s="1226"/>
      <c r="BD104" s="1226"/>
      <c r="BE104" s="1226"/>
      <c r="BF104" s="1226"/>
      <c r="BG104" s="1226"/>
      <c r="BH104" s="1226"/>
      <c r="BI104" s="1226"/>
      <c r="BJ104" s="1226"/>
      <c r="BK104" s="1226"/>
      <c r="BL104" s="1226"/>
      <c r="BM104" s="1226"/>
      <c r="BN104" s="1226"/>
      <c r="BO104" s="1226"/>
      <c r="BP104" s="1226"/>
      <c r="BQ104" s="1226"/>
      <c r="BR104" s="1226"/>
      <c r="BS104" s="1226"/>
      <c r="BT104" s="1226"/>
      <c r="BU104" s="1226"/>
      <c r="BV104" s="1226"/>
      <c r="BW104" s="1226"/>
      <c r="BX104" s="1226"/>
      <c r="BY104" s="1226"/>
      <c r="BZ104" s="1226"/>
      <c r="CA104" s="1226"/>
      <c r="CB104" s="1226"/>
      <c r="CC104" s="1226"/>
      <c r="CD104" s="1226"/>
      <c r="CE104" s="1226"/>
      <c r="CF104" s="1226"/>
      <c r="CG104" s="1226"/>
      <c r="CH104" s="1226"/>
      <c r="CI104" s="1226"/>
      <c r="CJ104" s="1226"/>
      <c r="CK104" s="1226"/>
      <c r="CL104" s="1226"/>
      <c r="CM104" s="1226"/>
      <c r="CN104" s="1226"/>
      <c r="CO104" s="1226"/>
      <c r="CP104" s="1226"/>
      <c r="CQ104" s="1226"/>
      <c r="CR104" s="1226"/>
      <c r="CS104" s="1226"/>
      <c r="CT104" s="1226"/>
      <c r="CU104" s="1226"/>
      <c r="CV104" s="1226"/>
      <c r="CW104" s="1226"/>
      <c r="CX104" s="1226"/>
      <c r="CY104" s="1226"/>
      <c r="CZ104" s="1226"/>
      <c r="DA104" s="1226"/>
      <c r="DB104" s="1226"/>
      <c r="DC104" s="1226"/>
      <c r="DD104" s="1226"/>
      <c r="DE104" s="1226"/>
      <c r="DF104" s="1226"/>
      <c r="DG104" s="1226"/>
      <c r="DH104" s="1226"/>
      <c r="DI104" s="1226"/>
      <c r="DJ104" s="1226"/>
      <c r="DK104" s="1226"/>
      <c r="DL104" s="1226"/>
      <c r="DM104" s="1226"/>
      <c r="DN104" s="1226"/>
      <c r="DO104" s="1226"/>
      <c r="DP104" s="1226"/>
      <c r="DQ104" s="1226"/>
      <c r="DR104" s="1226"/>
      <c r="DS104" s="1226"/>
      <c r="DT104" s="1226"/>
      <c r="DU104" s="1226"/>
      <c r="DV104" s="1226"/>
      <c r="DW104" s="1226"/>
      <c r="DX104" s="1226"/>
      <c r="DY104" s="1226"/>
      <c r="DZ104" s="1226"/>
    </row>
    <row r="105" spans="1:131" s="1223" customFormat="1" ht="13.5" thickTop="1">
      <c r="D105" s="1227" t="s">
        <v>669</v>
      </c>
      <c r="E105" s="1228">
        <v>1</v>
      </c>
      <c r="F105" s="1227"/>
      <c r="G105" s="1229">
        <f ca="1">SUM(I105:DY105)</f>
        <v>13483020.192828808</v>
      </c>
      <c r="H105" s="1229">
        <f t="shared" ref="H105" si="157">H46+H48</f>
        <v>0</v>
      </c>
      <c r="I105" s="1229"/>
      <c r="J105" s="1229">
        <f ca="1">J63</f>
        <v>-519999.99999999988</v>
      </c>
      <c r="K105" s="1229">
        <f t="shared" ref="K105:BV105" ca="1" si="158">K63</f>
        <v>-39115.300715178309</v>
      </c>
      <c r="L105" s="1229">
        <f t="shared" ca="1" si="158"/>
        <v>-275073.73328289628</v>
      </c>
      <c r="M105" s="1229">
        <f t="shared" ca="1" si="158"/>
        <v>-275073.73328289628</v>
      </c>
      <c r="N105" s="1229">
        <f t="shared" ca="1" si="158"/>
        <v>-275073.73328289628</v>
      </c>
      <c r="O105" s="1229">
        <f t="shared" ca="1" si="158"/>
        <v>-275073.73328289628</v>
      </c>
      <c r="P105" s="1229">
        <f t="shared" ca="1" si="158"/>
        <v>-275073.73328289628</v>
      </c>
      <c r="Q105" s="1229">
        <f t="shared" ca="1" si="158"/>
        <v>-264886.24467854161</v>
      </c>
      <c r="R105" s="1229">
        <f t="shared" ca="1" si="158"/>
        <v>0</v>
      </c>
      <c r="S105" s="1229">
        <f t="shared" ca="1" si="158"/>
        <v>0</v>
      </c>
      <c r="T105" s="1229">
        <f t="shared" ca="1" si="158"/>
        <v>0</v>
      </c>
      <c r="U105" s="1229">
        <f t="shared" ca="1" si="158"/>
        <v>0</v>
      </c>
      <c r="V105" s="1229">
        <f t="shared" ca="1" si="158"/>
        <v>0</v>
      </c>
      <c r="W105" s="1229">
        <f t="shared" ca="1" si="158"/>
        <v>0</v>
      </c>
      <c r="X105" s="1229">
        <f t="shared" ca="1" si="158"/>
        <v>0</v>
      </c>
      <c r="Y105" s="1229">
        <f t="shared" ca="1" si="158"/>
        <v>0</v>
      </c>
      <c r="Z105" s="1229">
        <f t="shared" ca="1" si="158"/>
        <v>0</v>
      </c>
      <c r="AA105" s="1229">
        <f t="shared" ca="1" si="158"/>
        <v>0</v>
      </c>
      <c r="AB105" s="1229">
        <f t="shared" ca="1" si="158"/>
        <v>0</v>
      </c>
      <c r="AC105" s="1229">
        <f t="shared" ca="1" si="158"/>
        <v>0</v>
      </c>
      <c r="AD105" s="1229">
        <f t="shared" ca="1" si="158"/>
        <v>0</v>
      </c>
      <c r="AE105" s="1229">
        <f t="shared" ca="1" si="158"/>
        <v>0</v>
      </c>
      <c r="AF105" s="1229">
        <f t="shared" ca="1" si="158"/>
        <v>0</v>
      </c>
      <c r="AG105" s="1229">
        <f t="shared" ca="1" si="158"/>
        <v>0</v>
      </c>
      <c r="AH105" s="1229">
        <f t="shared" ca="1" si="158"/>
        <v>0</v>
      </c>
      <c r="AI105" s="1229">
        <f t="shared" ca="1" si="158"/>
        <v>920291.31141238811</v>
      </c>
      <c r="AJ105" s="1229">
        <f t="shared" ca="1" si="158"/>
        <v>0</v>
      </c>
      <c r="AK105" s="1229">
        <f t="shared" ca="1" si="158"/>
        <v>873.30279499195728</v>
      </c>
      <c r="AL105" s="1229">
        <f t="shared" ca="1" si="158"/>
        <v>12128.288700700141</v>
      </c>
      <c r="AM105" s="1229">
        <f t="shared" ca="1" si="158"/>
        <v>725.17013281394009</v>
      </c>
      <c r="AN105" s="1229">
        <f t="shared" ca="1" si="158"/>
        <v>0</v>
      </c>
      <c r="AO105" s="1229">
        <f t="shared" ca="1" si="158"/>
        <v>0</v>
      </c>
      <c r="AP105" s="1229">
        <f t="shared" ca="1" si="158"/>
        <v>0</v>
      </c>
      <c r="AQ105" s="1229">
        <f t="shared" ca="1" si="158"/>
        <v>0</v>
      </c>
      <c r="AR105" s="1229">
        <f t="shared" ca="1" si="158"/>
        <v>6541.4922054211365</v>
      </c>
      <c r="AS105" s="1229">
        <f t="shared" ca="1" si="158"/>
        <v>15532.410182380987</v>
      </c>
      <c r="AT105" s="1229">
        <f t="shared" ca="1" si="158"/>
        <v>17752.184196787977</v>
      </c>
      <c r="AU105" s="1229">
        <f t="shared" ca="1" si="158"/>
        <v>9973.2883186023191</v>
      </c>
      <c r="AV105" s="1229">
        <f t="shared" ca="1" si="158"/>
        <v>9687.3106623567037</v>
      </c>
      <c r="AW105" s="1229">
        <f t="shared" ca="1" si="158"/>
        <v>13717.261449199737</v>
      </c>
      <c r="AX105" s="1229">
        <f t="shared" ca="1" si="158"/>
        <v>23865.839378987959</v>
      </c>
      <c r="AY105" s="1229">
        <f t="shared" ca="1" si="158"/>
        <v>8549.1145679710189</v>
      </c>
      <c r="AZ105" s="1229">
        <f t="shared" ca="1" si="158"/>
        <v>0</v>
      </c>
      <c r="BA105" s="1229">
        <f t="shared" ca="1" si="158"/>
        <v>0</v>
      </c>
      <c r="BB105" s="1229">
        <f t="shared" ca="1" si="158"/>
        <v>0</v>
      </c>
      <c r="BC105" s="1229">
        <f t="shared" ca="1" si="158"/>
        <v>10593.721031223713</v>
      </c>
      <c r="BD105" s="1229">
        <f t="shared" ca="1" si="158"/>
        <v>15620.166153444015</v>
      </c>
      <c r="BE105" s="1229">
        <f t="shared" ca="1" si="158"/>
        <v>16945.39027685361</v>
      </c>
      <c r="BF105" s="1229">
        <f t="shared" ca="1" si="158"/>
        <v>17874.890117303617</v>
      </c>
      <c r="BG105" s="1229">
        <f t="shared" ca="1" si="158"/>
        <v>9972.1875262605936</v>
      </c>
      <c r="BH105" s="1229">
        <f t="shared" ca="1" si="158"/>
        <v>9682.6063886152442</v>
      </c>
      <c r="BI105" s="1229">
        <f t="shared" ca="1" si="158"/>
        <v>13776.418214132262</v>
      </c>
      <c r="BJ105" s="1229">
        <f t="shared" ca="1" si="158"/>
        <v>24081.175259696432</v>
      </c>
      <c r="BK105" s="1229">
        <f t="shared" ca="1" si="158"/>
        <v>8530.2743708306207</v>
      </c>
      <c r="BL105" s="1229">
        <f t="shared" ca="1" si="158"/>
        <v>0</v>
      </c>
      <c r="BM105" s="1229">
        <f t="shared" ca="1" si="158"/>
        <v>0</v>
      </c>
      <c r="BN105" s="1229">
        <f t="shared" ca="1" si="158"/>
        <v>0</v>
      </c>
      <c r="BO105" s="1229">
        <f t="shared" ca="1" si="158"/>
        <v>12794.010206172821</v>
      </c>
      <c r="BP105" s="1229">
        <f t="shared" ca="1" si="158"/>
        <v>16015.978975890999</v>
      </c>
      <c r="BQ105" s="1229">
        <f t="shared" ca="1" si="158"/>
        <v>17360.059008825778</v>
      </c>
      <c r="BR105" s="1229">
        <f t="shared" ca="1" si="158"/>
        <v>18306.113629277592</v>
      </c>
      <c r="BS105" s="1229">
        <f t="shared" ca="1" si="158"/>
        <v>10279.176928896151</v>
      </c>
      <c r="BT105" s="1229">
        <f t="shared" ca="1" si="158"/>
        <v>9986.033480857659</v>
      </c>
      <c r="BU105" s="1229">
        <f t="shared" ca="1" si="158"/>
        <v>14143.91105166096</v>
      </c>
      <c r="BV105" s="1229">
        <f t="shared" ca="1" si="158"/>
        <v>24605.084239810851</v>
      </c>
      <c r="BW105" s="1229">
        <f t="shared" ref="BW105:DY105" ca="1" si="159">BW63</f>
        <v>8819.7417607551306</v>
      </c>
      <c r="BX105" s="1229">
        <f t="shared" ca="1" si="159"/>
        <v>0</v>
      </c>
      <c r="BY105" s="1229">
        <f t="shared" ca="1" si="159"/>
        <v>0</v>
      </c>
      <c r="BZ105" s="1229">
        <f t="shared" ca="1" si="159"/>
        <v>0</v>
      </c>
      <c r="CA105" s="1229">
        <f t="shared" ca="1" si="159"/>
        <v>11844.999058258951</v>
      </c>
      <c r="CB105" s="1229">
        <f t="shared" ca="1" si="159"/>
        <v>16395.939898035231</v>
      </c>
      <c r="CC105" s="1229">
        <f t="shared" ca="1" si="159"/>
        <v>17758.814493355669</v>
      </c>
      <c r="CD105" s="1229">
        <f t="shared" ca="1" si="159"/>
        <v>18721.567703480468</v>
      </c>
      <c r="CE105" s="1229">
        <f t="shared" ca="1" si="159"/>
        <v>10570.055279532236</v>
      </c>
      <c r="CF105" s="1229">
        <f t="shared" ca="1" si="159"/>
        <v>10273.396405500927</v>
      </c>
      <c r="CG105" s="1229">
        <f t="shared" ca="1" si="159"/>
        <v>14495.499235664724</v>
      </c>
      <c r="CH105" s="1229">
        <f t="shared" ca="1" si="159"/>
        <v>25113.199253614428</v>
      </c>
      <c r="CI105" s="1229">
        <f t="shared" ca="1" si="159"/>
        <v>9093.3444997574188</v>
      </c>
      <c r="CJ105" s="1229">
        <f t="shared" ca="1" si="159"/>
        <v>0</v>
      </c>
      <c r="CK105" s="1229">
        <f t="shared" ca="1" si="159"/>
        <v>0</v>
      </c>
      <c r="CL105" s="1229">
        <f t="shared" ca="1" si="159"/>
        <v>0</v>
      </c>
      <c r="CM105" s="1229">
        <f t="shared" ca="1" si="159"/>
        <v>12534.13914529129</v>
      </c>
      <c r="CN105" s="1229">
        <f t="shared" ca="1" si="159"/>
        <v>16758.728647045809</v>
      </c>
      <c r="CO105" s="1229">
        <f t="shared" ca="1" si="159"/>
        <v>18140.315806465394</v>
      </c>
      <c r="CP105" s="1229">
        <f t="shared" ca="1" si="159"/>
        <v>19413.841302272194</v>
      </c>
      <c r="CQ105" s="1229">
        <f t="shared" ca="1" si="159"/>
        <v>11137.50285437349</v>
      </c>
      <c r="CR105" s="1229">
        <f t="shared" ca="1" si="159"/>
        <v>10837.381457893023</v>
      </c>
      <c r="CS105" s="1229">
        <f t="shared" ca="1" si="159"/>
        <v>15123.820973165237</v>
      </c>
      <c r="CT105" s="1229">
        <f t="shared" ca="1" si="159"/>
        <v>25898.02437483344</v>
      </c>
      <c r="CU105" s="1229">
        <f t="shared" ca="1" si="159"/>
        <v>9643.7934179181902</v>
      </c>
      <c r="CV105" s="1229">
        <f t="shared" ca="1" si="159"/>
        <v>0</v>
      </c>
      <c r="CW105" s="1229">
        <f t="shared" ca="1" si="159"/>
        <v>0</v>
      </c>
      <c r="CX105" s="1229">
        <f t="shared" ca="1" si="159"/>
        <v>0</v>
      </c>
      <c r="CY105" s="1229">
        <f t="shared" ca="1" si="159"/>
        <v>16832.099938580977</v>
      </c>
      <c r="CZ105" s="1229">
        <f t="shared" ca="1" si="159"/>
        <v>18425.639470534035</v>
      </c>
      <c r="DA105" s="1229">
        <f t="shared" ca="1" si="159"/>
        <v>19848.674244736201</v>
      </c>
      <c r="DB105" s="1229">
        <f t="shared" ca="1" si="159"/>
        <v>18604.672208652293</v>
      </c>
      <c r="DC105" s="1229">
        <f t="shared" ca="1" si="159"/>
        <v>10080.043607316664</v>
      </c>
      <c r="DD105" s="1229">
        <f t="shared" ca="1" si="159"/>
        <v>9770.9185689417973</v>
      </c>
      <c r="DE105" s="1229">
        <f t="shared" ca="1" si="159"/>
        <v>14185.951269672156</v>
      </c>
      <c r="DF105" s="1229">
        <f t="shared" ca="1" si="159"/>
        <v>25283.380773390392</v>
      </c>
      <c r="DG105" s="1229">
        <f t="shared" ca="1" si="159"/>
        <v>8541.5228877676873</v>
      </c>
      <c r="DH105" s="1229">
        <f t="shared" ca="1" si="159"/>
        <v>0</v>
      </c>
      <c r="DI105" s="1229">
        <f t="shared" ca="1" si="159"/>
        <v>0</v>
      </c>
      <c r="DJ105" s="1229">
        <f t="shared" ca="1" si="159"/>
        <v>0</v>
      </c>
      <c r="DK105" s="1229">
        <f t="shared" ca="1" si="159"/>
        <v>13631.05239816778</v>
      </c>
      <c r="DL105" s="1229">
        <f t="shared" ca="1" si="159"/>
        <v>17586.82432196198</v>
      </c>
      <c r="DM105" s="1229">
        <f t="shared" ca="1" si="159"/>
        <v>19052.550139390252</v>
      </c>
      <c r="DN105" s="1229">
        <f t="shared" ca="1" si="159"/>
        <v>19923.796802111232</v>
      </c>
      <c r="DO105" s="1229">
        <f t="shared" ca="1" si="159"/>
        <v>11143.429342735544</v>
      </c>
      <c r="DP105" s="1229">
        <f t="shared" ca="1" si="159"/>
        <v>10825.030553209395</v>
      </c>
      <c r="DQ105" s="1229">
        <f t="shared" ca="1" si="159"/>
        <v>15372.514234961705</v>
      </c>
      <c r="DR105" s="1229">
        <f t="shared" ca="1" si="159"/>
        <v>26802.866623791509</v>
      </c>
      <c r="DS105" s="1229">
        <f t="shared" ca="1" si="159"/>
        <v>9558.7530016001056</v>
      </c>
      <c r="DT105" s="1229">
        <f t="shared" ca="1" si="159"/>
        <v>0</v>
      </c>
      <c r="DU105" s="1229">
        <f t="shared" ca="1" si="159"/>
        <v>0</v>
      </c>
      <c r="DV105" s="1229">
        <f t="shared" ca="1" si="159"/>
        <v>0</v>
      </c>
      <c r="DW105" s="1229">
        <f t="shared" ca="1" si="159"/>
        <v>15167.78508296327</v>
      </c>
      <c r="DX105" s="1229">
        <f t="shared" ca="1" si="159"/>
        <v>18875.413478820254</v>
      </c>
      <c r="DY105" s="1229">
        <f t="shared" ca="1" si="159"/>
        <v>13790099.209258135</v>
      </c>
    </row>
    <row r="106" spans="1:131" s="1223" customFormat="1">
      <c r="D106" s="1227" t="s">
        <v>670</v>
      </c>
      <c r="E106" s="1257">
        <v>0.9</v>
      </c>
      <c r="F106" s="1230"/>
      <c r="G106" s="1230">
        <f t="shared" ref="G106:G107" ca="1" si="160">SUM(I106:DY106)</f>
        <v>-1979433.1906273812</v>
      </c>
      <c r="H106" s="1230">
        <f t="shared" ref="H106" si="161">IF(H105&lt;0,$E$131*H105,0)</f>
        <v>0</v>
      </c>
      <c r="I106" s="1230"/>
      <c r="J106" s="1230">
        <f ca="1">IF(J105&lt;0,$E$106*J105,0)</f>
        <v>-467999.99999999988</v>
      </c>
      <c r="K106" s="1230">
        <f t="shared" ref="K106:BV106" ca="1" si="162">IF(K105&lt;0,$E$106*K105,0)</f>
        <v>-35203.770643660479</v>
      </c>
      <c r="L106" s="1230">
        <f t="shared" ca="1" si="162"/>
        <v>-247566.35995460665</v>
      </c>
      <c r="M106" s="1230">
        <f t="shared" ca="1" si="162"/>
        <v>-247566.35995460665</v>
      </c>
      <c r="N106" s="1230">
        <f t="shared" ca="1" si="162"/>
        <v>-247566.35995460665</v>
      </c>
      <c r="O106" s="1230">
        <f t="shared" ca="1" si="162"/>
        <v>-247566.35995460665</v>
      </c>
      <c r="P106" s="1230">
        <f t="shared" ca="1" si="162"/>
        <v>-247566.35995460665</v>
      </c>
      <c r="Q106" s="1230">
        <f t="shared" ca="1" si="162"/>
        <v>-238397.62021068746</v>
      </c>
      <c r="R106" s="1230">
        <f t="shared" ca="1" si="162"/>
        <v>0</v>
      </c>
      <c r="S106" s="1230">
        <f t="shared" ca="1" si="162"/>
        <v>0</v>
      </c>
      <c r="T106" s="1230">
        <f t="shared" ca="1" si="162"/>
        <v>0</v>
      </c>
      <c r="U106" s="1230">
        <f t="shared" ca="1" si="162"/>
        <v>0</v>
      </c>
      <c r="V106" s="1230">
        <f t="shared" ca="1" si="162"/>
        <v>0</v>
      </c>
      <c r="W106" s="1230">
        <f t="shared" ca="1" si="162"/>
        <v>0</v>
      </c>
      <c r="X106" s="1230">
        <f t="shared" ca="1" si="162"/>
        <v>0</v>
      </c>
      <c r="Y106" s="1230">
        <f t="shared" ca="1" si="162"/>
        <v>0</v>
      </c>
      <c r="Z106" s="1230">
        <f t="shared" ca="1" si="162"/>
        <v>0</v>
      </c>
      <c r="AA106" s="1230">
        <f t="shared" ca="1" si="162"/>
        <v>0</v>
      </c>
      <c r="AB106" s="1230">
        <f t="shared" ca="1" si="162"/>
        <v>0</v>
      </c>
      <c r="AC106" s="1230">
        <f t="shared" ca="1" si="162"/>
        <v>0</v>
      </c>
      <c r="AD106" s="1230">
        <f t="shared" ca="1" si="162"/>
        <v>0</v>
      </c>
      <c r="AE106" s="1230">
        <f t="shared" ca="1" si="162"/>
        <v>0</v>
      </c>
      <c r="AF106" s="1230">
        <f t="shared" ca="1" si="162"/>
        <v>0</v>
      </c>
      <c r="AG106" s="1230">
        <f t="shared" ca="1" si="162"/>
        <v>0</v>
      </c>
      <c r="AH106" s="1230">
        <f t="shared" ca="1" si="162"/>
        <v>0</v>
      </c>
      <c r="AI106" s="1230">
        <f t="shared" ca="1" si="162"/>
        <v>0</v>
      </c>
      <c r="AJ106" s="1230">
        <f t="shared" ca="1" si="162"/>
        <v>0</v>
      </c>
      <c r="AK106" s="1230">
        <f t="shared" ca="1" si="162"/>
        <v>0</v>
      </c>
      <c r="AL106" s="1230">
        <f t="shared" ca="1" si="162"/>
        <v>0</v>
      </c>
      <c r="AM106" s="1230">
        <f t="shared" ca="1" si="162"/>
        <v>0</v>
      </c>
      <c r="AN106" s="1230">
        <f t="shared" ca="1" si="162"/>
        <v>0</v>
      </c>
      <c r="AO106" s="1230">
        <f t="shared" ca="1" si="162"/>
        <v>0</v>
      </c>
      <c r="AP106" s="1230">
        <f t="shared" ca="1" si="162"/>
        <v>0</v>
      </c>
      <c r="AQ106" s="1230">
        <f t="shared" ca="1" si="162"/>
        <v>0</v>
      </c>
      <c r="AR106" s="1230">
        <f t="shared" ca="1" si="162"/>
        <v>0</v>
      </c>
      <c r="AS106" s="1230">
        <f t="shared" ca="1" si="162"/>
        <v>0</v>
      </c>
      <c r="AT106" s="1230">
        <f t="shared" ca="1" si="162"/>
        <v>0</v>
      </c>
      <c r="AU106" s="1230">
        <f t="shared" ca="1" si="162"/>
        <v>0</v>
      </c>
      <c r="AV106" s="1230">
        <f t="shared" ca="1" si="162"/>
        <v>0</v>
      </c>
      <c r="AW106" s="1230">
        <f t="shared" ca="1" si="162"/>
        <v>0</v>
      </c>
      <c r="AX106" s="1230">
        <f t="shared" ca="1" si="162"/>
        <v>0</v>
      </c>
      <c r="AY106" s="1230">
        <f t="shared" ca="1" si="162"/>
        <v>0</v>
      </c>
      <c r="AZ106" s="1230">
        <f t="shared" ca="1" si="162"/>
        <v>0</v>
      </c>
      <c r="BA106" s="1230">
        <f t="shared" ca="1" si="162"/>
        <v>0</v>
      </c>
      <c r="BB106" s="1230">
        <f t="shared" ca="1" si="162"/>
        <v>0</v>
      </c>
      <c r="BC106" s="1230">
        <f t="shared" ca="1" si="162"/>
        <v>0</v>
      </c>
      <c r="BD106" s="1230">
        <f t="shared" ca="1" si="162"/>
        <v>0</v>
      </c>
      <c r="BE106" s="1230">
        <f t="shared" ca="1" si="162"/>
        <v>0</v>
      </c>
      <c r="BF106" s="1230">
        <f t="shared" ca="1" si="162"/>
        <v>0</v>
      </c>
      <c r="BG106" s="1230">
        <f t="shared" ca="1" si="162"/>
        <v>0</v>
      </c>
      <c r="BH106" s="1230">
        <f t="shared" ca="1" si="162"/>
        <v>0</v>
      </c>
      <c r="BI106" s="1230">
        <f t="shared" ca="1" si="162"/>
        <v>0</v>
      </c>
      <c r="BJ106" s="1230">
        <f t="shared" ca="1" si="162"/>
        <v>0</v>
      </c>
      <c r="BK106" s="1230">
        <f t="shared" ca="1" si="162"/>
        <v>0</v>
      </c>
      <c r="BL106" s="1230">
        <f t="shared" ca="1" si="162"/>
        <v>0</v>
      </c>
      <c r="BM106" s="1230">
        <f t="shared" ca="1" si="162"/>
        <v>0</v>
      </c>
      <c r="BN106" s="1230">
        <f t="shared" ca="1" si="162"/>
        <v>0</v>
      </c>
      <c r="BO106" s="1230">
        <f t="shared" ca="1" si="162"/>
        <v>0</v>
      </c>
      <c r="BP106" s="1230">
        <f t="shared" ca="1" si="162"/>
        <v>0</v>
      </c>
      <c r="BQ106" s="1230">
        <f t="shared" ca="1" si="162"/>
        <v>0</v>
      </c>
      <c r="BR106" s="1230">
        <f t="shared" ca="1" si="162"/>
        <v>0</v>
      </c>
      <c r="BS106" s="1230">
        <f t="shared" ca="1" si="162"/>
        <v>0</v>
      </c>
      <c r="BT106" s="1230">
        <f t="shared" ca="1" si="162"/>
        <v>0</v>
      </c>
      <c r="BU106" s="1230">
        <f t="shared" ca="1" si="162"/>
        <v>0</v>
      </c>
      <c r="BV106" s="1230">
        <f t="shared" ca="1" si="162"/>
        <v>0</v>
      </c>
      <c r="BW106" s="1230">
        <f t="shared" ref="BW106:DY106" ca="1" si="163">IF(BW105&lt;0,$E$106*BW105,0)</f>
        <v>0</v>
      </c>
      <c r="BX106" s="1230">
        <f t="shared" ca="1" si="163"/>
        <v>0</v>
      </c>
      <c r="BY106" s="1230">
        <f t="shared" ca="1" si="163"/>
        <v>0</v>
      </c>
      <c r="BZ106" s="1230">
        <f t="shared" ca="1" si="163"/>
        <v>0</v>
      </c>
      <c r="CA106" s="1230">
        <f t="shared" ca="1" si="163"/>
        <v>0</v>
      </c>
      <c r="CB106" s="1230">
        <f t="shared" ca="1" si="163"/>
        <v>0</v>
      </c>
      <c r="CC106" s="1230">
        <f t="shared" ca="1" si="163"/>
        <v>0</v>
      </c>
      <c r="CD106" s="1230">
        <f t="shared" ca="1" si="163"/>
        <v>0</v>
      </c>
      <c r="CE106" s="1230">
        <f t="shared" ca="1" si="163"/>
        <v>0</v>
      </c>
      <c r="CF106" s="1230">
        <f t="shared" ca="1" si="163"/>
        <v>0</v>
      </c>
      <c r="CG106" s="1230">
        <f t="shared" ca="1" si="163"/>
        <v>0</v>
      </c>
      <c r="CH106" s="1230">
        <f t="shared" ca="1" si="163"/>
        <v>0</v>
      </c>
      <c r="CI106" s="1230">
        <f t="shared" ca="1" si="163"/>
        <v>0</v>
      </c>
      <c r="CJ106" s="1230">
        <f t="shared" ca="1" si="163"/>
        <v>0</v>
      </c>
      <c r="CK106" s="1230">
        <f t="shared" ca="1" si="163"/>
        <v>0</v>
      </c>
      <c r="CL106" s="1230">
        <f t="shared" ca="1" si="163"/>
        <v>0</v>
      </c>
      <c r="CM106" s="1230">
        <f t="shared" ca="1" si="163"/>
        <v>0</v>
      </c>
      <c r="CN106" s="1230">
        <f t="shared" ca="1" si="163"/>
        <v>0</v>
      </c>
      <c r="CO106" s="1230">
        <f t="shared" ca="1" si="163"/>
        <v>0</v>
      </c>
      <c r="CP106" s="1230">
        <f t="shared" ca="1" si="163"/>
        <v>0</v>
      </c>
      <c r="CQ106" s="1230">
        <f t="shared" ca="1" si="163"/>
        <v>0</v>
      </c>
      <c r="CR106" s="1230">
        <f t="shared" ca="1" si="163"/>
        <v>0</v>
      </c>
      <c r="CS106" s="1230">
        <f t="shared" ca="1" si="163"/>
        <v>0</v>
      </c>
      <c r="CT106" s="1230">
        <f t="shared" ca="1" si="163"/>
        <v>0</v>
      </c>
      <c r="CU106" s="1230">
        <f t="shared" ca="1" si="163"/>
        <v>0</v>
      </c>
      <c r="CV106" s="1230">
        <f t="shared" ca="1" si="163"/>
        <v>0</v>
      </c>
      <c r="CW106" s="1230">
        <f t="shared" ca="1" si="163"/>
        <v>0</v>
      </c>
      <c r="CX106" s="1230">
        <f t="shared" ca="1" si="163"/>
        <v>0</v>
      </c>
      <c r="CY106" s="1230">
        <f t="shared" ca="1" si="163"/>
        <v>0</v>
      </c>
      <c r="CZ106" s="1230">
        <f t="shared" ca="1" si="163"/>
        <v>0</v>
      </c>
      <c r="DA106" s="1230">
        <f t="shared" ca="1" si="163"/>
        <v>0</v>
      </c>
      <c r="DB106" s="1230">
        <f t="shared" ca="1" si="163"/>
        <v>0</v>
      </c>
      <c r="DC106" s="1230">
        <f t="shared" ca="1" si="163"/>
        <v>0</v>
      </c>
      <c r="DD106" s="1230">
        <f t="shared" ca="1" si="163"/>
        <v>0</v>
      </c>
      <c r="DE106" s="1230">
        <f t="shared" ca="1" si="163"/>
        <v>0</v>
      </c>
      <c r="DF106" s="1230">
        <f t="shared" ca="1" si="163"/>
        <v>0</v>
      </c>
      <c r="DG106" s="1230">
        <f t="shared" ca="1" si="163"/>
        <v>0</v>
      </c>
      <c r="DH106" s="1230">
        <f t="shared" ca="1" si="163"/>
        <v>0</v>
      </c>
      <c r="DI106" s="1230">
        <f t="shared" ca="1" si="163"/>
        <v>0</v>
      </c>
      <c r="DJ106" s="1230">
        <f t="shared" ca="1" si="163"/>
        <v>0</v>
      </c>
      <c r="DK106" s="1230">
        <f t="shared" ca="1" si="163"/>
        <v>0</v>
      </c>
      <c r="DL106" s="1230">
        <f t="shared" ca="1" si="163"/>
        <v>0</v>
      </c>
      <c r="DM106" s="1230">
        <f t="shared" ca="1" si="163"/>
        <v>0</v>
      </c>
      <c r="DN106" s="1230">
        <f t="shared" ca="1" si="163"/>
        <v>0</v>
      </c>
      <c r="DO106" s="1230">
        <f t="shared" ca="1" si="163"/>
        <v>0</v>
      </c>
      <c r="DP106" s="1230">
        <f t="shared" ca="1" si="163"/>
        <v>0</v>
      </c>
      <c r="DQ106" s="1230">
        <f t="shared" ca="1" si="163"/>
        <v>0</v>
      </c>
      <c r="DR106" s="1230">
        <f t="shared" ca="1" si="163"/>
        <v>0</v>
      </c>
      <c r="DS106" s="1230">
        <f t="shared" ca="1" si="163"/>
        <v>0</v>
      </c>
      <c r="DT106" s="1230">
        <f t="shared" ca="1" si="163"/>
        <v>0</v>
      </c>
      <c r="DU106" s="1230">
        <f t="shared" ca="1" si="163"/>
        <v>0</v>
      </c>
      <c r="DV106" s="1230">
        <f t="shared" ca="1" si="163"/>
        <v>0</v>
      </c>
      <c r="DW106" s="1230">
        <f t="shared" ca="1" si="163"/>
        <v>0</v>
      </c>
      <c r="DX106" s="1230">
        <f t="shared" ca="1" si="163"/>
        <v>0</v>
      </c>
      <c r="DY106" s="1230">
        <f t="shared" ca="1" si="163"/>
        <v>0</v>
      </c>
    </row>
    <row r="107" spans="1:131" s="1223" customFormat="1">
      <c r="D107" s="1227" t="s">
        <v>671</v>
      </c>
      <c r="E107" s="1231">
        <f>E105-E106</f>
        <v>9.9999999999999978E-2</v>
      </c>
      <c r="F107" s="1230"/>
      <c r="G107" s="1230">
        <f t="shared" ca="1" si="160"/>
        <v>-219937.0211808201</v>
      </c>
      <c r="H107" s="1230">
        <f t="shared" ref="H107" si="164">IF(H105&lt;0,$E$132*H105,0)</f>
        <v>0</v>
      </c>
      <c r="I107" s="1230"/>
      <c r="J107" s="1230">
        <f ca="1">IF(J105&lt;0,$E$107*J105,0)</f>
        <v>-51999.999999999978</v>
      </c>
      <c r="K107" s="1230">
        <f t="shared" ref="K107:BV107" ca="1" si="165">IF(K105&lt;0,$E$107*K105,0)</f>
        <v>-3911.53007151783</v>
      </c>
      <c r="L107" s="1230">
        <f t="shared" ca="1" si="165"/>
        <v>-27507.373328289621</v>
      </c>
      <c r="M107" s="1230">
        <f t="shared" ca="1" si="165"/>
        <v>-27507.373328289621</v>
      </c>
      <c r="N107" s="1230">
        <f t="shared" ca="1" si="165"/>
        <v>-27507.373328289621</v>
      </c>
      <c r="O107" s="1230">
        <f t="shared" ca="1" si="165"/>
        <v>-27507.373328289621</v>
      </c>
      <c r="P107" s="1230">
        <f t="shared" ca="1" si="165"/>
        <v>-27507.373328289621</v>
      </c>
      <c r="Q107" s="1230">
        <f t="shared" ca="1" si="165"/>
        <v>-26488.624467854155</v>
      </c>
      <c r="R107" s="1230">
        <f t="shared" ca="1" si="165"/>
        <v>0</v>
      </c>
      <c r="S107" s="1230">
        <f t="shared" ca="1" si="165"/>
        <v>0</v>
      </c>
      <c r="T107" s="1230">
        <f t="shared" ca="1" si="165"/>
        <v>0</v>
      </c>
      <c r="U107" s="1230">
        <f t="shared" ca="1" si="165"/>
        <v>0</v>
      </c>
      <c r="V107" s="1230">
        <f t="shared" ca="1" si="165"/>
        <v>0</v>
      </c>
      <c r="W107" s="1230">
        <f t="shared" ca="1" si="165"/>
        <v>0</v>
      </c>
      <c r="X107" s="1230">
        <f t="shared" ca="1" si="165"/>
        <v>0</v>
      </c>
      <c r="Y107" s="1230">
        <f t="shared" ca="1" si="165"/>
        <v>0</v>
      </c>
      <c r="Z107" s="1230">
        <f t="shared" ca="1" si="165"/>
        <v>0</v>
      </c>
      <c r="AA107" s="1230">
        <f t="shared" ca="1" si="165"/>
        <v>0</v>
      </c>
      <c r="AB107" s="1230">
        <f t="shared" ca="1" si="165"/>
        <v>0</v>
      </c>
      <c r="AC107" s="1230">
        <f t="shared" ca="1" si="165"/>
        <v>0</v>
      </c>
      <c r="AD107" s="1230">
        <f t="shared" ca="1" si="165"/>
        <v>0</v>
      </c>
      <c r="AE107" s="1230">
        <f t="shared" ca="1" si="165"/>
        <v>0</v>
      </c>
      <c r="AF107" s="1230">
        <f t="shared" ca="1" si="165"/>
        <v>0</v>
      </c>
      <c r="AG107" s="1230">
        <f t="shared" ca="1" si="165"/>
        <v>0</v>
      </c>
      <c r="AH107" s="1230">
        <f t="shared" ca="1" si="165"/>
        <v>0</v>
      </c>
      <c r="AI107" s="1230">
        <f t="shared" ca="1" si="165"/>
        <v>0</v>
      </c>
      <c r="AJ107" s="1230">
        <f t="shared" ca="1" si="165"/>
        <v>0</v>
      </c>
      <c r="AK107" s="1230">
        <f t="shared" ca="1" si="165"/>
        <v>0</v>
      </c>
      <c r="AL107" s="1230">
        <f t="shared" ca="1" si="165"/>
        <v>0</v>
      </c>
      <c r="AM107" s="1230">
        <f t="shared" ca="1" si="165"/>
        <v>0</v>
      </c>
      <c r="AN107" s="1230">
        <f t="shared" ca="1" si="165"/>
        <v>0</v>
      </c>
      <c r="AO107" s="1230">
        <f t="shared" ca="1" si="165"/>
        <v>0</v>
      </c>
      <c r="AP107" s="1230">
        <f t="shared" ca="1" si="165"/>
        <v>0</v>
      </c>
      <c r="AQ107" s="1230">
        <f t="shared" ca="1" si="165"/>
        <v>0</v>
      </c>
      <c r="AR107" s="1230">
        <f t="shared" ca="1" si="165"/>
        <v>0</v>
      </c>
      <c r="AS107" s="1230">
        <f t="shared" ca="1" si="165"/>
        <v>0</v>
      </c>
      <c r="AT107" s="1230">
        <f t="shared" ca="1" si="165"/>
        <v>0</v>
      </c>
      <c r="AU107" s="1230">
        <f t="shared" ca="1" si="165"/>
        <v>0</v>
      </c>
      <c r="AV107" s="1230">
        <f t="shared" ca="1" si="165"/>
        <v>0</v>
      </c>
      <c r="AW107" s="1230">
        <f t="shared" ca="1" si="165"/>
        <v>0</v>
      </c>
      <c r="AX107" s="1230">
        <f t="shared" ca="1" si="165"/>
        <v>0</v>
      </c>
      <c r="AY107" s="1230">
        <f t="shared" ca="1" si="165"/>
        <v>0</v>
      </c>
      <c r="AZ107" s="1230">
        <f t="shared" ca="1" si="165"/>
        <v>0</v>
      </c>
      <c r="BA107" s="1230">
        <f t="shared" ca="1" si="165"/>
        <v>0</v>
      </c>
      <c r="BB107" s="1230">
        <f t="shared" ca="1" si="165"/>
        <v>0</v>
      </c>
      <c r="BC107" s="1230">
        <f t="shared" ca="1" si="165"/>
        <v>0</v>
      </c>
      <c r="BD107" s="1230">
        <f t="shared" ca="1" si="165"/>
        <v>0</v>
      </c>
      <c r="BE107" s="1230">
        <f t="shared" ca="1" si="165"/>
        <v>0</v>
      </c>
      <c r="BF107" s="1230">
        <f t="shared" ca="1" si="165"/>
        <v>0</v>
      </c>
      <c r="BG107" s="1230">
        <f t="shared" ca="1" si="165"/>
        <v>0</v>
      </c>
      <c r="BH107" s="1230">
        <f t="shared" ca="1" si="165"/>
        <v>0</v>
      </c>
      <c r="BI107" s="1230">
        <f t="shared" ca="1" si="165"/>
        <v>0</v>
      </c>
      <c r="BJ107" s="1230">
        <f t="shared" ca="1" si="165"/>
        <v>0</v>
      </c>
      <c r="BK107" s="1230">
        <f t="shared" ca="1" si="165"/>
        <v>0</v>
      </c>
      <c r="BL107" s="1230">
        <f t="shared" ca="1" si="165"/>
        <v>0</v>
      </c>
      <c r="BM107" s="1230">
        <f t="shared" ca="1" si="165"/>
        <v>0</v>
      </c>
      <c r="BN107" s="1230">
        <f t="shared" ca="1" si="165"/>
        <v>0</v>
      </c>
      <c r="BO107" s="1230">
        <f t="shared" ca="1" si="165"/>
        <v>0</v>
      </c>
      <c r="BP107" s="1230">
        <f t="shared" ca="1" si="165"/>
        <v>0</v>
      </c>
      <c r="BQ107" s="1230">
        <f t="shared" ca="1" si="165"/>
        <v>0</v>
      </c>
      <c r="BR107" s="1230">
        <f t="shared" ca="1" si="165"/>
        <v>0</v>
      </c>
      <c r="BS107" s="1230">
        <f t="shared" ca="1" si="165"/>
        <v>0</v>
      </c>
      <c r="BT107" s="1230">
        <f t="shared" ca="1" si="165"/>
        <v>0</v>
      </c>
      <c r="BU107" s="1230">
        <f t="shared" ca="1" si="165"/>
        <v>0</v>
      </c>
      <c r="BV107" s="1230">
        <f t="shared" ca="1" si="165"/>
        <v>0</v>
      </c>
      <c r="BW107" s="1230">
        <f t="shared" ref="BW107:DY107" ca="1" si="166">IF(BW105&lt;0,$E$107*BW105,0)</f>
        <v>0</v>
      </c>
      <c r="BX107" s="1230">
        <f t="shared" ca="1" si="166"/>
        <v>0</v>
      </c>
      <c r="BY107" s="1230">
        <f t="shared" ca="1" si="166"/>
        <v>0</v>
      </c>
      <c r="BZ107" s="1230">
        <f t="shared" ca="1" si="166"/>
        <v>0</v>
      </c>
      <c r="CA107" s="1230">
        <f t="shared" ca="1" si="166"/>
        <v>0</v>
      </c>
      <c r="CB107" s="1230">
        <f t="shared" ca="1" si="166"/>
        <v>0</v>
      </c>
      <c r="CC107" s="1230">
        <f t="shared" ca="1" si="166"/>
        <v>0</v>
      </c>
      <c r="CD107" s="1230">
        <f t="shared" ca="1" si="166"/>
        <v>0</v>
      </c>
      <c r="CE107" s="1230">
        <f t="shared" ca="1" si="166"/>
        <v>0</v>
      </c>
      <c r="CF107" s="1230">
        <f t="shared" ca="1" si="166"/>
        <v>0</v>
      </c>
      <c r="CG107" s="1230">
        <f t="shared" ca="1" si="166"/>
        <v>0</v>
      </c>
      <c r="CH107" s="1230">
        <f t="shared" ca="1" si="166"/>
        <v>0</v>
      </c>
      <c r="CI107" s="1230">
        <f t="shared" ca="1" si="166"/>
        <v>0</v>
      </c>
      <c r="CJ107" s="1230">
        <f t="shared" ca="1" si="166"/>
        <v>0</v>
      </c>
      <c r="CK107" s="1230">
        <f t="shared" ca="1" si="166"/>
        <v>0</v>
      </c>
      <c r="CL107" s="1230">
        <f t="shared" ca="1" si="166"/>
        <v>0</v>
      </c>
      <c r="CM107" s="1230">
        <f t="shared" ca="1" si="166"/>
        <v>0</v>
      </c>
      <c r="CN107" s="1230">
        <f t="shared" ca="1" si="166"/>
        <v>0</v>
      </c>
      <c r="CO107" s="1230">
        <f t="shared" ca="1" si="166"/>
        <v>0</v>
      </c>
      <c r="CP107" s="1230">
        <f t="shared" ca="1" si="166"/>
        <v>0</v>
      </c>
      <c r="CQ107" s="1230">
        <f t="shared" ca="1" si="166"/>
        <v>0</v>
      </c>
      <c r="CR107" s="1230">
        <f t="shared" ca="1" si="166"/>
        <v>0</v>
      </c>
      <c r="CS107" s="1230">
        <f t="shared" ca="1" si="166"/>
        <v>0</v>
      </c>
      <c r="CT107" s="1230">
        <f t="shared" ca="1" si="166"/>
        <v>0</v>
      </c>
      <c r="CU107" s="1230">
        <f t="shared" ca="1" si="166"/>
        <v>0</v>
      </c>
      <c r="CV107" s="1230">
        <f t="shared" ca="1" si="166"/>
        <v>0</v>
      </c>
      <c r="CW107" s="1230">
        <f t="shared" ca="1" si="166"/>
        <v>0</v>
      </c>
      <c r="CX107" s="1230">
        <f t="shared" ca="1" si="166"/>
        <v>0</v>
      </c>
      <c r="CY107" s="1230">
        <f t="shared" ca="1" si="166"/>
        <v>0</v>
      </c>
      <c r="CZ107" s="1230">
        <f t="shared" ca="1" si="166"/>
        <v>0</v>
      </c>
      <c r="DA107" s="1230">
        <f t="shared" ca="1" si="166"/>
        <v>0</v>
      </c>
      <c r="DB107" s="1230">
        <f t="shared" ca="1" si="166"/>
        <v>0</v>
      </c>
      <c r="DC107" s="1230">
        <f t="shared" ca="1" si="166"/>
        <v>0</v>
      </c>
      <c r="DD107" s="1230">
        <f t="shared" ca="1" si="166"/>
        <v>0</v>
      </c>
      <c r="DE107" s="1230">
        <f t="shared" ca="1" si="166"/>
        <v>0</v>
      </c>
      <c r="DF107" s="1230">
        <f t="shared" ca="1" si="166"/>
        <v>0</v>
      </c>
      <c r="DG107" s="1230">
        <f t="shared" ca="1" si="166"/>
        <v>0</v>
      </c>
      <c r="DH107" s="1230">
        <f t="shared" ca="1" si="166"/>
        <v>0</v>
      </c>
      <c r="DI107" s="1230">
        <f t="shared" ca="1" si="166"/>
        <v>0</v>
      </c>
      <c r="DJ107" s="1230">
        <f t="shared" ca="1" si="166"/>
        <v>0</v>
      </c>
      <c r="DK107" s="1230">
        <f t="shared" ca="1" si="166"/>
        <v>0</v>
      </c>
      <c r="DL107" s="1230">
        <f t="shared" ca="1" si="166"/>
        <v>0</v>
      </c>
      <c r="DM107" s="1230">
        <f t="shared" ca="1" si="166"/>
        <v>0</v>
      </c>
      <c r="DN107" s="1230">
        <f t="shared" ca="1" si="166"/>
        <v>0</v>
      </c>
      <c r="DO107" s="1230">
        <f t="shared" ca="1" si="166"/>
        <v>0</v>
      </c>
      <c r="DP107" s="1230">
        <f t="shared" ca="1" si="166"/>
        <v>0</v>
      </c>
      <c r="DQ107" s="1230">
        <f t="shared" ca="1" si="166"/>
        <v>0</v>
      </c>
      <c r="DR107" s="1230">
        <f t="shared" ca="1" si="166"/>
        <v>0</v>
      </c>
      <c r="DS107" s="1230">
        <f t="shared" ca="1" si="166"/>
        <v>0</v>
      </c>
      <c r="DT107" s="1230">
        <f t="shared" ca="1" si="166"/>
        <v>0</v>
      </c>
      <c r="DU107" s="1230">
        <f t="shared" ca="1" si="166"/>
        <v>0</v>
      </c>
      <c r="DV107" s="1230">
        <f t="shared" ca="1" si="166"/>
        <v>0</v>
      </c>
      <c r="DW107" s="1230">
        <f t="shared" ca="1" si="166"/>
        <v>0</v>
      </c>
      <c r="DX107" s="1230">
        <f t="shared" ca="1" si="166"/>
        <v>0</v>
      </c>
      <c r="DY107" s="1230">
        <f t="shared" ca="1" si="166"/>
        <v>0</v>
      </c>
    </row>
    <row r="108" spans="1:131" s="1223" customFormat="1">
      <c r="D108" s="1227" t="s">
        <v>672</v>
      </c>
      <c r="E108" s="1257">
        <v>0.65</v>
      </c>
      <c r="F108" s="1227"/>
      <c r="G108" s="1229"/>
      <c r="H108" s="1229"/>
      <c r="I108" s="1229"/>
      <c r="J108" s="1229"/>
      <c r="K108" s="1229"/>
      <c r="L108" s="1229"/>
      <c r="M108" s="1229"/>
      <c r="N108" s="1229"/>
      <c r="O108" s="1229"/>
      <c r="P108" s="1229"/>
      <c r="Q108" s="1229"/>
      <c r="R108" s="1229"/>
      <c r="S108" s="1229"/>
      <c r="T108" s="1229"/>
      <c r="U108" s="1229"/>
      <c r="V108" s="1229"/>
      <c r="W108" s="1229"/>
      <c r="X108" s="1229"/>
      <c r="Y108" s="1229"/>
      <c r="Z108" s="1229"/>
      <c r="AA108" s="1229"/>
      <c r="AB108" s="1229"/>
      <c r="AC108" s="1229"/>
      <c r="AD108" s="1229"/>
      <c r="AE108" s="1229"/>
      <c r="AF108" s="1229"/>
      <c r="AG108" s="1229"/>
      <c r="AH108" s="1229"/>
      <c r="AI108" s="1229"/>
      <c r="AJ108" s="1229"/>
      <c r="AK108" s="1229"/>
      <c r="AL108" s="1229"/>
      <c r="AM108" s="1229"/>
      <c r="AN108" s="1229"/>
      <c r="AO108" s="1229"/>
      <c r="AP108" s="1229"/>
      <c r="AQ108" s="1229"/>
      <c r="AR108" s="1229"/>
      <c r="AS108" s="1229"/>
      <c r="AT108" s="1229"/>
      <c r="AU108" s="1229"/>
      <c r="AV108" s="1229"/>
      <c r="AW108" s="1229"/>
      <c r="AX108" s="1229"/>
      <c r="AY108" s="1229"/>
      <c r="AZ108" s="1229"/>
      <c r="BA108" s="1229"/>
      <c r="BB108" s="1229"/>
      <c r="BC108" s="1229"/>
      <c r="BD108" s="1229"/>
      <c r="BE108" s="1229"/>
      <c r="BF108" s="1229"/>
      <c r="BG108" s="1229"/>
      <c r="BH108" s="1229"/>
      <c r="BI108" s="1229"/>
      <c r="BJ108" s="1229"/>
      <c r="BK108" s="1229"/>
      <c r="BL108" s="1229"/>
      <c r="BM108" s="1229"/>
      <c r="BN108" s="1229"/>
      <c r="BO108" s="1229"/>
      <c r="BP108" s="1229"/>
      <c r="BQ108" s="1229"/>
      <c r="BR108" s="1229"/>
      <c r="BS108" s="1229"/>
      <c r="BT108" s="1229"/>
      <c r="BU108" s="1229"/>
      <c r="BV108" s="1229"/>
      <c r="BW108" s="1229"/>
      <c r="BX108" s="1229"/>
      <c r="BY108" s="1229"/>
      <c r="BZ108" s="1229"/>
      <c r="CA108" s="1229"/>
      <c r="CB108" s="1229"/>
      <c r="CC108" s="1229"/>
      <c r="CD108" s="1229"/>
      <c r="CE108" s="1229"/>
      <c r="CF108" s="1229"/>
      <c r="CG108" s="1229"/>
      <c r="CH108" s="1229"/>
      <c r="CI108" s="1229"/>
      <c r="CJ108" s="1229"/>
      <c r="CK108" s="1229"/>
      <c r="CL108" s="1229"/>
      <c r="CM108" s="1229"/>
      <c r="CN108" s="1229"/>
      <c r="CO108" s="1229"/>
      <c r="CP108" s="1229"/>
      <c r="CQ108" s="1229"/>
      <c r="CR108" s="1229"/>
      <c r="CS108" s="1229"/>
      <c r="CT108" s="1229"/>
      <c r="CU108" s="1229"/>
      <c r="CV108" s="1229"/>
      <c r="CW108" s="1229"/>
      <c r="CX108" s="1229"/>
      <c r="CY108" s="1229"/>
      <c r="CZ108" s="1229"/>
      <c r="DA108" s="1229"/>
      <c r="DB108" s="1229"/>
      <c r="DC108" s="1229"/>
      <c r="DD108" s="1229"/>
      <c r="DE108" s="1229"/>
      <c r="DF108" s="1229"/>
      <c r="DG108" s="1229"/>
      <c r="DH108" s="1229"/>
      <c r="DI108" s="1229"/>
      <c r="DJ108" s="1229"/>
      <c r="DK108" s="1229"/>
      <c r="DL108" s="1229"/>
      <c r="DM108" s="1229"/>
      <c r="DN108" s="1229"/>
      <c r="DO108" s="1229"/>
      <c r="DP108" s="1229"/>
      <c r="DQ108" s="1229"/>
      <c r="DR108" s="1229"/>
      <c r="DS108" s="1229"/>
      <c r="DT108" s="1229"/>
      <c r="DU108" s="1229"/>
      <c r="DV108" s="1229"/>
      <c r="DW108" s="1229"/>
      <c r="DX108" s="1229"/>
      <c r="DY108" s="1229"/>
    </row>
    <row r="109" spans="1:131" s="1223" customFormat="1">
      <c r="D109" s="1227"/>
      <c r="E109" s="1227"/>
      <c r="F109" s="1227"/>
      <c r="G109" s="1229"/>
      <c r="H109" s="1229"/>
      <c r="I109" s="1229"/>
      <c r="J109" s="1229"/>
      <c r="K109" s="1229"/>
      <c r="L109" s="1229"/>
      <c r="M109" s="1229"/>
      <c r="N109" s="1229"/>
      <c r="O109" s="1229"/>
      <c r="P109" s="1229"/>
      <c r="Q109" s="1229"/>
      <c r="R109" s="1229"/>
      <c r="S109" s="1229"/>
      <c r="T109" s="1229"/>
      <c r="U109" s="1229"/>
      <c r="V109" s="1229"/>
      <c r="W109" s="1229"/>
      <c r="X109" s="1229"/>
      <c r="Y109" s="1229"/>
      <c r="Z109" s="1229"/>
      <c r="AA109" s="1229"/>
      <c r="AB109" s="1229"/>
      <c r="AC109" s="1229"/>
      <c r="AD109" s="1229"/>
      <c r="AE109" s="1229"/>
      <c r="AF109" s="1229"/>
      <c r="AG109" s="1229"/>
      <c r="AH109" s="1229"/>
      <c r="AI109" s="1229"/>
      <c r="AJ109" s="1229"/>
      <c r="AK109" s="1229"/>
      <c r="AL109" s="1229"/>
      <c r="AM109" s="1229"/>
      <c r="AN109" s="1229"/>
      <c r="AO109" s="1229"/>
      <c r="AP109" s="1229"/>
      <c r="AQ109" s="1229"/>
      <c r="AR109" s="1229"/>
      <c r="AS109" s="1229"/>
      <c r="AT109" s="1229"/>
      <c r="AU109" s="1229"/>
      <c r="AV109" s="1229"/>
      <c r="AW109" s="1229"/>
      <c r="AX109" s="1229"/>
      <c r="AY109" s="1229"/>
      <c r="AZ109" s="1229"/>
      <c r="BA109" s="1229"/>
      <c r="BB109" s="1229"/>
      <c r="BC109" s="1229"/>
      <c r="BD109" s="1229"/>
      <c r="BE109" s="1229"/>
      <c r="BF109" s="1229"/>
      <c r="BG109" s="1229"/>
      <c r="BH109" s="1229"/>
      <c r="BI109" s="1229"/>
      <c r="BJ109" s="1229"/>
      <c r="BK109" s="1229"/>
      <c r="BL109" s="1229"/>
      <c r="BM109" s="1229"/>
      <c r="BN109" s="1229"/>
      <c r="BO109" s="1229"/>
      <c r="BP109" s="1229"/>
      <c r="BQ109" s="1229"/>
      <c r="BR109" s="1229"/>
      <c r="BS109" s="1229"/>
      <c r="BT109" s="1229"/>
      <c r="BU109" s="1229"/>
      <c r="BV109" s="1229"/>
      <c r="BW109" s="1229"/>
      <c r="BX109" s="1229"/>
      <c r="BY109" s="1229"/>
      <c r="BZ109" s="1229"/>
      <c r="CA109" s="1229"/>
      <c r="CB109" s="1229"/>
      <c r="CC109" s="1229"/>
      <c r="CD109" s="1229"/>
      <c r="CE109" s="1229"/>
      <c r="CF109" s="1229"/>
      <c r="CG109" s="1229"/>
      <c r="CH109" s="1229"/>
      <c r="CI109" s="1229"/>
      <c r="CJ109" s="1229"/>
      <c r="CK109" s="1229"/>
      <c r="CL109" s="1229"/>
      <c r="CM109" s="1229"/>
      <c r="CN109" s="1229"/>
      <c r="CO109" s="1229"/>
      <c r="CP109" s="1229"/>
      <c r="CQ109" s="1229"/>
      <c r="CR109" s="1229"/>
      <c r="CS109" s="1229"/>
      <c r="CT109" s="1229"/>
      <c r="CU109" s="1229"/>
      <c r="CV109" s="1229"/>
      <c r="CW109" s="1229"/>
      <c r="CX109" s="1229"/>
      <c r="CY109" s="1229"/>
      <c r="CZ109" s="1229"/>
      <c r="DA109" s="1229"/>
      <c r="DB109" s="1229"/>
      <c r="DC109" s="1229"/>
      <c r="DD109" s="1229"/>
      <c r="DE109" s="1229"/>
      <c r="DF109" s="1229"/>
      <c r="DG109" s="1229"/>
      <c r="DH109" s="1229"/>
      <c r="DI109" s="1229"/>
      <c r="DJ109" s="1229"/>
      <c r="DK109" s="1229"/>
      <c r="DL109" s="1229"/>
      <c r="DM109" s="1229"/>
      <c r="DN109" s="1229"/>
      <c r="DO109" s="1229"/>
      <c r="DP109" s="1229"/>
      <c r="DQ109" s="1229"/>
      <c r="DR109" s="1229"/>
      <c r="DS109" s="1229"/>
      <c r="DT109" s="1229"/>
      <c r="DU109" s="1229"/>
      <c r="DV109" s="1229"/>
      <c r="DW109" s="1229"/>
      <c r="DX109" s="1229"/>
      <c r="DY109" s="1229"/>
    </row>
    <row r="110" spans="1:131" s="1223" customFormat="1">
      <c r="D110" s="1232" t="s">
        <v>673</v>
      </c>
      <c r="E110" s="1227"/>
      <c r="F110" s="1227"/>
      <c r="G110" s="1229"/>
      <c r="H110" s="1229"/>
      <c r="I110" s="1229"/>
      <c r="J110" s="1229"/>
      <c r="K110" s="1229"/>
      <c r="L110" s="1229"/>
      <c r="M110" s="1229"/>
      <c r="N110" s="1229"/>
      <c r="O110" s="1229"/>
      <c r="P110" s="1229"/>
      <c r="Q110" s="1229"/>
      <c r="R110" s="1229"/>
      <c r="S110" s="1229"/>
      <c r="T110" s="1229"/>
      <c r="U110" s="1229"/>
      <c r="V110" s="1229"/>
      <c r="W110" s="1229"/>
      <c r="X110" s="1229"/>
      <c r="Y110" s="1229"/>
      <c r="Z110" s="1229"/>
      <c r="AA110" s="1229"/>
      <c r="AB110" s="1229"/>
      <c r="AC110" s="1229"/>
      <c r="AD110" s="1229"/>
      <c r="AE110" s="1229"/>
      <c r="AF110" s="1229"/>
      <c r="AG110" s="1229"/>
      <c r="AH110" s="1229"/>
      <c r="AI110" s="1229"/>
      <c r="AJ110" s="1229"/>
      <c r="AK110" s="1229"/>
      <c r="AL110" s="1229"/>
      <c r="AM110" s="1229"/>
      <c r="AN110" s="1229"/>
      <c r="AO110" s="1229"/>
      <c r="AP110" s="1229"/>
      <c r="AQ110" s="1229"/>
      <c r="AR110" s="1229"/>
      <c r="AS110" s="1229"/>
      <c r="AT110" s="1229"/>
      <c r="AU110" s="1229"/>
      <c r="AV110" s="1229"/>
      <c r="AW110" s="1229"/>
      <c r="AX110" s="1229"/>
      <c r="AY110" s="1229"/>
      <c r="AZ110" s="1229"/>
      <c r="BA110" s="1229"/>
      <c r="BB110" s="1229"/>
      <c r="BC110" s="1229"/>
      <c r="BD110" s="1229"/>
      <c r="BE110" s="1229"/>
      <c r="BF110" s="1229"/>
      <c r="BG110" s="1229"/>
      <c r="BH110" s="1229"/>
      <c r="BI110" s="1229"/>
      <c r="BJ110" s="1229"/>
      <c r="BK110" s="1229"/>
      <c r="BL110" s="1229"/>
      <c r="BM110" s="1229"/>
      <c r="BN110" s="1229"/>
      <c r="BO110" s="1229"/>
      <c r="BP110" s="1229"/>
      <c r="BQ110" s="1229"/>
      <c r="BR110" s="1229"/>
      <c r="BS110" s="1229"/>
      <c r="BT110" s="1229"/>
      <c r="BU110" s="1229"/>
      <c r="BV110" s="1229"/>
      <c r="BW110" s="1229"/>
      <c r="BX110" s="1229"/>
      <c r="BY110" s="1229"/>
      <c r="BZ110" s="1229"/>
      <c r="CA110" s="1229"/>
      <c r="CB110" s="1229"/>
      <c r="CC110" s="1229"/>
      <c r="CD110" s="1229"/>
      <c r="CE110" s="1229"/>
      <c r="CF110" s="1229"/>
      <c r="CG110" s="1229"/>
      <c r="CH110" s="1229"/>
      <c r="CI110" s="1229"/>
      <c r="CJ110" s="1229"/>
      <c r="CK110" s="1229"/>
      <c r="CL110" s="1229"/>
      <c r="CM110" s="1229"/>
      <c r="CN110" s="1229"/>
      <c r="CO110" s="1229"/>
      <c r="CP110" s="1229"/>
      <c r="CQ110" s="1229"/>
      <c r="CR110" s="1229"/>
      <c r="CS110" s="1229"/>
      <c r="CT110" s="1229"/>
      <c r="CU110" s="1229"/>
      <c r="CV110" s="1229"/>
      <c r="CW110" s="1229"/>
      <c r="CX110" s="1229"/>
      <c r="CY110" s="1229"/>
      <c r="CZ110" s="1229"/>
      <c r="DA110" s="1229"/>
      <c r="DB110" s="1229"/>
      <c r="DC110" s="1229"/>
      <c r="DD110" s="1229"/>
      <c r="DE110" s="1229"/>
      <c r="DF110" s="1229"/>
      <c r="DG110" s="1229"/>
      <c r="DH110" s="1229"/>
      <c r="DI110" s="1229"/>
      <c r="DJ110" s="1229"/>
      <c r="DK110" s="1229"/>
      <c r="DL110" s="1229"/>
      <c r="DM110" s="1229"/>
      <c r="DN110" s="1229"/>
      <c r="DO110" s="1229"/>
      <c r="DP110" s="1229"/>
      <c r="DQ110" s="1229"/>
      <c r="DR110" s="1229"/>
      <c r="DS110" s="1229"/>
      <c r="DT110" s="1229"/>
      <c r="DU110" s="1229"/>
      <c r="DV110" s="1229"/>
      <c r="DW110" s="1229"/>
      <c r="DX110" s="1229"/>
      <c r="DY110" s="1229"/>
    </row>
    <row r="111" spans="1:131" s="1223" customFormat="1">
      <c r="D111" s="1227"/>
      <c r="E111" s="1227"/>
      <c r="F111" s="1227"/>
      <c r="G111" s="1229"/>
      <c r="H111" s="1229"/>
      <c r="I111" s="1229"/>
      <c r="J111" s="1229"/>
      <c r="K111" s="1229"/>
      <c r="L111" s="1229"/>
      <c r="M111" s="1229"/>
      <c r="N111" s="1229"/>
      <c r="O111" s="1229"/>
      <c r="P111" s="1229"/>
      <c r="Q111" s="1229"/>
      <c r="R111" s="1229"/>
      <c r="S111" s="1229"/>
      <c r="T111" s="1229"/>
      <c r="U111" s="1229"/>
      <c r="V111" s="1229"/>
      <c r="W111" s="1229"/>
      <c r="X111" s="1229"/>
      <c r="Y111" s="1229"/>
      <c r="Z111" s="1229"/>
      <c r="AA111" s="1229"/>
      <c r="AB111" s="1229"/>
      <c r="AC111" s="1229"/>
      <c r="AD111" s="1229"/>
      <c r="AE111" s="1229"/>
      <c r="AF111" s="1229"/>
      <c r="AG111" s="1229"/>
      <c r="AH111" s="1229"/>
      <c r="AI111" s="1229"/>
      <c r="AJ111" s="1229"/>
      <c r="AK111" s="1229"/>
      <c r="AL111" s="1229"/>
      <c r="AM111" s="1229"/>
      <c r="AN111" s="1229"/>
      <c r="AO111" s="1229"/>
      <c r="AP111" s="1229"/>
      <c r="AQ111" s="1229"/>
      <c r="AR111" s="1229"/>
      <c r="AS111" s="1229"/>
      <c r="AT111" s="1229"/>
      <c r="AU111" s="1229"/>
      <c r="AV111" s="1229"/>
      <c r="AW111" s="1229"/>
      <c r="AX111" s="1229"/>
      <c r="AY111" s="1229"/>
      <c r="AZ111" s="1229"/>
      <c r="BA111" s="1229"/>
      <c r="BB111" s="1229"/>
      <c r="BC111" s="1229"/>
      <c r="BD111" s="1229"/>
      <c r="BE111" s="1229"/>
      <c r="BF111" s="1229"/>
      <c r="BG111" s="1229"/>
      <c r="BH111" s="1229"/>
      <c r="BI111" s="1229"/>
      <c r="BJ111" s="1229"/>
      <c r="BK111" s="1229"/>
      <c r="BL111" s="1229"/>
      <c r="BM111" s="1229"/>
      <c r="BN111" s="1229"/>
      <c r="BO111" s="1229"/>
      <c r="BP111" s="1229"/>
      <c r="BQ111" s="1229"/>
      <c r="BR111" s="1229"/>
      <c r="BS111" s="1229"/>
      <c r="BT111" s="1229"/>
      <c r="BU111" s="1229"/>
      <c r="BV111" s="1229"/>
      <c r="BW111" s="1229"/>
      <c r="BX111" s="1229"/>
      <c r="BY111" s="1229"/>
      <c r="BZ111" s="1229"/>
      <c r="CA111" s="1229"/>
      <c r="CB111" s="1229"/>
      <c r="CC111" s="1229"/>
      <c r="CD111" s="1229"/>
      <c r="CE111" s="1229"/>
      <c r="CF111" s="1229"/>
      <c r="CG111" s="1229"/>
      <c r="CH111" s="1229"/>
      <c r="CI111" s="1229"/>
      <c r="CJ111" s="1229"/>
      <c r="CK111" s="1229"/>
      <c r="CL111" s="1229"/>
      <c r="CM111" s="1229"/>
      <c r="CN111" s="1229"/>
      <c r="CO111" s="1229"/>
      <c r="CP111" s="1229"/>
      <c r="CQ111" s="1229"/>
      <c r="CR111" s="1229"/>
      <c r="CS111" s="1229"/>
      <c r="CT111" s="1229"/>
      <c r="CU111" s="1229"/>
      <c r="CV111" s="1229"/>
      <c r="CW111" s="1229"/>
      <c r="CX111" s="1229"/>
      <c r="CY111" s="1229"/>
      <c r="CZ111" s="1229"/>
      <c r="DA111" s="1229"/>
      <c r="DB111" s="1229"/>
      <c r="DC111" s="1229"/>
      <c r="DD111" s="1229"/>
      <c r="DE111" s="1229"/>
      <c r="DF111" s="1229"/>
      <c r="DG111" s="1229"/>
      <c r="DH111" s="1229"/>
      <c r="DI111" s="1229"/>
      <c r="DJ111" s="1229"/>
      <c r="DK111" s="1229"/>
      <c r="DL111" s="1229"/>
      <c r="DM111" s="1229"/>
      <c r="DN111" s="1229"/>
      <c r="DO111" s="1229"/>
      <c r="DP111" s="1229"/>
      <c r="DQ111" s="1229"/>
      <c r="DR111" s="1229"/>
      <c r="DS111" s="1229"/>
      <c r="DT111" s="1229"/>
      <c r="DU111" s="1229"/>
      <c r="DV111" s="1229"/>
      <c r="DW111" s="1229"/>
      <c r="DX111" s="1229"/>
      <c r="DY111" s="1229"/>
    </row>
    <row r="112" spans="1:131" s="1223" customFormat="1">
      <c r="D112" s="1233" t="s">
        <v>106</v>
      </c>
      <c r="E112" s="1258">
        <v>0.1</v>
      </c>
      <c r="F112" s="1227"/>
      <c r="G112" s="1229"/>
      <c r="H112" s="1229"/>
      <c r="I112" s="1234"/>
      <c r="J112" s="1234"/>
      <c r="K112" s="1229"/>
      <c r="L112" s="1229"/>
      <c r="M112" s="1229"/>
      <c r="N112" s="1229"/>
      <c r="O112" s="1229"/>
      <c r="P112" s="1229"/>
      <c r="Q112" s="1229"/>
      <c r="R112" s="1229"/>
      <c r="S112" s="1229"/>
      <c r="T112" s="1229"/>
      <c r="U112" s="1229"/>
      <c r="V112" s="1229"/>
      <c r="W112" s="1229"/>
      <c r="X112" s="1229"/>
      <c r="Y112" s="1229"/>
      <c r="Z112" s="1229"/>
      <c r="AA112" s="1229"/>
      <c r="AB112" s="1229"/>
      <c r="AC112" s="1229"/>
      <c r="AD112" s="1229"/>
      <c r="AE112" s="1229"/>
      <c r="AF112" s="1229"/>
      <c r="AG112" s="1229"/>
      <c r="AH112" s="1229"/>
      <c r="AI112" s="1229"/>
      <c r="AJ112" s="1229"/>
      <c r="AK112" s="1229"/>
      <c r="AL112" s="1229"/>
      <c r="AM112" s="1229"/>
      <c r="AN112" s="1229"/>
      <c r="AO112" s="1229"/>
      <c r="AP112" s="1229"/>
      <c r="AQ112" s="1229"/>
      <c r="AR112" s="1229"/>
      <c r="AS112" s="1229"/>
      <c r="AT112" s="1229"/>
      <c r="AU112" s="1229"/>
      <c r="AV112" s="1229"/>
      <c r="AW112" s="1229"/>
      <c r="AX112" s="1229"/>
      <c r="AY112" s="1229"/>
      <c r="AZ112" s="1229"/>
      <c r="BA112" s="1229"/>
      <c r="BB112" s="1229"/>
      <c r="BC112" s="1229"/>
      <c r="BD112" s="1229"/>
      <c r="BE112" s="1229"/>
      <c r="BF112" s="1229"/>
      <c r="BG112" s="1229"/>
      <c r="BH112" s="1229"/>
      <c r="BI112" s="1229"/>
      <c r="BJ112" s="1229"/>
      <c r="BK112" s="1229"/>
      <c r="BL112" s="1229"/>
      <c r="BM112" s="1229"/>
      <c r="BN112" s="1229"/>
      <c r="BO112" s="1229"/>
      <c r="BP112" s="1229"/>
      <c r="BQ112" s="1229"/>
      <c r="BR112" s="1229"/>
      <c r="BS112" s="1229"/>
      <c r="BT112" s="1229"/>
      <c r="BU112" s="1229"/>
      <c r="BV112" s="1229"/>
      <c r="BW112" s="1229"/>
      <c r="BX112" s="1229"/>
      <c r="BY112" s="1229"/>
      <c r="BZ112" s="1229"/>
      <c r="CA112" s="1229"/>
      <c r="CB112" s="1229"/>
      <c r="CC112" s="1229"/>
      <c r="CD112" s="1229"/>
      <c r="CE112" s="1229"/>
      <c r="CF112" s="1229"/>
      <c r="CG112" s="1229"/>
      <c r="CH112" s="1229"/>
      <c r="CI112" s="1229"/>
      <c r="CJ112" s="1229"/>
      <c r="CK112" s="1229"/>
      <c r="CL112" s="1229"/>
      <c r="CM112" s="1229"/>
      <c r="CN112" s="1229"/>
      <c r="CO112" s="1229"/>
      <c r="CP112" s="1229"/>
      <c r="CQ112" s="1229"/>
      <c r="CR112" s="1229"/>
      <c r="CS112" s="1229"/>
      <c r="CT112" s="1229"/>
      <c r="CU112" s="1229"/>
      <c r="CV112" s="1229"/>
      <c r="CW112" s="1229"/>
      <c r="CX112" s="1229"/>
      <c r="CY112" s="1229"/>
      <c r="CZ112" s="1229"/>
      <c r="DA112" s="1229"/>
      <c r="DB112" s="1229"/>
      <c r="DC112" s="1229"/>
      <c r="DD112" s="1229"/>
      <c r="DE112" s="1229"/>
      <c r="DF112" s="1229"/>
      <c r="DG112" s="1229"/>
      <c r="DH112" s="1229"/>
      <c r="DI112" s="1229"/>
      <c r="DJ112" s="1229"/>
      <c r="DK112" s="1229"/>
      <c r="DL112" s="1229"/>
      <c r="DM112" s="1229"/>
      <c r="DN112" s="1229"/>
      <c r="DO112" s="1229"/>
      <c r="DP112" s="1229"/>
      <c r="DQ112" s="1229"/>
      <c r="DR112" s="1229"/>
      <c r="DS112" s="1229"/>
      <c r="DT112" s="1229"/>
      <c r="DU112" s="1229"/>
      <c r="DV112" s="1229"/>
      <c r="DW112" s="1229"/>
      <c r="DX112" s="1229"/>
      <c r="DY112" s="1229"/>
    </row>
    <row r="113" spans="4:129" s="1223" customFormat="1">
      <c r="D113" s="1227" t="s">
        <v>124</v>
      </c>
      <c r="E113" s="1227"/>
      <c r="F113" s="1227"/>
      <c r="G113" s="1229">
        <f>F118</f>
        <v>0</v>
      </c>
      <c r="H113" s="1229">
        <f ca="1">G118</f>
        <v>0</v>
      </c>
      <c r="I113" s="1229"/>
      <c r="J113" s="1229">
        <f>I118</f>
        <v>0</v>
      </c>
      <c r="K113" s="1229">
        <f t="shared" ref="K113:BV113" ca="1" si="167">J118</f>
        <v>-519999.99999999988</v>
      </c>
      <c r="L113" s="1229">
        <f t="shared" ca="1" si="167"/>
        <v>-563341.69897794235</v>
      </c>
      <c r="M113" s="1229">
        <f t="shared" ca="1" si="167"/>
        <v>-842994.09837219038</v>
      </c>
      <c r="N113" s="1229">
        <f t="shared" ca="1" si="167"/>
        <v>-1124697.539538851</v>
      </c>
      <c r="O113" s="1229">
        <f t="shared" ca="1" si="167"/>
        <v>-1408912.4646049051</v>
      </c>
      <c r="P113" s="1229">
        <f t="shared" ca="1" si="167"/>
        <v>-1695066.5578715326</v>
      </c>
      <c r="Q113" s="1229">
        <f t="shared" ca="1" si="167"/>
        <v>-1983917.2649149245</v>
      </c>
      <c r="R113" s="1229">
        <f t="shared" ca="1" si="167"/>
        <v>-2264928.1720586666</v>
      </c>
      <c r="S113" s="1229">
        <f t="shared" ca="1" si="167"/>
        <v>-2282144.6480250023</v>
      </c>
      <c r="T113" s="1229">
        <f t="shared" ca="1" si="167"/>
        <v>-2300693.2099015201</v>
      </c>
      <c r="U113" s="1229">
        <f t="shared" ca="1" si="167"/>
        <v>-2318786.9592424231</v>
      </c>
      <c r="V113" s="1229">
        <f t="shared" ca="1" si="167"/>
        <v>-2337633.3384275427</v>
      </c>
      <c r="W113" s="1229">
        <f t="shared" ca="1" si="167"/>
        <v>-2356017.6025677654</v>
      </c>
      <c r="X113" s="1229">
        <f t="shared" ca="1" si="167"/>
        <v>-2375166.5808418691</v>
      </c>
      <c r="Y113" s="1229">
        <f t="shared" ca="1" si="167"/>
        <v>-2394471.1960554179</v>
      </c>
      <c r="Z113" s="1229">
        <f t="shared" ca="1" si="167"/>
        <v>-2413302.4602322238</v>
      </c>
      <c r="AA113" s="1229">
        <f t="shared" ca="1" si="167"/>
        <v>-2432917.032011935</v>
      </c>
      <c r="AB113" s="1229">
        <f t="shared" ca="1" si="167"/>
        <v>-2452050.6525898487</v>
      </c>
      <c r="AC113" s="1229">
        <f t="shared" ca="1" si="167"/>
        <v>-2471980.1576250703</v>
      </c>
      <c r="AD113" s="1229">
        <f t="shared" ca="1" si="167"/>
        <v>-2492071.6434784816</v>
      </c>
      <c r="AE113" s="1229">
        <f t="shared" ca="1" si="167"/>
        <v>-2510359.1128275036</v>
      </c>
      <c r="AF113" s="1229">
        <f t="shared" ca="1" si="167"/>
        <v>-2530762.5308916732</v>
      </c>
      <c r="AG113" s="1229">
        <f t="shared" ca="1" si="167"/>
        <v>-2550665.6551666665</v>
      </c>
      <c r="AH113" s="1229">
        <f t="shared" ca="1" si="167"/>
        <v>-2571396.672270298</v>
      </c>
      <c r="AI113" s="1229">
        <f t="shared" ca="1" si="167"/>
        <v>-2591619.3628245429</v>
      </c>
      <c r="AJ113" s="1229">
        <f t="shared" ca="1" si="167"/>
        <v>-1784421.0586549081</v>
      </c>
      <c r="AK113" s="1229">
        <f t="shared" ca="1" si="167"/>
        <v>-1798924.2780055595</v>
      </c>
      <c r="AL113" s="1229">
        <f t="shared" ca="1" si="167"/>
        <v>-1812285.9044960598</v>
      </c>
      <c r="AM113" s="1229">
        <f t="shared" ca="1" si="167"/>
        <v>-1816100.1408161873</v>
      </c>
      <c r="AN113" s="1229">
        <f t="shared" ca="1" si="167"/>
        <v>-1829730.1658844664</v>
      </c>
      <c r="AO113" s="1229">
        <f t="shared" ca="1" si="167"/>
        <v>-1844601.6435660454</v>
      </c>
      <c r="AP113" s="1229">
        <f t="shared" ca="1" si="167"/>
        <v>-1859593.9919926981</v>
      </c>
      <c r="AQ113" s="1229">
        <f t="shared" ca="1" si="167"/>
        <v>-1873240.1759694652</v>
      </c>
      <c r="AR113" s="1229">
        <f t="shared" ca="1" si="167"/>
        <v>-1888465.2894799598</v>
      </c>
      <c r="AS113" s="1229">
        <f t="shared" ca="1" si="167"/>
        <v>-1897429.7387461255</v>
      </c>
      <c r="AT113" s="1229">
        <f t="shared" ca="1" si="167"/>
        <v>-1898872.2883349701</v>
      </c>
      <c r="AU113" s="1229">
        <f t="shared" ca="1" si="167"/>
        <v>-1897828.9604143358</v>
      </c>
      <c r="AV113" s="1229">
        <f t="shared" ca="1" si="167"/>
        <v>-1904277.9644301294</v>
      </c>
      <c r="AW113" s="1229">
        <f t="shared" ca="1" si="167"/>
        <v>-1911036.7638353303</v>
      </c>
      <c r="AX113" s="1229">
        <f t="shared" ca="1" si="167"/>
        <v>-1913720.5336279988</v>
      </c>
      <c r="AY113" s="1229">
        <f t="shared" ca="1" si="167"/>
        <v>-1907795.4034537198</v>
      </c>
      <c r="AZ113" s="1229">
        <f t="shared" ca="1" si="167"/>
        <v>-1915105.0138346092</v>
      </c>
      <c r="BA113" s="1229">
        <f t="shared" ca="1" si="167"/>
        <v>-1930670.3917259194</v>
      </c>
      <c r="BB113" s="1229">
        <f t="shared" ca="1" si="167"/>
        <v>-1946362.280167382</v>
      </c>
      <c r="BC113" s="1229">
        <f t="shared" ca="1" si="167"/>
        <v>-1960645.1923917555</v>
      </c>
      <c r="BD113" s="1229">
        <f t="shared" ca="1" si="167"/>
        <v>-1967046.3577617719</v>
      </c>
      <c r="BE113" s="1229">
        <f t="shared" ca="1" si="167"/>
        <v>-1968457.9994961913</v>
      </c>
      <c r="BF113" s="1229">
        <f t="shared" ca="1" si="167"/>
        <v>-1969206.1626112438</v>
      </c>
      <c r="BG113" s="1229">
        <f t="shared" ca="1" si="167"/>
        <v>-1968605.538514229</v>
      </c>
      <c r="BH113" s="1229">
        <f t="shared" ca="1" si="167"/>
        <v>-1975630.7832560642</v>
      </c>
      <c r="BI113" s="1229">
        <f t="shared" ca="1" si="167"/>
        <v>-1982973.7500259578</v>
      </c>
      <c r="BJ113" s="1229">
        <f t="shared" ca="1" si="167"/>
        <v>-1986170.0255194032</v>
      </c>
      <c r="BK113" s="1229">
        <f t="shared" ca="1" si="167"/>
        <v>-1980639.9399883866</v>
      </c>
      <c r="BL113" s="1229">
        <f t="shared" ca="1" si="167"/>
        <v>-1988539.3907449257</v>
      </c>
      <c r="BM113" s="1229">
        <f t="shared" ca="1" si="167"/>
        <v>-2004701.6204112379</v>
      </c>
      <c r="BN113" s="1229">
        <f t="shared" ca="1" si="167"/>
        <v>-2020995.2116532887</v>
      </c>
      <c r="BO113" s="1229">
        <f t="shared" ca="1" si="167"/>
        <v>-2036357.4716661007</v>
      </c>
      <c r="BP113" s="1229">
        <f t="shared" ca="1" si="167"/>
        <v>-2041393.7426355765</v>
      </c>
      <c r="BQ113" s="1229">
        <f t="shared" ca="1" si="167"/>
        <v>-2043033.8561445461</v>
      </c>
      <c r="BR113" s="1229">
        <f t="shared" ca="1" si="167"/>
        <v>-2044014.946768098</v>
      </c>
      <c r="BS113" s="1229">
        <f t="shared" ca="1" si="167"/>
        <v>-2043614.5534892105</v>
      </c>
      <c r="BT113" s="1229">
        <f t="shared" ca="1" si="167"/>
        <v>-2050973.1577121005</v>
      </c>
      <c r="BU113" s="1229">
        <f t="shared" ca="1" si="167"/>
        <v>-2058655.399484579</v>
      </c>
      <c r="BV113" s="1229">
        <f t="shared" ca="1" si="167"/>
        <v>-2062116.1280324347</v>
      </c>
      <c r="BW113" s="1229">
        <f t="shared" ref="BW113:DY113" ca="1" si="168">BV118</f>
        <v>-2056731.790718786</v>
      </c>
      <c r="BX113" s="1229">
        <f t="shared" ca="1" si="168"/>
        <v>-2064969.143451137</v>
      </c>
      <c r="BY113" s="1229">
        <f t="shared" ca="1" si="168"/>
        <v>-2081752.5703752588</v>
      </c>
      <c r="BZ113" s="1229">
        <f t="shared" ca="1" si="168"/>
        <v>-2098672.4077732177</v>
      </c>
      <c r="CA113" s="1229">
        <f t="shared" ca="1" si="168"/>
        <v>-2114073.0112956832</v>
      </c>
      <c r="CB113" s="1229">
        <f t="shared" ca="1" si="168"/>
        <v>-2120595.040032282</v>
      </c>
      <c r="CC113" s="1229">
        <f t="shared" ca="1" si="168"/>
        <v>-2122516.0655105417</v>
      </c>
      <c r="CD113" s="1229">
        <f t="shared" ca="1" si="168"/>
        <v>-2123784.2828741418</v>
      </c>
      <c r="CE113" s="1229">
        <f t="shared" ca="1" si="168"/>
        <v>-2123637.3250551815</v>
      </c>
      <c r="CF113" s="1229">
        <f t="shared" ca="1" si="168"/>
        <v>-2131384.5389600531</v>
      </c>
      <c r="CG113" s="1229">
        <f t="shared" ca="1" si="168"/>
        <v>-2139461.7127965312</v>
      </c>
      <c r="CH113" s="1229">
        <f t="shared" ca="1" si="168"/>
        <v>-2143241.5113891074</v>
      </c>
      <c r="CI113" s="1229">
        <f t="shared" ca="1" si="168"/>
        <v>-2138059.2324462752</v>
      </c>
      <c r="CJ113" s="1229">
        <f t="shared" ca="1" si="168"/>
        <v>-2146689.9405264012</v>
      </c>
      <c r="CK113" s="1229">
        <f t="shared" ca="1" si="168"/>
        <v>-2164137.568671274</v>
      </c>
      <c r="CL113" s="1229">
        <f t="shared" ca="1" si="168"/>
        <v>-2181727.005710918</v>
      </c>
      <c r="CM113" s="1229">
        <f t="shared" ca="1" si="168"/>
        <v>-2197737.0854569324</v>
      </c>
      <c r="CN113" s="1229">
        <f t="shared" ca="1" si="168"/>
        <v>-2204318.8836876843</v>
      </c>
      <c r="CO113" s="1229">
        <f t="shared" ca="1" si="168"/>
        <v>-2206571.8435530849</v>
      </c>
      <c r="CP113" s="1229">
        <f t="shared" ca="1" si="168"/>
        <v>-2208179.8889546832</v>
      </c>
      <c r="CQ113" s="1229">
        <f t="shared" ca="1" si="168"/>
        <v>-2208073.6122183511</v>
      </c>
      <c r="CR113" s="1229">
        <f t="shared" ca="1" si="168"/>
        <v>-2215996.3951854436</v>
      </c>
      <c r="CS113" s="1229">
        <f t="shared" ca="1" si="168"/>
        <v>-2224253.6813250771</v>
      </c>
      <c r="CT113" s="1229">
        <f t="shared" ca="1" si="168"/>
        <v>-2228134.8348588869</v>
      </c>
      <c r="CU113" s="1229">
        <f t="shared" ca="1" si="168"/>
        <v>-2222936.1998354825</v>
      </c>
      <c r="CV113" s="1229">
        <f t="shared" ca="1" si="168"/>
        <v>-2231739.0168658518</v>
      </c>
      <c r="CW113" s="1229">
        <f t="shared" ca="1" si="168"/>
        <v>-2249877.89745013</v>
      </c>
      <c r="CX113" s="1229">
        <f t="shared" ca="1" si="168"/>
        <v>-2268164.205214004</v>
      </c>
      <c r="CY113" s="1229">
        <f t="shared" ca="1" si="168"/>
        <v>-2284808.5835929108</v>
      </c>
      <c r="CZ113" s="1229">
        <f t="shared" ca="1" si="168"/>
        <v>-2288229.9071644293</v>
      </c>
      <c r="DA113" s="1229">
        <f t="shared" ca="1" si="168"/>
        <v>-2289642.5636213822</v>
      </c>
      <c r="DB113" s="1229">
        <f t="shared" ca="1" si="168"/>
        <v>-2290388.2594035044</v>
      </c>
      <c r="DC113" s="1229">
        <f t="shared" ca="1" si="168"/>
        <v>-2291656.7607081691</v>
      </c>
      <c r="DD113" s="1229">
        <f t="shared" ca="1" si="168"/>
        <v>-2301210.594831408</v>
      </c>
      <c r="DE113" s="1229">
        <f t="shared" ca="1" si="168"/>
        <v>-2311120.2920813793</v>
      </c>
      <c r="DF113" s="1229">
        <f t="shared" ca="1" si="168"/>
        <v>-2316528.6888298588</v>
      </c>
      <c r="DG113" s="1229">
        <f t="shared" ca="1" si="168"/>
        <v>-2312601.6707994109</v>
      </c>
      <c r="DH113" s="1229">
        <f t="shared" ca="1" si="168"/>
        <v>-2323101.7033607871</v>
      </c>
      <c r="DI113" s="1229">
        <f t="shared" ca="1" si="168"/>
        <v>-2341983.1514440724</v>
      </c>
      <c r="DJ113" s="1229">
        <f t="shared" ca="1" si="168"/>
        <v>-2361018.0620646225</v>
      </c>
      <c r="DK113" s="1229">
        <f t="shared" ca="1" si="168"/>
        <v>-2378964.9493977749</v>
      </c>
      <c r="DL113" s="1229">
        <f t="shared" ca="1" si="168"/>
        <v>-2386032.4894111766</v>
      </c>
      <c r="DM113" s="1229">
        <f t="shared" ca="1" si="168"/>
        <v>-2388969.2456820416</v>
      </c>
      <c r="DN113" s="1229">
        <f t="shared" ca="1" si="168"/>
        <v>-2391238.7495368738</v>
      </c>
      <c r="DO113" s="1229">
        <f t="shared" ca="1" si="168"/>
        <v>-2392113.1750897677</v>
      </c>
      <c r="DP113" s="1229">
        <f t="shared" ca="1" si="168"/>
        <v>-2401526.4405419491</v>
      </c>
      <c r="DQ113" s="1229">
        <f t="shared" ca="1" si="168"/>
        <v>-2411302.7729984615</v>
      </c>
      <c r="DR113" s="1229">
        <f t="shared" ca="1" si="168"/>
        <v>-2416431.1459172573</v>
      </c>
      <c r="DS113" s="1229">
        <f t="shared" ca="1" si="168"/>
        <v>-2411948.5667196787</v>
      </c>
      <c r="DT113" s="1229">
        <f t="shared" ca="1" si="168"/>
        <v>-2422314.40357851</v>
      </c>
      <c r="DU113" s="1229">
        <f t="shared" ca="1" si="168"/>
        <v>-2442002.2216307265</v>
      </c>
      <c r="DV113" s="1229">
        <f t="shared" ca="1" si="168"/>
        <v>-2461850.0561445076</v>
      </c>
      <c r="DW113" s="1229">
        <f t="shared" ca="1" si="168"/>
        <v>-2479915.7516318131</v>
      </c>
      <c r="DX113" s="1229">
        <f t="shared" ca="1" si="168"/>
        <v>-2486420.7289504115</v>
      </c>
      <c r="DY113" s="1229">
        <f t="shared" ca="1" si="168"/>
        <v>-2488987.2560031782</v>
      </c>
    </row>
    <row r="114" spans="4:129" s="1223" customFormat="1">
      <c r="D114" s="1227" t="s">
        <v>112</v>
      </c>
      <c r="E114" s="1227"/>
      <c r="F114" s="1227"/>
      <c r="G114" s="1229">
        <f t="shared" ref="G114:G117" ca="1" si="169">SUM(I114:DY114)</f>
        <v>-2199370.2118082009</v>
      </c>
      <c r="H114" s="1229">
        <f t="shared" ref="H114" si="170">H105</f>
        <v>0</v>
      </c>
      <c r="I114" s="1229"/>
      <c r="J114" s="1229">
        <f t="shared" ref="J114:BU114" ca="1" si="171">IF(J105&lt;0,J105,0)</f>
        <v>-519999.99999999988</v>
      </c>
      <c r="K114" s="1229">
        <f t="shared" ca="1" si="171"/>
        <v>-39115.300715178309</v>
      </c>
      <c r="L114" s="1229">
        <f t="shared" ca="1" si="171"/>
        <v>-275073.73328289628</v>
      </c>
      <c r="M114" s="1229">
        <f t="shared" ca="1" si="171"/>
        <v>-275073.73328289628</v>
      </c>
      <c r="N114" s="1229">
        <f t="shared" ca="1" si="171"/>
        <v>-275073.73328289628</v>
      </c>
      <c r="O114" s="1229">
        <f t="shared" ca="1" si="171"/>
        <v>-275073.73328289628</v>
      </c>
      <c r="P114" s="1229">
        <f t="shared" ca="1" si="171"/>
        <v>-275073.73328289628</v>
      </c>
      <c r="Q114" s="1229">
        <f t="shared" ca="1" si="171"/>
        <v>-264886.24467854161</v>
      </c>
      <c r="R114" s="1229">
        <f t="shared" ca="1" si="171"/>
        <v>0</v>
      </c>
      <c r="S114" s="1229">
        <f t="shared" ca="1" si="171"/>
        <v>0</v>
      </c>
      <c r="T114" s="1229">
        <f t="shared" ca="1" si="171"/>
        <v>0</v>
      </c>
      <c r="U114" s="1229">
        <f t="shared" ca="1" si="171"/>
        <v>0</v>
      </c>
      <c r="V114" s="1229">
        <f t="shared" ca="1" si="171"/>
        <v>0</v>
      </c>
      <c r="W114" s="1229">
        <f t="shared" ca="1" si="171"/>
        <v>0</v>
      </c>
      <c r="X114" s="1229">
        <f t="shared" ca="1" si="171"/>
        <v>0</v>
      </c>
      <c r="Y114" s="1229">
        <f t="shared" ca="1" si="171"/>
        <v>0</v>
      </c>
      <c r="Z114" s="1229">
        <f t="shared" ca="1" si="171"/>
        <v>0</v>
      </c>
      <c r="AA114" s="1229">
        <f t="shared" ca="1" si="171"/>
        <v>0</v>
      </c>
      <c r="AB114" s="1229">
        <f t="shared" ca="1" si="171"/>
        <v>0</v>
      </c>
      <c r="AC114" s="1229">
        <f t="shared" ca="1" si="171"/>
        <v>0</v>
      </c>
      <c r="AD114" s="1229">
        <f t="shared" ca="1" si="171"/>
        <v>0</v>
      </c>
      <c r="AE114" s="1229">
        <f t="shared" ca="1" si="171"/>
        <v>0</v>
      </c>
      <c r="AF114" s="1229">
        <f t="shared" ca="1" si="171"/>
        <v>0</v>
      </c>
      <c r="AG114" s="1229">
        <f t="shared" ca="1" si="171"/>
        <v>0</v>
      </c>
      <c r="AH114" s="1229">
        <f t="shared" ca="1" si="171"/>
        <v>0</v>
      </c>
      <c r="AI114" s="1229">
        <f t="shared" ca="1" si="171"/>
        <v>0</v>
      </c>
      <c r="AJ114" s="1229">
        <f t="shared" ca="1" si="171"/>
        <v>0</v>
      </c>
      <c r="AK114" s="1229">
        <f t="shared" ca="1" si="171"/>
        <v>0</v>
      </c>
      <c r="AL114" s="1229">
        <f t="shared" ca="1" si="171"/>
        <v>0</v>
      </c>
      <c r="AM114" s="1229">
        <f t="shared" ca="1" si="171"/>
        <v>0</v>
      </c>
      <c r="AN114" s="1229">
        <f t="shared" ca="1" si="171"/>
        <v>0</v>
      </c>
      <c r="AO114" s="1229">
        <f t="shared" ca="1" si="171"/>
        <v>0</v>
      </c>
      <c r="AP114" s="1229">
        <f t="shared" ca="1" si="171"/>
        <v>0</v>
      </c>
      <c r="AQ114" s="1229">
        <f t="shared" ca="1" si="171"/>
        <v>0</v>
      </c>
      <c r="AR114" s="1229">
        <f t="shared" ca="1" si="171"/>
        <v>0</v>
      </c>
      <c r="AS114" s="1229">
        <f t="shared" ca="1" si="171"/>
        <v>0</v>
      </c>
      <c r="AT114" s="1229">
        <f t="shared" ca="1" si="171"/>
        <v>0</v>
      </c>
      <c r="AU114" s="1229">
        <f t="shared" ca="1" si="171"/>
        <v>0</v>
      </c>
      <c r="AV114" s="1229">
        <f t="shared" ca="1" si="171"/>
        <v>0</v>
      </c>
      <c r="AW114" s="1229">
        <f t="shared" ca="1" si="171"/>
        <v>0</v>
      </c>
      <c r="AX114" s="1229">
        <f t="shared" ca="1" si="171"/>
        <v>0</v>
      </c>
      <c r="AY114" s="1229">
        <f t="shared" ca="1" si="171"/>
        <v>0</v>
      </c>
      <c r="AZ114" s="1229">
        <f t="shared" ca="1" si="171"/>
        <v>0</v>
      </c>
      <c r="BA114" s="1229">
        <f t="shared" ca="1" si="171"/>
        <v>0</v>
      </c>
      <c r="BB114" s="1229">
        <f t="shared" ca="1" si="171"/>
        <v>0</v>
      </c>
      <c r="BC114" s="1229">
        <f t="shared" ca="1" si="171"/>
        <v>0</v>
      </c>
      <c r="BD114" s="1229">
        <f t="shared" ca="1" si="171"/>
        <v>0</v>
      </c>
      <c r="BE114" s="1229">
        <f t="shared" ca="1" si="171"/>
        <v>0</v>
      </c>
      <c r="BF114" s="1229">
        <f t="shared" ca="1" si="171"/>
        <v>0</v>
      </c>
      <c r="BG114" s="1229">
        <f t="shared" ca="1" si="171"/>
        <v>0</v>
      </c>
      <c r="BH114" s="1229">
        <f t="shared" ca="1" si="171"/>
        <v>0</v>
      </c>
      <c r="BI114" s="1229">
        <f t="shared" ca="1" si="171"/>
        <v>0</v>
      </c>
      <c r="BJ114" s="1229">
        <f t="shared" ca="1" si="171"/>
        <v>0</v>
      </c>
      <c r="BK114" s="1229">
        <f t="shared" ca="1" si="171"/>
        <v>0</v>
      </c>
      <c r="BL114" s="1229">
        <f t="shared" ca="1" si="171"/>
        <v>0</v>
      </c>
      <c r="BM114" s="1229">
        <f t="shared" ca="1" si="171"/>
        <v>0</v>
      </c>
      <c r="BN114" s="1229">
        <f t="shared" ca="1" si="171"/>
        <v>0</v>
      </c>
      <c r="BO114" s="1229">
        <f t="shared" ca="1" si="171"/>
        <v>0</v>
      </c>
      <c r="BP114" s="1229">
        <f t="shared" ca="1" si="171"/>
        <v>0</v>
      </c>
      <c r="BQ114" s="1229">
        <f t="shared" ca="1" si="171"/>
        <v>0</v>
      </c>
      <c r="BR114" s="1229">
        <f t="shared" ca="1" si="171"/>
        <v>0</v>
      </c>
      <c r="BS114" s="1229">
        <f t="shared" ca="1" si="171"/>
        <v>0</v>
      </c>
      <c r="BT114" s="1229">
        <f t="shared" ca="1" si="171"/>
        <v>0</v>
      </c>
      <c r="BU114" s="1229">
        <f t="shared" ca="1" si="171"/>
        <v>0</v>
      </c>
      <c r="BV114" s="1229">
        <f t="shared" ref="BV114:DY114" ca="1" si="172">IF(BV105&lt;0,BV105,0)</f>
        <v>0</v>
      </c>
      <c r="BW114" s="1229">
        <f t="shared" ca="1" si="172"/>
        <v>0</v>
      </c>
      <c r="BX114" s="1229">
        <f t="shared" ca="1" si="172"/>
        <v>0</v>
      </c>
      <c r="BY114" s="1229">
        <f t="shared" ca="1" si="172"/>
        <v>0</v>
      </c>
      <c r="BZ114" s="1229">
        <f t="shared" ca="1" si="172"/>
        <v>0</v>
      </c>
      <c r="CA114" s="1229">
        <f t="shared" ca="1" si="172"/>
        <v>0</v>
      </c>
      <c r="CB114" s="1229">
        <f t="shared" ca="1" si="172"/>
        <v>0</v>
      </c>
      <c r="CC114" s="1229">
        <f t="shared" ca="1" si="172"/>
        <v>0</v>
      </c>
      <c r="CD114" s="1229">
        <f t="shared" ca="1" si="172"/>
        <v>0</v>
      </c>
      <c r="CE114" s="1229">
        <f t="shared" ca="1" si="172"/>
        <v>0</v>
      </c>
      <c r="CF114" s="1229">
        <f t="shared" ca="1" si="172"/>
        <v>0</v>
      </c>
      <c r="CG114" s="1229">
        <f t="shared" ca="1" si="172"/>
        <v>0</v>
      </c>
      <c r="CH114" s="1229">
        <f t="shared" ca="1" si="172"/>
        <v>0</v>
      </c>
      <c r="CI114" s="1229">
        <f t="shared" ca="1" si="172"/>
        <v>0</v>
      </c>
      <c r="CJ114" s="1229">
        <f t="shared" ca="1" si="172"/>
        <v>0</v>
      </c>
      <c r="CK114" s="1229">
        <f t="shared" ca="1" si="172"/>
        <v>0</v>
      </c>
      <c r="CL114" s="1229">
        <f t="shared" ca="1" si="172"/>
        <v>0</v>
      </c>
      <c r="CM114" s="1229">
        <f t="shared" ca="1" si="172"/>
        <v>0</v>
      </c>
      <c r="CN114" s="1229">
        <f t="shared" ca="1" si="172"/>
        <v>0</v>
      </c>
      <c r="CO114" s="1229">
        <f t="shared" ca="1" si="172"/>
        <v>0</v>
      </c>
      <c r="CP114" s="1229">
        <f t="shared" ca="1" si="172"/>
        <v>0</v>
      </c>
      <c r="CQ114" s="1229">
        <f t="shared" ca="1" si="172"/>
        <v>0</v>
      </c>
      <c r="CR114" s="1229">
        <f t="shared" ca="1" si="172"/>
        <v>0</v>
      </c>
      <c r="CS114" s="1229">
        <f t="shared" ca="1" si="172"/>
        <v>0</v>
      </c>
      <c r="CT114" s="1229">
        <f t="shared" ca="1" si="172"/>
        <v>0</v>
      </c>
      <c r="CU114" s="1229">
        <f t="shared" ca="1" si="172"/>
        <v>0</v>
      </c>
      <c r="CV114" s="1229">
        <f t="shared" ca="1" si="172"/>
        <v>0</v>
      </c>
      <c r="CW114" s="1229">
        <f t="shared" ca="1" si="172"/>
        <v>0</v>
      </c>
      <c r="CX114" s="1229">
        <f t="shared" ca="1" si="172"/>
        <v>0</v>
      </c>
      <c r="CY114" s="1229">
        <f t="shared" ca="1" si="172"/>
        <v>0</v>
      </c>
      <c r="CZ114" s="1229">
        <f t="shared" ca="1" si="172"/>
        <v>0</v>
      </c>
      <c r="DA114" s="1229">
        <f t="shared" ca="1" si="172"/>
        <v>0</v>
      </c>
      <c r="DB114" s="1229">
        <f t="shared" ca="1" si="172"/>
        <v>0</v>
      </c>
      <c r="DC114" s="1229">
        <f t="shared" ca="1" si="172"/>
        <v>0</v>
      </c>
      <c r="DD114" s="1229">
        <f t="shared" ca="1" si="172"/>
        <v>0</v>
      </c>
      <c r="DE114" s="1229">
        <f t="shared" ca="1" si="172"/>
        <v>0</v>
      </c>
      <c r="DF114" s="1229">
        <f t="shared" ca="1" si="172"/>
        <v>0</v>
      </c>
      <c r="DG114" s="1229">
        <f t="shared" ca="1" si="172"/>
        <v>0</v>
      </c>
      <c r="DH114" s="1229">
        <f t="shared" ca="1" si="172"/>
        <v>0</v>
      </c>
      <c r="DI114" s="1229">
        <f t="shared" ca="1" si="172"/>
        <v>0</v>
      </c>
      <c r="DJ114" s="1229">
        <f t="shared" ca="1" si="172"/>
        <v>0</v>
      </c>
      <c r="DK114" s="1229">
        <f t="shared" ca="1" si="172"/>
        <v>0</v>
      </c>
      <c r="DL114" s="1229">
        <f t="shared" ca="1" si="172"/>
        <v>0</v>
      </c>
      <c r="DM114" s="1229">
        <f t="shared" ca="1" si="172"/>
        <v>0</v>
      </c>
      <c r="DN114" s="1229">
        <f t="shared" ca="1" si="172"/>
        <v>0</v>
      </c>
      <c r="DO114" s="1229">
        <f t="shared" ca="1" si="172"/>
        <v>0</v>
      </c>
      <c r="DP114" s="1229">
        <f t="shared" ca="1" si="172"/>
        <v>0</v>
      </c>
      <c r="DQ114" s="1229">
        <f t="shared" ca="1" si="172"/>
        <v>0</v>
      </c>
      <c r="DR114" s="1229">
        <f t="shared" ca="1" si="172"/>
        <v>0</v>
      </c>
      <c r="DS114" s="1229">
        <f t="shared" ca="1" si="172"/>
        <v>0</v>
      </c>
      <c r="DT114" s="1229">
        <f t="shared" ca="1" si="172"/>
        <v>0</v>
      </c>
      <c r="DU114" s="1229">
        <f t="shared" ca="1" si="172"/>
        <v>0</v>
      </c>
      <c r="DV114" s="1229">
        <f t="shared" ca="1" si="172"/>
        <v>0</v>
      </c>
      <c r="DW114" s="1229">
        <f t="shared" ca="1" si="172"/>
        <v>0</v>
      </c>
      <c r="DX114" s="1229">
        <f t="shared" ca="1" si="172"/>
        <v>0</v>
      </c>
      <c r="DY114" s="1229">
        <f t="shared" ca="1" si="172"/>
        <v>0</v>
      </c>
    </row>
    <row r="115" spans="4:129" s="1223" customFormat="1">
      <c r="D115" s="1227" t="s">
        <v>125</v>
      </c>
      <c r="E115" s="1235"/>
      <c r="F115" s="1227"/>
      <c r="G115" s="1229">
        <f t="shared" ca="1" si="169"/>
        <v>-2012908.8342952181</v>
      </c>
      <c r="H115" s="1229">
        <f ca="1">H113*(((1+$E112)^((H$20-G$20)/365))-1)</f>
        <v>0</v>
      </c>
      <c r="I115" s="1229"/>
      <c r="J115" s="1229">
        <f t="shared" ref="J115" si="173">J113*(((1+$E112)^((J$20-I$20)/365))-1)</f>
        <v>0</v>
      </c>
      <c r="K115" s="1229">
        <f ca="1">K113*(((1+$E112)^((K$14-J$14)/365))-1)</f>
        <v>-4226.3982627640826</v>
      </c>
      <c r="L115" s="1229">
        <f t="shared" ref="L115:BW115" ca="1" si="174">L113*(((1+$E112)^((L$14-K$14)/365))-1)</f>
        <v>-4578.6661113518139</v>
      </c>
      <c r="M115" s="1229">
        <f t="shared" ca="1" si="174"/>
        <v>-6629.707883764253</v>
      </c>
      <c r="N115" s="1229">
        <f t="shared" ca="1" si="174"/>
        <v>-9141.1917831577684</v>
      </c>
      <c r="O115" s="1229">
        <f t="shared" ca="1" si="174"/>
        <v>-11080.359983731298</v>
      </c>
      <c r="P115" s="1229">
        <f t="shared" ca="1" si="174"/>
        <v>-13776.973760495655</v>
      </c>
      <c r="Q115" s="1229">
        <f t="shared" ca="1" si="174"/>
        <v>-16124.662465200212</v>
      </c>
      <c r="R115" s="1229">
        <f t="shared" ca="1" si="174"/>
        <v>-17216.475966335584</v>
      </c>
      <c r="S115" s="1229">
        <f t="shared" ca="1" si="174"/>
        <v>-18548.561876517735</v>
      </c>
      <c r="T115" s="1229">
        <f t="shared" ca="1" si="174"/>
        <v>-18093.749340903065</v>
      </c>
      <c r="U115" s="1229">
        <f t="shared" ca="1" si="174"/>
        <v>-18846.379185119597</v>
      </c>
      <c r="V115" s="1229">
        <f t="shared" ca="1" si="174"/>
        <v>-18384.264140222705</v>
      </c>
      <c r="W115" s="1229">
        <f t="shared" ca="1" si="174"/>
        <v>-19148.978274103858</v>
      </c>
      <c r="X115" s="1229">
        <f t="shared" ca="1" si="174"/>
        <v>-19304.615213548816</v>
      </c>
      <c r="Y115" s="1229">
        <f t="shared" ca="1" si="174"/>
        <v>-18831.264176805907</v>
      </c>
      <c r="Z115" s="1229">
        <f t="shared" ca="1" si="174"/>
        <v>-19614.571779711077</v>
      </c>
      <c r="AA115" s="1229">
        <f t="shared" ca="1" si="174"/>
        <v>-19133.620577913589</v>
      </c>
      <c r="AB115" s="1229">
        <f t="shared" ca="1" si="174"/>
        <v>-19929.505035221682</v>
      </c>
      <c r="AC115" s="1229">
        <f t="shared" ca="1" si="174"/>
        <v>-20091.485853411315</v>
      </c>
      <c r="AD115" s="1229">
        <f t="shared" ca="1" si="174"/>
        <v>-18287.469349021987</v>
      </c>
      <c r="AE115" s="1229">
        <f t="shared" ca="1" si="174"/>
        <v>-20403.418064169517</v>
      </c>
      <c r="AF115" s="1229">
        <f t="shared" ca="1" si="174"/>
        <v>-19903.124274993381</v>
      </c>
      <c r="AG115" s="1229">
        <f t="shared" ca="1" si="174"/>
        <v>-20731.017103631562</v>
      </c>
      <c r="AH115" s="1229">
        <f t="shared" ca="1" si="174"/>
        <v>-20222.690554244982</v>
      </c>
      <c r="AI115" s="1229">
        <f t="shared" ca="1" si="174"/>
        <v>-21063.876101514252</v>
      </c>
      <c r="AJ115" s="1229">
        <f t="shared" ca="1" si="174"/>
        <v>-14503.219350651445</v>
      </c>
      <c r="AK115" s="1229">
        <f t="shared" ca="1" si="174"/>
        <v>-14147.59900599301</v>
      </c>
      <c r="AL115" s="1229">
        <f t="shared" ca="1" si="174"/>
        <v>-14729.69615075766</v>
      </c>
      <c r="AM115" s="1229">
        <f t="shared" ca="1" si="174"/>
        <v>-14282.678187811669</v>
      </c>
      <c r="AN115" s="1229">
        <f t="shared" ca="1" si="174"/>
        <v>-14871.47768157913</v>
      </c>
      <c r="AO115" s="1229">
        <f t="shared" ca="1" si="174"/>
        <v>-14992.348426652516</v>
      </c>
      <c r="AP115" s="1229">
        <f t="shared" ca="1" si="174"/>
        <v>-13646.183976767179</v>
      </c>
      <c r="AQ115" s="1229">
        <f t="shared" ca="1" si="174"/>
        <v>-15225.113510494682</v>
      </c>
      <c r="AR115" s="1229">
        <f t="shared" ca="1" si="174"/>
        <v>-14851.792251044606</v>
      </c>
      <c r="AS115" s="1229">
        <f t="shared" ca="1" si="174"/>
        <v>-15421.718752987566</v>
      </c>
      <c r="AT115" s="1229">
        <f t="shared" ca="1" si="174"/>
        <v>-14933.637856474843</v>
      </c>
      <c r="AU115" s="1229">
        <f t="shared" ca="1" si="174"/>
        <v>-15424.963502535609</v>
      </c>
      <c r="AV115" s="1229">
        <f t="shared" ca="1" si="174"/>
        <v>-15477.379001321971</v>
      </c>
      <c r="AW115" s="1229">
        <f t="shared" ca="1" si="174"/>
        <v>-15029.305096948201</v>
      </c>
      <c r="AX115" s="1229">
        <f t="shared" ca="1" si="174"/>
        <v>-15554.12526681025</v>
      </c>
      <c r="AY115" s="1229">
        <f t="shared" ca="1" si="174"/>
        <v>-15003.813492063209</v>
      </c>
      <c r="AZ115" s="1229">
        <f t="shared" ca="1" si="174"/>
        <v>-15565.377891310345</v>
      </c>
      <c r="BA115" s="1229">
        <f t="shared" ca="1" si="174"/>
        <v>-15691.888441462461</v>
      </c>
      <c r="BB115" s="1229">
        <f t="shared" ca="1" si="174"/>
        <v>-14282.912224373573</v>
      </c>
      <c r="BC115" s="1229">
        <f t="shared" ca="1" si="174"/>
        <v>-15935.514298117825</v>
      </c>
      <c r="BD115" s="1229">
        <f t="shared" ca="1" si="174"/>
        <v>-15469.791272518816</v>
      </c>
      <c r="BE115" s="1229">
        <f t="shared" ca="1" si="174"/>
        <v>-15999.014364220706</v>
      </c>
      <c r="BF115" s="1229">
        <f t="shared" ca="1" si="174"/>
        <v>-15486.777008558471</v>
      </c>
      <c r="BG115" s="1229">
        <f t="shared" ca="1" si="174"/>
        <v>-16000.213515469792</v>
      </c>
      <c r="BH115" s="1229">
        <f t="shared" ca="1" si="174"/>
        <v>-16057.312519647454</v>
      </c>
      <c r="BI115" s="1229">
        <f t="shared" ca="1" si="174"/>
        <v>-15595.051886164369</v>
      </c>
      <c r="BJ115" s="1229">
        <f t="shared" ca="1" si="174"/>
        <v>-16142.972202710196</v>
      </c>
      <c r="BK115" s="1229">
        <f t="shared" ca="1" si="174"/>
        <v>-15576.697690286637</v>
      </c>
      <c r="BL115" s="1229">
        <f t="shared" ca="1" si="174"/>
        <v>-16162.229666312123</v>
      </c>
      <c r="BM115" s="1229">
        <f t="shared" ca="1" si="174"/>
        <v>-16293.591242050768</v>
      </c>
      <c r="BN115" s="1229">
        <f t="shared" ca="1" si="174"/>
        <v>-15362.260012811961</v>
      </c>
      <c r="BO115" s="1229">
        <f t="shared" ca="1" si="174"/>
        <v>-16550.880155031289</v>
      </c>
      <c r="BP115" s="1229">
        <f t="shared" ca="1" si="174"/>
        <v>-16054.494587271438</v>
      </c>
      <c r="BQ115" s="1229">
        <f t="shared" ca="1" si="174"/>
        <v>-16605.143731495224</v>
      </c>
      <c r="BR115" s="1229">
        <f t="shared" ca="1" si="174"/>
        <v>-16075.108987462247</v>
      </c>
      <c r="BS115" s="1229">
        <f t="shared" ca="1" si="174"/>
        <v>-16609.863458896536</v>
      </c>
      <c r="BT115" s="1229">
        <f t="shared" ca="1" si="174"/>
        <v>-16669.671905250365</v>
      </c>
      <c r="BU115" s="1229">
        <f t="shared" ca="1" si="174"/>
        <v>-16190.248494350559</v>
      </c>
      <c r="BV115" s="1229">
        <f t="shared" ca="1" si="174"/>
        <v>-16760.238502180924</v>
      </c>
      <c r="BW115" s="1229">
        <f t="shared" ca="1" si="174"/>
        <v>-16175.120317030596</v>
      </c>
      <c r="BX115" s="1229">
        <f t="shared" ref="BX115:DY115" ca="1" si="175">BX113*(((1+$E112)^((BX$14-BW$14)/365))-1)</f>
        <v>-16783.426924121777</v>
      </c>
      <c r="BY115" s="1229">
        <f t="shared" ca="1" si="175"/>
        <v>-16919.837397958963</v>
      </c>
      <c r="BZ115" s="1229">
        <f t="shared" ca="1" si="175"/>
        <v>-15400.603522465421</v>
      </c>
      <c r="CA115" s="1229">
        <f t="shared" ca="1" si="175"/>
        <v>-17182.527889031753</v>
      </c>
      <c r="CB115" s="1229">
        <f t="shared" ca="1" si="175"/>
        <v>-16677.37138649129</v>
      </c>
      <c r="CC115" s="1229">
        <f t="shared" ca="1" si="175"/>
        <v>-17251.150407620407</v>
      </c>
      <c r="CD115" s="1229">
        <f t="shared" ca="1" si="175"/>
        <v>-16702.45311417212</v>
      </c>
      <c r="CE115" s="1229">
        <f t="shared" ca="1" si="175"/>
        <v>-17260.263656450355</v>
      </c>
      <c r="CF115" s="1229">
        <f t="shared" ca="1" si="175"/>
        <v>-17323.230601428841</v>
      </c>
      <c r="CG115" s="1229">
        <f t="shared" ca="1" si="175"/>
        <v>-16825.747904674601</v>
      </c>
      <c r="CH115" s="1229">
        <f t="shared" ca="1" si="175"/>
        <v>-17419.600385420756</v>
      </c>
      <c r="CI115" s="1229">
        <f t="shared" ca="1" si="175"/>
        <v>-16814.718129907647</v>
      </c>
      <c r="CJ115" s="1229">
        <f t="shared" ca="1" si="175"/>
        <v>-17447.628144872917</v>
      </c>
      <c r="CK115" s="1229">
        <f t="shared" ca="1" si="175"/>
        <v>-17589.43703964377</v>
      </c>
      <c r="CL115" s="1229">
        <f t="shared" ca="1" si="175"/>
        <v>-16010.079746014511</v>
      </c>
      <c r="CM115" s="1229">
        <f t="shared" ca="1" si="175"/>
        <v>-17862.523461514193</v>
      </c>
      <c r="CN115" s="1229">
        <f t="shared" ca="1" si="175"/>
        <v>-17335.81564774186</v>
      </c>
      <c r="CO115" s="1229">
        <f t="shared" ca="1" si="175"/>
        <v>-17934.329627417115</v>
      </c>
      <c r="CP115" s="1229">
        <f t="shared" ca="1" si="175"/>
        <v>-17366.180435712864</v>
      </c>
      <c r="CQ115" s="1229">
        <f t="shared" ca="1" si="175"/>
        <v>-17946.535536028565</v>
      </c>
      <c r="CR115" s="1229">
        <f t="shared" ca="1" si="175"/>
        <v>-18010.929451736982</v>
      </c>
      <c r="CS115" s="1229">
        <f t="shared" ca="1" si="175"/>
        <v>-17492.592409658784</v>
      </c>
      <c r="CT115" s="1229">
        <f t="shared" ca="1" si="175"/>
        <v>-18109.586913945652</v>
      </c>
      <c r="CU115" s="1229">
        <f t="shared" ca="1" si="175"/>
        <v>-17482.231106495281</v>
      </c>
      <c r="CV115" s="1229">
        <f t="shared" ca="1" si="175"/>
        <v>-18138.880584278195</v>
      </c>
      <c r="CW115" s="1229">
        <f t="shared" ca="1" si="175"/>
        <v>-18286.307763874112</v>
      </c>
      <c r="CX115" s="1229">
        <f t="shared" ca="1" si="175"/>
        <v>-16644.378378906778</v>
      </c>
      <c r="CY115" s="1229">
        <f t="shared" ca="1" si="175"/>
        <v>-18570.213516241434</v>
      </c>
      <c r="CZ115" s="1229">
        <f t="shared" ca="1" si="175"/>
        <v>-17995.731980433538</v>
      </c>
      <c r="DA115" s="1229">
        <f t="shared" ca="1" si="175"/>
        <v>-18609.502602384833</v>
      </c>
      <c r="DB115" s="1229">
        <f t="shared" ca="1" si="175"/>
        <v>-18012.706292451818</v>
      </c>
      <c r="DC115" s="1229">
        <f t="shared" ca="1" si="175"/>
        <v>-18625.873369824181</v>
      </c>
      <c r="DD115" s="1229">
        <f t="shared" ca="1" si="175"/>
        <v>-18703.523962018782</v>
      </c>
      <c r="DE115" s="1229">
        <f t="shared" ca="1" si="175"/>
        <v>-18175.752891184089</v>
      </c>
      <c r="DF115" s="1229">
        <f t="shared" ca="1" si="175"/>
        <v>-18828.024665603225</v>
      </c>
      <c r="DG115" s="1229">
        <f t="shared" ca="1" si="175"/>
        <v>-18187.403160367157</v>
      </c>
      <c r="DH115" s="1229">
        <f t="shared" ca="1" si="175"/>
        <v>-18881.44808328522</v>
      </c>
      <c r="DI115" s="1229">
        <f t="shared" ca="1" si="175"/>
        <v>-19034.910620549967</v>
      </c>
      <c r="DJ115" s="1229">
        <f t="shared" ca="1" si="175"/>
        <v>-17946.887333152437</v>
      </c>
      <c r="DK115" s="1229">
        <f t="shared" ca="1" si="175"/>
        <v>-19335.487171752698</v>
      </c>
      <c r="DL115" s="1229">
        <f t="shared" ca="1" si="175"/>
        <v>-18764.89816063079</v>
      </c>
      <c r="DM115" s="1229">
        <f t="shared" ca="1" si="175"/>
        <v>-19416.798980283471</v>
      </c>
      <c r="DN115" s="1229">
        <f t="shared" ca="1" si="175"/>
        <v>-18805.842674793948</v>
      </c>
      <c r="DO115" s="1229">
        <f t="shared" ca="1" si="175"/>
        <v>-19442.351860643212</v>
      </c>
      <c r="DP115" s="1229">
        <f t="shared" ca="1" si="175"/>
        <v>-19518.859954400978</v>
      </c>
      <c r="DQ115" s="1229">
        <f t="shared" ca="1" si="175"/>
        <v>-18963.635730261569</v>
      </c>
      <c r="DR115" s="1229">
        <f t="shared" ca="1" si="175"/>
        <v>-19640.000763834079</v>
      </c>
      <c r="DS115" s="1229">
        <f t="shared" ca="1" si="175"/>
        <v>-18968.714560271303</v>
      </c>
      <c r="DT115" s="1229">
        <f t="shared" ca="1" si="175"/>
        <v>-19687.8180522166</v>
      </c>
      <c r="DU115" s="1229">
        <f t="shared" ca="1" si="175"/>
        <v>-19847.834513781032</v>
      </c>
      <c r="DV115" s="1229">
        <f t="shared" ca="1" si="175"/>
        <v>-18065.695487305315</v>
      </c>
      <c r="DW115" s="1229">
        <f t="shared" ca="1" si="175"/>
        <v>-20155.983893265351</v>
      </c>
      <c r="DX115" s="1229">
        <f t="shared" ca="1" si="175"/>
        <v>-19554.399183705133</v>
      </c>
      <c r="DY115" s="1229">
        <f t="shared" ca="1" si="175"/>
        <v>-20229.714259257264</v>
      </c>
    </row>
    <row r="116" spans="4:129" s="1223" customFormat="1">
      <c r="D116" s="1227" t="s">
        <v>115</v>
      </c>
      <c r="E116" s="1227"/>
      <c r="F116" s="1227"/>
      <c r="G116" s="1236">
        <f t="shared" ref="G116:V116" ca="1" si="176">SUM(G113:G115)</f>
        <v>-4212279.0461034188</v>
      </c>
      <c r="H116" s="1236">
        <f t="shared" ca="1" si="176"/>
        <v>0</v>
      </c>
      <c r="I116" s="1236"/>
      <c r="J116" s="1236">
        <f t="shared" ca="1" si="176"/>
        <v>-519999.99999999988</v>
      </c>
      <c r="K116" s="1236">
        <f t="shared" ca="1" si="176"/>
        <v>-563341.69897794235</v>
      </c>
      <c r="L116" s="1236">
        <f t="shared" ca="1" si="176"/>
        <v>-842994.09837219038</v>
      </c>
      <c r="M116" s="1236">
        <f t="shared" ca="1" si="176"/>
        <v>-1124697.539538851</v>
      </c>
      <c r="N116" s="1236">
        <f t="shared" ca="1" si="176"/>
        <v>-1408912.4646049051</v>
      </c>
      <c r="O116" s="1236">
        <f t="shared" ca="1" si="176"/>
        <v>-1695066.5578715326</v>
      </c>
      <c r="P116" s="1236">
        <f t="shared" ca="1" si="176"/>
        <v>-1983917.2649149245</v>
      </c>
      <c r="Q116" s="1236">
        <f t="shared" ca="1" si="176"/>
        <v>-2264928.1720586666</v>
      </c>
      <c r="R116" s="1236">
        <f t="shared" ca="1" si="176"/>
        <v>-2282144.6480250023</v>
      </c>
      <c r="S116" s="1236">
        <f t="shared" ca="1" si="176"/>
        <v>-2300693.2099015201</v>
      </c>
      <c r="T116" s="1236">
        <f t="shared" ca="1" si="176"/>
        <v>-2318786.9592424231</v>
      </c>
      <c r="U116" s="1236">
        <f t="shared" ca="1" si="176"/>
        <v>-2337633.3384275427</v>
      </c>
      <c r="V116" s="1236">
        <f t="shared" ca="1" si="176"/>
        <v>-2356017.6025677654</v>
      </c>
      <c r="W116" s="1236">
        <f ca="1">SUM(W113:W115)</f>
        <v>-2375166.5808418691</v>
      </c>
      <c r="X116" s="1236">
        <f t="shared" ref="X116:CI116" ca="1" si="177">SUM(X113:X115)</f>
        <v>-2394471.1960554179</v>
      </c>
      <c r="Y116" s="1236">
        <f t="shared" ca="1" si="177"/>
        <v>-2413302.4602322238</v>
      </c>
      <c r="Z116" s="1236">
        <f t="shared" ca="1" si="177"/>
        <v>-2432917.032011935</v>
      </c>
      <c r="AA116" s="1236">
        <f t="shared" ca="1" si="177"/>
        <v>-2452050.6525898487</v>
      </c>
      <c r="AB116" s="1236">
        <f t="shared" ca="1" si="177"/>
        <v>-2471980.1576250703</v>
      </c>
      <c r="AC116" s="1236">
        <f t="shared" ca="1" si="177"/>
        <v>-2492071.6434784816</v>
      </c>
      <c r="AD116" s="1236">
        <f t="shared" ca="1" si="177"/>
        <v>-2510359.1128275036</v>
      </c>
      <c r="AE116" s="1236">
        <f t="shared" ca="1" si="177"/>
        <v>-2530762.5308916732</v>
      </c>
      <c r="AF116" s="1236">
        <f t="shared" ca="1" si="177"/>
        <v>-2550665.6551666665</v>
      </c>
      <c r="AG116" s="1236">
        <f t="shared" ca="1" si="177"/>
        <v>-2571396.672270298</v>
      </c>
      <c r="AH116" s="1236">
        <f t="shared" ca="1" si="177"/>
        <v>-2591619.3628245429</v>
      </c>
      <c r="AI116" s="1236">
        <f t="shared" ca="1" si="177"/>
        <v>-2612683.2389260572</v>
      </c>
      <c r="AJ116" s="1236">
        <f t="shared" ca="1" si="177"/>
        <v>-1798924.2780055595</v>
      </c>
      <c r="AK116" s="1236">
        <f t="shared" ca="1" si="177"/>
        <v>-1813071.8770115525</v>
      </c>
      <c r="AL116" s="1236">
        <f t="shared" ca="1" si="177"/>
        <v>-1827015.6006468174</v>
      </c>
      <c r="AM116" s="1236">
        <f t="shared" ca="1" si="177"/>
        <v>-1830382.819003999</v>
      </c>
      <c r="AN116" s="1236">
        <f t="shared" ca="1" si="177"/>
        <v>-1844601.6435660454</v>
      </c>
      <c r="AO116" s="1236">
        <f t="shared" ca="1" si="177"/>
        <v>-1859593.9919926981</v>
      </c>
      <c r="AP116" s="1236">
        <f t="shared" ca="1" si="177"/>
        <v>-1873240.1759694652</v>
      </c>
      <c r="AQ116" s="1236">
        <f t="shared" ca="1" si="177"/>
        <v>-1888465.2894799598</v>
      </c>
      <c r="AR116" s="1236">
        <f t="shared" ca="1" si="177"/>
        <v>-1903317.0817310044</v>
      </c>
      <c r="AS116" s="1236">
        <f t="shared" ca="1" si="177"/>
        <v>-1912851.4574991129</v>
      </c>
      <c r="AT116" s="1236">
        <f t="shared" ca="1" si="177"/>
        <v>-1913805.926191445</v>
      </c>
      <c r="AU116" s="1236">
        <f t="shared" ca="1" si="177"/>
        <v>-1913253.9239168714</v>
      </c>
      <c r="AV116" s="1236">
        <f t="shared" ca="1" si="177"/>
        <v>-1919755.3434314514</v>
      </c>
      <c r="AW116" s="1236">
        <f t="shared" ca="1" si="177"/>
        <v>-1926066.0689322785</v>
      </c>
      <c r="AX116" s="1236">
        <f t="shared" ca="1" si="177"/>
        <v>-1929274.658894809</v>
      </c>
      <c r="AY116" s="1236">
        <f t="shared" ca="1" si="177"/>
        <v>-1922799.216945783</v>
      </c>
      <c r="AZ116" s="1236">
        <f t="shared" ca="1" si="177"/>
        <v>-1930670.3917259194</v>
      </c>
      <c r="BA116" s="1236">
        <f t="shared" ca="1" si="177"/>
        <v>-1946362.280167382</v>
      </c>
      <c r="BB116" s="1236">
        <f t="shared" ca="1" si="177"/>
        <v>-1960645.1923917555</v>
      </c>
      <c r="BC116" s="1236">
        <f t="shared" ca="1" si="177"/>
        <v>-1976580.7066898732</v>
      </c>
      <c r="BD116" s="1236">
        <f t="shared" ca="1" si="177"/>
        <v>-1982516.1490342908</v>
      </c>
      <c r="BE116" s="1236">
        <f t="shared" ca="1" si="177"/>
        <v>-1984457.0138604119</v>
      </c>
      <c r="BF116" s="1236">
        <f t="shared" ca="1" si="177"/>
        <v>-1984692.9396198022</v>
      </c>
      <c r="BG116" s="1236">
        <f t="shared" ca="1" si="177"/>
        <v>-1984605.7520296988</v>
      </c>
      <c r="BH116" s="1236">
        <f t="shared" ca="1" si="177"/>
        <v>-1991688.0957757116</v>
      </c>
      <c r="BI116" s="1236">
        <f t="shared" ca="1" si="177"/>
        <v>-1998568.8019121222</v>
      </c>
      <c r="BJ116" s="1236">
        <f t="shared" ca="1" si="177"/>
        <v>-2002312.9977221133</v>
      </c>
      <c r="BK116" s="1236">
        <f t="shared" ca="1" si="177"/>
        <v>-1996216.6376786733</v>
      </c>
      <c r="BL116" s="1236">
        <f t="shared" ca="1" si="177"/>
        <v>-2004701.6204112379</v>
      </c>
      <c r="BM116" s="1236">
        <f t="shared" ca="1" si="177"/>
        <v>-2020995.2116532887</v>
      </c>
      <c r="BN116" s="1236">
        <f t="shared" ca="1" si="177"/>
        <v>-2036357.4716661007</v>
      </c>
      <c r="BO116" s="1236">
        <f t="shared" ca="1" si="177"/>
        <v>-2052908.351821132</v>
      </c>
      <c r="BP116" s="1236">
        <f t="shared" ca="1" si="177"/>
        <v>-2057448.237222848</v>
      </c>
      <c r="BQ116" s="1236">
        <f t="shared" ca="1" si="177"/>
        <v>-2059638.9998760412</v>
      </c>
      <c r="BR116" s="1236">
        <f t="shared" ca="1" si="177"/>
        <v>-2060090.0557555603</v>
      </c>
      <c r="BS116" s="1236">
        <f t="shared" ca="1" si="177"/>
        <v>-2060224.4169481071</v>
      </c>
      <c r="BT116" s="1236">
        <f t="shared" ca="1" si="177"/>
        <v>-2067642.8296173508</v>
      </c>
      <c r="BU116" s="1236">
        <f t="shared" ca="1" si="177"/>
        <v>-2074845.6479789296</v>
      </c>
      <c r="BV116" s="1236">
        <f t="shared" ca="1" si="177"/>
        <v>-2078876.3665346156</v>
      </c>
      <c r="BW116" s="1236">
        <f t="shared" ca="1" si="177"/>
        <v>-2072906.9110358167</v>
      </c>
      <c r="BX116" s="1236">
        <f t="shared" ca="1" si="177"/>
        <v>-2081752.5703752588</v>
      </c>
      <c r="BY116" s="1236">
        <f t="shared" ca="1" si="177"/>
        <v>-2098672.4077732177</v>
      </c>
      <c r="BZ116" s="1236">
        <f t="shared" ca="1" si="177"/>
        <v>-2114073.0112956832</v>
      </c>
      <c r="CA116" s="1236">
        <f t="shared" ca="1" si="177"/>
        <v>-2131255.5391847151</v>
      </c>
      <c r="CB116" s="1236">
        <f t="shared" ca="1" si="177"/>
        <v>-2137272.4114187732</v>
      </c>
      <c r="CC116" s="1236">
        <f t="shared" ca="1" si="177"/>
        <v>-2139767.2159181619</v>
      </c>
      <c r="CD116" s="1236">
        <f t="shared" ca="1" si="177"/>
        <v>-2140486.7359883138</v>
      </c>
      <c r="CE116" s="1236">
        <f t="shared" ca="1" si="177"/>
        <v>-2140897.5887116319</v>
      </c>
      <c r="CF116" s="1236">
        <f t="shared" ca="1" si="177"/>
        <v>-2148707.7695614821</v>
      </c>
      <c r="CG116" s="1236">
        <f t="shared" ca="1" si="177"/>
        <v>-2156287.4607012058</v>
      </c>
      <c r="CH116" s="1236">
        <f t="shared" ca="1" si="177"/>
        <v>-2160661.1117745284</v>
      </c>
      <c r="CI116" s="1236">
        <f t="shared" ca="1" si="177"/>
        <v>-2154873.9505761829</v>
      </c>
      <c r="CJ116" s="1236">
        <f t="shared" ref="CJ116:DY116" ca="1" si="178">SUM(CJ113:CJ115)</f>
        <v>-2164137.568671274</v>
      </c>
      <c r="CK116" s="1236">
        <f t="shared" ca="1" si="178"/>
        <v>-2181727.005710918</v>
      </c>
      <c r="CL116" s="1236">
        <f t="shared" ca="1" si="178"/>
        <v>-2197737.0854569324</v>
      </c>
      <c r="CM116" s="1236">
        <f t="shared" ca="1" si="178"/>
        <v>-2215599.6089184466</v>
      </c>
      <c r="CN116" s="1236">
        <f t="shared" ca="1" si="178"/>
        <v>-2221654.6993354261</v>
      </c>
      <c r="CO116" s="1236">
        <f t="shared" ca="1" si="178"/>
        <v>-2224506.1731805019</v>
      </c>
      <c r="CP116" s="1236">
        <f t="shared" ca="1" si="178"/>
        <v>-2225546.0693903961</v>
      </c>
      <c r="CQ116" s="1236">
        <f t="shared" ca="1" si="178"/>
        <v>-2226020.1477543795</v>
      </c>
      <c r="CR116" s="1236">
        <f t="shared" ca="1" si="178"/>
        <v>-2234007.3246371807</v>
      </c>
      <c r="CS116" s="1236">
        <f t="shared" ca="1" si="178"/>
        <v>-2241746.2737347358</v>
      </c>
      <c r="CT116" s="1236">
        <f t="shared" ca="1" si="178"/>
        <v>-2246244.4217728325</v>
      </c>
      <c r="CU116" s="1236">
        <f t="shared" ca="1" si="178"/>
        <v>-2240418.430941978</v>
      </c>
      <c r="CV116" s="1236">
        <f t="shared" ca="1" si="178"/>
        <v>-2249877.89745013</v>
      </c>
      <c r="CW116" s="1236">
        <f t="shared" ca="1" si="178"/>
        <v>-2268164.205214004</v>
      </c>
      <c r="CX116" s="1236">
        <f t="shared" ca="1" si="178"/>
        <v>-2284808.5835929108</v>
      </c>
      <c r="CY116" s="1236">
        <f t="shared" ca="1" si="178"/>
        <v>-2303378.7971091522</v>
      </c>
      <c r="CZ116" s="1236">
        <f t="shared" ca="1" si="178"/>
        <v>-2306225.639144863</v>
      </c>
      <c r="DA116" s="1236">
        <f t="shared" ca="1" si="178"/>
        <v>-2308252.0662237671</v>
      </c>
      <c r="DB116" s="1236">
        <f t="shared" ca="1" si="178"/>
        <v>-2308400.9656959563</v>
      </c>
      <c r="DC116" s="1236">
        <f t="shared" ca="1" si="178"/>
        <v>-2310282.6340779932</v>
      </c>
      <c r="DD116" s="1236">
        <f t="shared" ca="1" si="178"/>
        <v>-2319914.118793427</v>
      </c>
      <c r="DE116" s="1236">
        <f t="shared" ca="1" si="178"/>
        <v>-2329296.0449725636</v>
      </c>
      <c r="DF116" s="1236">
        <f t="shared" ca="1" si="178"/>
        <v>-2335356.7134954622</v>
      </c>
      <c r="DG116" s="1236">
        <f t="shared" ca="1" si="178"/>
        <v>-2330789.0739597781</v>
      </c>
      <c r="DH116" s="1236">
        <f t="shared" ca="1" si="178"/>
        <v>-2341983.1514440724</v>
      </c>
      <c r="DI116" s="1236">
        <f t="shared" ca="1" si="178"/>
        <v>-2361018.0620646225</v>
      </c>
      <c r="DJ116" s="1236">
        <f t="shared" ca="1" si="178"/>
        <v>-2378964.9493977749</v>
      </c>
      <c r="DK116" s="1236">
        <f t="shared" ca="1" si="178"/>
        <v>-2398300.4365695277</v>
      </c>
      <c r="DL116" s="1236">
        <f t="shared" ca="1" si="178"/>
        <v>-2404797.3875718075</v>
      </c>
      <c r="DM116" s="1236">
        <f t="shared" ca="1" si="178"/>
        <v>-2408386.0446623252</v>
      </c>
      <c r="DN116" s="1236">
        <f t="shared" ca="1" si="178"/>
        <v>-2410044.5922116679</v>
      </c>
      <c r="DO116" s="1236">
        <f t="shared" ca="1" si="178"/>
        <v>-2411555.526950411</v>
      </c>
      <c r="DP116" s="1236">
        <f t="shared" ca="1" si="178"/>
        <v>-2421045.30049635</v>
      </c>
      <c r="DQ116" s="1236">
        <f t="shared" ca="1" si="178"/>
        <v>-2430266.4087287229</v>
      </c>
      <c r="DR116" s="1236">
        <f t="shared" ca="1" si="178"/>
        <v>-2436071.1466810913</v>
      </c>
      <c r="DS116" s="1236">
        <f t="shared" ca="1" si="178"/>
        <v>-2430917.2812799499</v>
      </c>
      <c r="DT116" s="1236">
        <f t="shared" ca="1" si="178"/>
        <v>-2442002.2216307265</v>
      </c>
      <c r="DU116" s="1236">
        <f t="shared" ca="1" si="178"/>
        <v>-2461850.0561445076</v>
      </c>
      <c r="DV116" s="1236">
        <f t="shared" ca="1" si="178"/>
        <v>-2479915.7516318131</v>
      </c>
      <c r="DW116" s="1236">
        <f t="shared" ca="1" si="178"/>
        <v>-2500071.7355250786</v>
      </c>
      <c r="DX116" s="1236">
        <f t="shared" ca="1" si="178"/>
        <v>-2505975.1281341165</v>
      </c>
      <c r="DY116" s="1236">
        <f t="shared" ca="1" si="178"/>
        <v>-2509216.9702624353</v>
      </c>
    </row>
    <row r="117" spans="4:129" s="1223" customFormat="1">
      <c r="D117" s="1227" t="s">
        <v>126</v>
      </c>
      <c r="E117" s="1227"/>
      <c r="F117" s="1227"/>
      <c r="G117" s="1229">
        <f t="shared" ca="1" si="169"/>
        <v>4212279.0461034216</v>
      </c>
      <c r="H117" s="1229">
        <f t="shared" ref="H117" si="179">IF(H105&gt;0,MIN(H105*($E$146),-H116),0)</f>
        <v>0</v>
      </c>
      <c r="I117" s="1229"/>
      <c r="J117" s="1229">
        <f ca="1">IF(J105&gt;0,MIN(J105*($E$121),-J116),0)</f>
        <v>0</v>
      </c>
      <c r="K117" s="1229">
        <f t="shared" ref="K117:BV117" ca="1" si="180">IF(K105&gt;0,MIN(K105*($E$121),-K116),0)</f>
        <v>0</v>
      </c>
      <c r="L117" s="1229">
        <f t="shared" ca="1" si="180"/>
        <v>0</v>
      </c>
      <c r="M117" s="1229">
        <f t="shared" ca="1" si="180"/>
        <v>0</v>
      </c>
      <c r="N117" s="1229">
        <f t="shared" ca="1" si="180"/>
        <v>0</v>
      </c>
      <c r="O117" s="1229">
        <f t="shared" ca="1" si="180"/>
        <v>0</v>
      </c>
      <c r="P117" s="1229">
        <f t="shared" ca="1" si="180"/>
        <v>0</v>
      </c>
      <c r="Q117" s="1229">
        <f t="shared" ca="1" si="180"/>
        <v>0</v>
      </c>
      <c r="R117" s="1229">
        <f t="shared" ca="1" si="180"/>
        <v>0</v>
      </c>
      <c r="S117" s="1229">
        <f t="shared" ca="1" si="180"/>
        <v>0</v>
      </c>
      <c r="T117" s="1229">
        <f t="shared" ca="1" si="180"/>
        <v>0</v>
      </c>
      <c r="U117" s="1229">
        <f t="shared" ca="1" si="180"/>
        <v>0</v>
      </c>
      <c r="V117" s="1229">
        <f t="shared" ca="1" si="180"/>
        <v>0</v>
      </c>
      <c r="W117" s="1229">
        <f t="shared" ca="1" si="180"/>
        <v>0</v>
      </c>
      <c r="X117" s="1229">
        <f t="shared" ca="1" si="180"/>
        <v>0</v>
      </c>
      <c r="Y117" s="1229">
        <f t="shared" ca="1" si="180"/>
        <v>0</v>
      </c>
      <c r="Z117" s="1229">
        <f t="shared" ca="1" si="180"/>
        <v>0</v>
      </c>
      <c r="AA117" s="1229">
        <f t="shared" ca="1" si="180"/>
        <v>0</v>
      </c>
      <c r="AB117" s="1229">
        <f t="shared" ca="1" si="180"/>
        <v>0</v>
      </c>
      <c r="AC117" s="1229">
        <f t="shared" ca="1" si="180"/>
        <v>0</v>
      </c>
      <c r="AD117" s="1229">
        <f t="shared" ca="1" si="180"/>
        <v>0</v>
      </c>
      <c r="AE117" s="1229">
        <f t="shared" ca="1" si="180"/>
        <v>0</v>
      </c>
      <c r="AF117" s="1229">
        <f t="shared" ca="1" si="180"/>
        <v>0</v>
      </c>
      <c r="AG117" s="1229">
        <f t="shared" ca="1" si="180"/>
        <v>0</v>
      </c>
      <c r="AH117" s="1229">
        <f t="shared" ca="1" si="180"/>
        <v>0</v>
      </c>
      <c r="AI117" s="1229">
        <f t="shared" ca="1" si="180"/>
        <v>828262.18027114926</v>
      </c>
      <c r="AJ117" s="1229">
        <f t="shared" ca="1" si="180"/>
        <v>0</v>
      </c>
      <c r="AK117" s="1229">
        <f t="shared" ca="1" si="180"/>
        <v>785.97251549276154</v>
      </c>
      <c r="AL117" s="1229">
        <f t="shared" ca="1" si="180"/>
        <v>10915.459830630127</v>
      </c>
      <c r="AM117" s="1229">
        <f t="shared" ca="1" si="180"/>
        <v>652.65311953254604</v>
      </c>
      <c r="AN117" s="1229">
        <f t="shared" ca="1" si="180"/>
        <v>0</v>
      </c>
      <c r="AO117" s="1229">
        <f t="shared" ca="1" si="180"/>
        <v>0</v>
      </c>
      <c r="AP117" s="1229">
        <f t="shared" ca="1" si="180"/>
        <v>0</v>
      </c>
      <c r="AQ117" s="1229">
        <f t="shared" ca="1" si="180"/>
        <v>0</v>
      </c>
      <c r="AR117" s="1229">
        <f t="shared" ca="1" si="180"/>
        <v>5887.3429848790229</v>
      </c>
      <c r="AS117" s="1229">
        <f t="shared" ca="1" si="180"/>
        <v>13979.169164142888</v>
      </c>
      <c r="AT117" s="1229">
        <f t="shared" ca="1" si="180"/>
        <v>15976.965777109181</v>
      </c>
      <c r="AU117" s="1229">
        <f t="shared" ca="1" si="180"/>
        <v>8975.9594867420874</v>
      </c>
      <c r="AV117" s="1229">
        <f t="shared" ca="1" si="180"/>
        <v>8718.5795961210333</v>
      </c>
      <c r="AW117" s="1229">
        <f t="shared" ca="1" si="180"/>
        <v>12345.535304279763</v>
      </c>
      <c r="AX117" s="1229">
        <f t="shared" ca="1" si="180"/>
        <v>21479.255441089164</v>
      </c>
      <c r="AY117" s="1229">
        <f t="shared" ca="1" si="180"/>
        <v>7694.203111173917</v>
      </c>
      <c r="AZ117" s="1229">
        <f t="shared" ca="1" si="180"/>
        <v>0</v>
      </c>
      <c r="BA117" s="1229">
        <f t="shared" ca="1" si="180"/>
        <v>0</v>
      </c>
      <c r="BB117" s="1229">
        <f t="shared" ca="1" si="180"/>
        <v>0</v>
      </c>
      <c r="BC117" s="1229">
        <f t="shared" ca="1" si="180"/>
        <v>9534.3489281013426</v>
      </c>
      <c r="BD117" s="1229">
        <f t="shared" ca="1" si="180"/>
        <v>14058.149538099615</v>
      </c>
      <c r="BE117" s="1229">
        <f t="shared" ca="1" si="180"/>
        <v>15250.851249168249</v>
      </c>
      <c r="BF117" s="1229">
        <f t="shared" ca="1" si="180"/>
        <v>16087.401105573255</v>
      </c>
      <c r="BG117" s="1229">
        <f t="shared" ca="1" si="180"/>
        <v>8974.968773634535</v>
      </c>
      <c r="BH117" s="1229">
        <f t="shared" ca="1" si="180"/>
        <v>8714.3457497537202</v>
      </c>
      <c r="BI117" s="1229">
        <f t="shared" ca="1" si="180"/>
        <v>12398.776392719035</v>
      </c>
      <c r="BJ117" s="1229">
        <f t="shared" ca="1" si="180"/>
        <v>21673.05773372679</v>
      </c>
      <c r="BK117" s="1229">
        <f t="shared" ca="1" si="180"/>
        <v>7677.2469337475586</v>
      </c>
      <c r="BL117" s="1229">
        <f t="shared" ca="1" si="180"/>
        <v>0</v>
      </c>
      <c r="BM117" s="1229">
        <f t="shared" ca="1" si="180"/>
        <v>0</v>
      </c>
      <c r="BN117" s="1229">
        <f t="shared" ca="1" si="180"/>
        <v>0</v>
      </c>
      <c r="BO117" s="1229">
        <f t="shared" ca="1" si="180"/>
        <v>11514.609185555539</v>
      </c>
      <c r="BP117" s="1229">
        <f t="shared" ca="1" si="180"/>
        <v>14414.3810783019</v>
      </c>
      <c r="BQ117" s="1229">
        <f t="shared" ca="1" si="180"/>
        <v>15624.0531079432</v>
      </c>
      <c r="BR117" s="1229">
        <f t="shared" ca="1" si="180"/>
        <v>16475.502266349835</v>
      </c>
      <c r="BS117" s="1229">
        <f t="shared" ca="1" si="180"/>
        <v>9251.2592360065373</v>
      </c>
      <c r="BT117" s="1229">
        <f t="shared" ca="1" si="180"/>
        <v>8987.4301327718931</v>
      </c>
      <c r="BU117" s="1229">
        <f t="shared" ca="1" si="180"/>
        <v>12729.519946494864</v>
      </c>
      <c r="BV117" s="1229">
        <f t="shared" ca="1" si="180"/>
        <v>22144.575815829765</v>
      </c>
      <c r="BW117" s="1229">
        <f t="shared" ref="BW117:DY117" ca="1" si="181">IF(BW105&gt;0,MIN(BW105*($E$121),-BW116),0)</f>
        <v>7937.7675846796174</v>
      </c>
      <c r="BX117" s="1229">
        <f t="shared" ca="1" si="181"/>
        <v>0</v>
      </c>
      <c r="BY117" s="1229">
        <f t="shared" ca="1" si="181"/>
        <v>0</v>
      </c>
      <c r="BZ117" s="1229">
        <f t="shared" ca="1" si="181"/>
        <v>0</v>
      </c>
      <c r="CA117" s="1229">
        <f t="shared" ca="1" si="181"/>
        <v>10660.499152433056</v>
      </c>
      <c r="CB117" s="1229">
        <f t="shared" ca="1" si="181"/>
        <v>14756.345908231708</v>
      </c>
      <c r="CC117" s="1229">
        <f t="shared" ca="1" si="181"/>
        <v>15982.933044020103</v>
      </c>
      <c r="CD117" s="1229">
        <f t="shared" ca="1" si="181"/>
        <v>16849.410933132422</v>
      </c>
      <c r="CE117" s="1229">
        <f t="shared" ca="1" si="181"/>
        <v>9513.0497515790139</v>
      </c>
      <c r="CF117" s="1229">
        <f t="shared" ca="1" si="181"/>
        <v>9246.0567649508357</v>
      </c>
      <c r="CG117" s="1229">
        <f t="shared" ca="1" si="181"/>
        <v>13045.949312098252</v>
      </c>
      <c r="CH117" s="1229">
        <f t="shared" ca="1" si="181"/>
        <v>22601.879328252984</v>
      </c>
      <c r="CI117" s="1229">
        <f t="shared" ca="1" si="181"/>
        <v>8184.0100497816775</v>
      </c>
      <c r="CJ117" s="1229">
        <f t="shared" ca="1" si="181"/>
        <v>0</v>
      </c>
      <c r="CK117" s="1229">
        <f t="shared" ca="1" si="181"/>
        <v>0</v>
      </c>
      <c r="CL117" s="1229">
        <f t="shared" ca="1" si="181"/>
        <v>0</v>
      </c>
      <c r="CM117" s="1229">
        <f t="shared" ca="1" si="181"/>
        <v>11280.725230762162</v>
      </c>
      <c r="CN117" s="1229">
        <f t="shared" ca="1" si="181"/>
        <v>15082.855782341228</v>
      </c>
      <c r="CO117" s="1229">
        <f t="shared" ca="1" si="181"/>
        <v>16326.284225818856</v>
      </c>
      <c r="CP117" s="1229">
        <f t="shared" ca="1" si="181"/>
        <v>17472.457172044975</v>
      </c>
      <c r="CQ117" s="1229">
        <f t="shared" ca="1" si="181"/>
        <v>10023.752568936141</v>
      </c>
      <c r="CR117" s="1229">
        <f t="shared" ca="1" si="181"/>
        <v>9753.6433121037207</v>
      </c>
      <c r="CS117" s="1229">
        <f t="shared" ca="1" si="181"/>
        <v>13611.438875848713</v>
      </c>
      <c r="CT117" s="1229">
        <f t="shared" ca="1" si="181"/>
        <v>23308.221937350096</v>
      </c>
      <c r="CU117" s="1229">
        <f t="shared" ca="1" si="181"/>
        <v>8679.4140761263716</v>
      </c>
      <c r="CV117" s="1229">
        <f t="shared" ca="1" si="181"/>
        <v>0</v>
      </c>
      <c r="CW117" s="1229">
        <f t="shared" ca="1" si="181"/>
        <v>0</v>
      </c>
      <c r="CX117" s="1229">
        <f t="shared" ca="1" si="181"/>
        <v>0</v>
      </c>
      <c r="CY117" s="1229">
        <f t="shared" ca="1" si="181"/>
        <v>15148.88994472288</v>
      </c>
      <c r="CZ117" s="1229">
        <f t="shared" ca="1" si="181"/>
        <v>16583.075523480631</v>
      </c>
      <c r="DA117" s="1229">
        <f t="shared" ca="1" si="181"/>
        <v>17863.80682026258</v>
      </c>
      <c r="DB117" s="1229">
        <f t="shared" ca="1" si="181"/>
        <v>16744.204987787063</v>
      </c>
      <c r="DC117" s="1229">
        <f t="shared" ca="1" si="181"/>
        <v>9072.0392465849982</v>
      </c>
      <c r="DD117" s="1229">
        <f t="shared" ca="1" si="181"/>
        <v>8793.8267120476175</v>
      </c>
      <c r="DE117" s="1229">
        <f t="shared" ca="1" si="181"/>
        <v>12767.356142704941</v>
      </c>
      <c r="DF117" s="1229">
        <f t="shared" ca="1" si="181"/>
        <v>22755.042696051354</v>
      </c>
      <c r="DG117" s="1229">
        <f t="shared" ca="1" si="181"/>
        <v>7687.3705989909186</v>
      </c>
      <c r="DH117" s="1229">
        <f t="shared" ca="1" si="181"/>
        <v>0</v>
      </c>
      <c r="DI117" s="1229">
        <f t="shared" ca="1" si="181"/>
        <v>0</v>
      </c>
      <c r="DJ117" s="1229">
        <f t="shared" ca="1" si="181"/>
        <v>0</v>
      </c>
      <c r="DK117" s="1229">
        <f t="shared" ca="1" si="181"/>
        <v>12267.947158351002</v>
      </c>
      <c r="DL117" s="1229">
        <f t="shared" ca="1" si="181"/>
        <v>15828.141889765782</v>
      </c>
      <c r="DM117" s="1229">
        <f t="shared" ca="1" si="181"/>
        <v>17147.295125451226</v>
      </c>
      <c r="DN117" s="1229">
        <f t="shared" ca="1" si="181"/>
        <v>17931.417121900111</v>
      </c>
      <c r="DO117" s="1229">
        <f t="shared" ca="1" si="181"/>
        <v>10029.08640846199</v>
      </c>
      <c r="DP117" s="1229">
        <f t="shared" ca="1" si="181"/>
        <v>9742.5274978884554</v>
      </c>
      <c r="DQ117" s="1229">
        <f t="shared" ca="1" si="181"/>
        <v>13835.262811465534</v>
      </c>
      <c r="DR117" s="1229">
        <f t="shared" ca="1" si="181"/>
        <v>24122.579961412361</v>
      </c>
      <c r="DS117" s="1229">
        <f t="shared" ca="1" si="181"/>
        <v>8602.8777014400948</v>
      </c>
      <c r="DT117" s="1229">
        <f t="shared" ca="1" si="181"/>
        <v>0</v>
      </c>
      <c r="DU117" s="1229">
        <f t="shared" ca="1" si="181"/>
        <v>0</v>
      </c>
      <c r="DV117" s="1229">
        <f t="shared" ca="1" si="181"/>
        <v>0</v>
      </c>
      <c r="DW117" s="1229">
        <f t="shared" ca="1" si="181"/>
        <v>13651.006574666942</v>
      </c>
      <c r="DX117" s="1229">
        <f t="shared" ca="1" si="181"/>
        <v>16987.872130938227</v>
      </c>
      <c r="DY117" s="1229">
        <f t="shared" ca="1" si="181"/>
        <v>2509216.9702624353</v>
      </c>
    </row>
    <row r="118" spans="4:129" s="1223" customFormat="1">
      <c r="D118" s="1227" t="s">
        <v>127</v>
      </c>
      <c r="E118" s="1227"/>
      <c r="F118" s="1227"/>
      <c r="G118" s="1229">
        <f ca="1">SUM(G116:G117)</f>
        <v>0</v>
      </c>
      <c r="H118" s="1229">
        <f t="shared" ref="H118:AD118" ca="1" si="182">SUM(H116:H117)</f>
        <v>0</v>
      </c>
      <c r="I118" s="1229"/>
      <c r="J118" s="1229">
        <f t="shared" ca="1" si="182"/>
        <v>-519999.99999999988</v>
      </c>
      <c r="K118" s="1229">
        <f t="shared" ca="1" si="182"/>
        <v>-563341.69897794235</v>
      </c>
      <c r="L118" s="1229">
        <f t="shared" ca="1" si="182"/>
        <v>-842994.09837219038</v>
      </c>
      <c r="M118" s="1229">
        <f t="shared" ca="1" si="182"/>
        <v>-1124697.539538851</v>
      </c>
      <c r="N118" s="1229">
        <f t="shared" ca="1" si="182"/>
        <v>-1408912.4646049051</v>
      </c>
      <c r="O118" s="1229">
        <f t="shared" ca="1" si="182"/>
        <v>-1695066.5578715326</v>
      </c>
      <c r="P118" s="1229">
        <f t="shared" ca="1" si="182"/>
        <v>-1983917.2649149245</v>
      </c>
      <c r="Q118" s="1229">
        <f t="shared" ca="1" si="182"/>
        <v>-2264928.1720586666</v>
      </c>
      <c r="R118" s="1229">
        <f t="shared" ca="1" si="182"/>
        <v>-2282144.6480250023</v>
      </c>
      <c r="S118" s="1229">
        <f t="shared" ca="1" si="182"/>
        <v>-2300693.2099015201</v>
      </c>
      <c r="T118" s="1229">
        <f t="shared" ca="1" si="182"/>
        <v>-2318786.9592424231</v>
      </c>
      <c r="U118" s="1229">
        <f t="shared" ca="1" si="182"/>
        <v>-2337633.3384275427</v>
      </c>
      <c r="V118" s="1229">
        <f t="shared" ca="1" si="182"/>
        <v>-2356017.6025677654</v>
      </c>
      <c r="W118" s="1229">
        <f t="shared" ca="1" si="182"/>
        <v>-2375166.5808418691</v>
      </c>
      <c r="X118" s="1229">
        <f t="shared" ca="1" si="182"/>
        <v>-2394471.1960554179</v>
      </c>
      <c r="Y118" s="1229">
        <f t="shared" ca="1" si="182"/>
        <v>-2413302.4602322238</v>
      </c>
      <c r="Z118" s="1229">
        <f t="shared" ca="1" si="182"/>
        <v>-2432917.032011935</v>
      </c>
      <c r="AA118" s="1229">
        <f t="shared" ca="1" si="182"/>
        <v>-2452050.6525898487</v>
      </c>
      <c r="AB118" s="1229">
        <f t="shared" ca="1" si="182"/>
        <v>-2471980.1576250703</v>
      </c>
      <c r="AC118" s="1229">
        <f t="shared" ca="1" si="182"/>
        <v>-2492071.6434784816</v>
      </c>
      <c r="AD118" s="1229">
        <f t="shared" ca="1" si="182"/>
        <v>-2510359.1128275036</v>
      </c>
      <c r="AE118" s="1229">
        <f ca="1">SUM(AE116:AE117)</f>
        <v>-2530762.5308916732</v>
      </c>
      <c r="AF118" s="1229">
        <f t="shared" ref="AF118:CQ118" ca="1" si="183">SUM(AF116:AF117)</f>
        <v>-2550665.6551666665</v>
      </c>
      <c r="AG118" s="1229">
        <f t="shared" ca="1" si="183"/>
        <v>-2571396.672270298</v>
      </c>
      <c r="AH118" s="1229">
        <f t="shared" ca="1" si="183"/>
        <v>-2591619.3628245429</v>
      </c>
      <c r="AI118" s="1229">
        <f t="shared" ca="1" si="183"/>
        <v>-1784421.0586549081</v>
      </c>
      <c r="AJ118" s="1229">
        <f t="shared" ca="1" si="183"/>
        <v>-1798924.2780055595</v>
      </c>
      <c r="AK118" s="1229">
        <f t="shared" ca="1" si="183"/>
        <v>-1812285.9044960598</v>
      </c>
      <c r="AL118" s="1229">
        <f t="shared" ca="1" si="183"/>
        <v>-1816100.1408161873</v>
      </c>
      <c r="AM118" s="1229">
        <f t="shared" ca="1" si="183"/>
        <v>-1829730.1658844664</v>
      </c>
      <c r="AN118" s="1229">
        <f t="shared" ca="1" si="183"/>
        <v>-1844601.6435660454</v>
      </c>
      <c r="AO118" s="1229">
        <f t="shared" ca="1" si="183"/>
        <v>-1859593.9919926981</v>
      </c>
      <c r="AP118" s="1229">
        <f t="shared" ca="1" si="183"/>
        <v>-1873240.1759694652</v>
      </c>
      <c r="AQ118" s="1229">
        <f t="shared" ca="1" si="183"/>
        <v>-1888465.2894799598</v>
      </c>
      <c r="AR118" s="1229">
        <f t="shared" ca="1" si="183"/>
        <v>-1897429.7387461255</v>
      </c>
      <c r="AS118" s="1229">
        <f t="shared" ca="1" si="183"/>
        <v>-1898872.2883349701</v>
      </c>
      <c r="AT118" s="1229">
        <f t="shared" ca="1" si="183"/>
        <v>-1897828.9604143358</v>
      </c>
      <c r="AU118" s="1229">
        <f t="shared" ca="1" si="183"/>
        <v>-1904277.9644301294</v>
      </c>
      <c r="AV118" s="1229">
        <f t="shared" ca="1" si="183"/>
        <v>-1911036.7638353303</v>
      </c>
      <c r="AW118" s="1229">
        <f t="shared" ca="1" si="183"/>
        <v>-1913720.5336279988</v>
      </c>
      <c r="AX118" s="1229">
        <f t="shared" ca="1" si="183"/>
        <v>-1907795.4034537198</v>
      </c>
      <c r="AY118" s="1229">
        <f t="shared" ca="1" si="183"/>
        <v>-1915105.0138346092</v>
      </c>
      <c r="AZ118" s="1229">
        <f t="shared" ca="1" si="183"/>
        <v>-1930670.3917259194</v>
      </c>
      <c r="BA118" s="1229">
        <f t="shared" ca="1" si="183"/>
        <v>-1946362.280167382</v>
      </c>
      <c r="BB118" s="1229">
        <f t="shared" ca="1" si="183"/>
        <v>-1960645.1923917555</v>
      </c>
      <c r="BC118" s="1229">
        <f t="shared" ca="1" si="183"/>
        <v>-1967046.3577617719</v>
      </c>
      <c r="BD118" s="1229">
        <f t="shared" ca="1" si="183"/>
        <v>-1968457.9994961913</v>
      </c>
      <c r="BE118" s="1229">
        <f t="shared" ca="1" si="183"/>
        <v>-1969206.1626112438</v>
      </c>
      <c r="BF118" s="1229">
        <f t="shared" ca="1" si="183"/>
        <v>-1968605.538514229</v>
      </c>
      <c r="BG118" s="1229">
        <f t="shared" ca="1" si="183"/>
        <v>-1975630.7832560642</v>
      </c>
      <c r="BH118" s="1229">
        <f t="shared" ca="1" si="183"/>
        <v>-1982973.7500259578</v>
      </c>
      <c r="BI118" s="1229">
        <f t="shared" ca="1" si="183"/>
        <v>-1986170.0255194032</v>
      </c>
      <c r="BJ118" s="1229">
        <f t="shared" ca="1" si="183"/>
        <v>-1980639.9399883866</v>
      </c>
      <c r="BK118" s="1229">
        <f t="shared" ca="1" si="183"/>
        <v>-1988539.3907449257</v>
      </c>
      <c r="BL118" s="1229">
        <f t="shared" ca="1" si="183"/>
        <v>-2004701.6204112379</v>
      </c>
      <c r="BM118" s="1229">
        <f t="shared" ca="1" si="183"/>
        <v>-2020995.2116532887</v>
      </c>
      <c r="BN118" s="1229">
        <f t="shared" ca="1" si="183"/>
        <v>-2036357.4716661007</v>
      </c>
      <c r="BO118" s="1229">
        <f t="shared" ca="1" si="183"/>
        <v>-2041393.7426355765</v>
      </c>
      <c r="BP118" s="1229">
        <f t="shared" ca="1" si="183"/>
        <v>-2043033.8561445461</v>
      </c>
      <c r="BQ118" s="1229">
        <f t="shared" ca="1" si="183"/>
        <v>-2044014.946768098</v>
      </c>
      <c r="BR118" s="1229">
        <f t="shared" ca="1" si="183"/>
        <v>-2043614.5534892105</v>
      </c>
      <c r="BS118" s="1229">
        <f t="shared" ca="1" si="183"/>
        <v>-2050973.1577121005</v>
      </c>
      <c r="BT118" s="1229">
        <f t="shared" ca="1" si="183"/>
        <v>-2058655.399484579</v>
      </c>
      <c r="BU118" s="1229">
        <f t="shared" ca="1" si="183"/>
        <v>-2062116.1280324347</v>
      </c>
      <c r="BV118" s="1229">
        <f t="shared" ca="1" si="183"/>
        <v>-2056731.790718786</v>
      </c>
      <c r="BW118" s="1229">
        <f t="shared" ca="1" si="183"/>
        <v>-2064969.143451137</v>
      </c>
      <c r="BX118" s="1229">
        <f t="shared" ca="1" si="183"/>
        <v>-2081752.5703752588</v>
      </c>
      <c r="BY118" s="1229">
        <f t="shared" ca="1" si="183"/>
        <v>-2098672.4077732177</v>
      </c>
      <c r="BZ118" s="1229">
        <f t="shared" ca="1" si="183"/>
        <v>-2114073.0112956832</v>
      </c>
      <c r="CA118" s="1229">
        <f t="shared" ca="1" si="183"/>
        <v>-2120595.040032282</v>
      </c>
      <c r="CB118" s="1229">
        <f t="shared" ca="1" si="183"/>
        <v>-2122516.0655105417</v>
      </c>
      <c r="CC118" s="1229">
        <f t="shared" ca="1" si="183"/>
        <v>-2123784.2828741418</v>
      </c>
      <c r="CD118" s="1229">
        <f t="shared" ca="1" si="183"/>
        <v>-2123637.3250551815</v>
      </c>
      <c r="CE118" s="1229">
        <f t="shared" ca="1" si="183"/>
        <v>-2131384.5389600531</v>
      </c>
      <c r="CF118" s="1229">
        <f t="shared" ca="1" si="183"/>
        <v>-2139461.7127965312</v>
      </c>
      <c r="CG118" s="1229">
        <f t="shared" ca="1" si="183"/>
        <v>-2143241.5113891074</v>
      </c>
      <c r="CH118" s="1229">
        <f t="shared" ca="1" si="183"/>
        <v>-2138059.2324462752</v>
      </c>
      <c r="CI118" s="1229">
        <f t="shared" ca="1" si="183"/>
        <v>-2146689.9405264012</v>
      </c>
      <c r="CJ118" s="1229">
        <f t="shared" ca="1" si="183"/>
        <v>-2164137.568671274</v>
      </c>
      <c r="CK118" s="1229">
        <f t="shared" ca="1" si="183"/>
        <v>-2181727.005710918</v>
      </c>
      <c r="CL118" s="1229">
        <f t="shared" ca="1" si="183"/>
        <v>-2197737.0854569324</v>
      </c>
      <c r="CM118" s="1229">
        <f t="shared" ca="1" si="183"/>
        <v>-2204318.8836876843</v>
      </c>
      <c r="CN118" s="1229">
        <f t="shared" ca="1" si="183"/>
        <v>-2206571.8435530849</v>
      </c>
      <c r="CO118" s="1229">
        <f t="shared" ca="1" si="183"/>
        <v>-2208179.8889546832</v>
      </c>
      <c r="CP118" s="1229">
        <f t="shared" ca="1" si="183"/>
        <v>-2208073.6122183511</v>
      </c>
      <c r="CQ118" s="1229">
        <f t="shared" ca="1" si="183"/>
        <v>-2215996.3951854436</v>
      </c>
      <c r="CR118" s="1229">
        <f t="shared" ref="CR118:DY118" ca="1" si="184">SUM(CR116:CR117)</f>
        <v>-2224253.6813250771</v>
      </c>
      <c r="CS118" s="1229">
        <f t="shared" ca="1" si="184"/>
        <v>-2228134.8348588869</v>
      </c>
      <c r="CT118" s="1229">
        <f t="shared" ca="1" si="184"/>
        <v>-2222936.1998354825</v>
      </c>
      <c r="CU118" s="1229">
        <f t="shared" ca="1" si="184"/>
        <v>-2231739.0168658518</v>
      </c>
      <c r="CV118" s="1229">
        <f t="shared" ca="1" si="184"/>
        <v>-2249877.89745013</v>
      </c>
      <c r="CW118" s="1229">
        <f t="shared" ca="1" si="184"/>
        <v>-2268164.205214004</v>
      </c>
      <c r="CX118" s="1229">
        <f t="shared" ca="1" si="184"/>
        <v>-2284808.5835929108</v>
      </c>
      <c r="CY118" s="1229">
        <f t="shared" ca="1" si="184"/>
        <v>-2288229.9071644293</v>
      </c>
      <c r="CZ118" s="1229">
        <f t="shared" ca="1" si="184"/>
        <v>-2289642.5636213822</v>
      </c>
      <c r="DA118" s="1229">
        <f t="shared" ca="1" si="184"/>
        <v>-2290388.2594035044</v>
      </c>
      <c r="DB118" s="1229">
        <f t="shared" ca="1" si="184"/>
        <v>-2291656.7607081691</v>
      </c>
      <c r="DC118" s="1229">
        <f t="shared" ca="1" si="184"/>
        <v>-2301210.594831408</v>
      </c>
      <c r="DD118" s="1229">
        <f t="shared" ca="1" si="184"/>
        <v>-2311120.2920813793</v>
      </c>
      <c r="DE118" s="1229">
        <f t="shared" ca="1" si="184"/>
        <v>-2316528.6888298588</v>
      </c>
      <c r="DF118" s="1229">
        <f t="shared" ca="1" si="184"/>
        <v>-2312601.6707994109</v>
      </c>
      <c r="DG118" s="1229">
        <f t="shared" ca="1" si="184"/>
        <v>-2323101.7033607871</v>
      </c>
      <c r="DH118" s="1229">
        <f t="shared" ca="1" si="184"/>
        <v>-2341983.1514440724</v>
      </c>
      <c r="DI118" s="1229">
        <f t="shared" ca="1" si="184"/>
        <v>-2361018.0620646225</v>
      </c>
      <c r="DJ118" s="1229">
        <f t="shared" ca="1" si="184"/>
        <v>-2378964.9493977749</v>
      </c>
      <c r="DK118" s="1229">
        <f t="shared" ca="1" si="184"/>
        <v>-2386032.4894111766</v>
      </c>
      <c r="DL118" s="1229">
        <f t="shared" ca="1" si="184"/>
        <v>-2388969.2456820416</v>
      </c>
      <c r="DM118" s="1229">
        <f t="shared" ca="1" si="184"/>
        <v>-2391238.7495368738</v>
      </c>
      <c r="DN118" s="1229">
        <f t="shared" ca="1" si="184"/>
        <v>-2392113.1750897677</v>
      </c>
      <c r="DO118" s="1229">
        <f t="shared" ca="1" si="184"/>
        <v>-2401526.4405419491</v>
      </c>
      <c r="DP118" s="1229">
        <f t="shared" ca="1" si="184"/>
        <v>-2411302.7729984615</v>
      </c>
      <c r="DQ118" s="1229">
        <f t="shared" ca="1" si="184"/>
        <v>-2416431.1459172573</v>
      </c>
      <c r="DR118" s="1229">
        <f t="shared" ca="1" si="184"/>
        <v>-2411948.5667196787</v>
      </c>
      <c r="DS118" s="1229">
        <f t="shared" ca="1" si="184"/>
        <v>-2422314.40357851</v>
      </c>
      <c r="DT118" s="1229">
        <f t="shared" ca="1" si="184"/>
        <v>-2442002.2216307265</v>
      </c>
      <c r="DU118" s="1229">
        <f t="shared" ca="1" si="184"/>
        <v>-2461850.0561445076</v>
      </c>
      <c r="DV118" s="1229">
        <f t="shared" ca="1" si="184"/>
        <v>-2479915.7516318131</v>
      </c>
      <c r="DW118" s="1229">
        <f t="shared" ca="1" si="184"/>
        <v>-2486420.7289504115</v>
      </c>
      <c r="DX118" s="1229">
        <f t="shared" ca="1" si="184"/>
        <v>-2488987.2560031782</v>
      </c>
      <c r="DY118" s="1229">
        <f t="shared" ca="1" si="184"/>
        <v>0</v>
      </c>
    </row>
    <row r="119" spans="4:129" s="1223" customFormat="1">
      <c r="D119" s="1237" t="s">
        <v>128</v>
      </c>
      <c r="E119" s="1238">
        <f ca="1">XIRR(J119:DY119,$J$14:$DY$14)</f>
        <v>0.10000000596046449</v>
      </c>
      <c r="F119" s="1237"/>
      <c r="G119" s="1239">
        <f ca="1">G114+G117</f>
        <v>2012908.8342952207</v>
      </c>
      <c r="H119" s="1239">
        <f>H114+H117</f>
        <v>0</v>
      </c>
      <c r="I119" s="1239"/>
      <c r="J119" s="1239">
        <f t="shared" ref="J119:BU119" ca="1" si="185">J114+J117</f>
        <v>-519999.99999999988</v>
      </c>
      <c r="K119" s="1239">
        <f t="shared" ca="1" si="185"/>
        <v>-39115.300715178309</v>
      </c>
      <c r="L119" s="1239">
        <f t="shared" ca="1" si="185"/>
        <v>-275073.73328289628</v>
      </c>
      <c r="M119" s="1239">
        <f t="shared" ca="1" si="185"/>
        <v>-275073.73328289628</v>
      </c>
      <c r="N119" s="1239">
        <f t="shared" ca="1" si="185"/>
        <v>-275073.73328289628</v>
      </c>
      <c r="O119" s="1239">
        <f t="shared" ca="1" si="185"/>
        <v>-275073.73328289628</v>
      </c>
      <c r="P119" s="1239">
        <f t="shared" ca="1" si="185"/>
        <v>-275073.73328289628</v>
      </c>
      <c r="Q119" s="1239">
        <f t="shared" ca="1" si="185"/>
        <v>-264886.24467854161</v>
      </c>
      <c r="R119" s="1239">
        <f t="shared" ca="1" si="185"/>
        <v>0</v>
      </c>
      <c r="S119" s="1239">
        <f t="shared" ca="1" si="185"/>
        <v>0</v>
      </c>
      <c r="T119" s="1239">
        <f t="shared" ca="1" si="185"/>
        <v>0</v>
      </c>
      <c r="U119" s="1239">
        <f t="shared" ca="1" si="185"/>
        <v>0</v>
      </c>
      <c r="V119" s="1239">
        <f t="shared" ca="1" si="185"/>
        <v>0</v>
      </c>
      <c r="W119" s="1239">
        <f t="shared" ca="1" si="185"/>
        <v>0</v>
      </c>
      <c r="X119" s="1239">
        <f t="shared" ca="1" si="185"/>
        <v>0</v>
      </c>
      <c r="Y119" s="1239">
        <f t="shared" ca="1" si="185"/>
        <v>0</v>
      </c>
      <c r="Z119" s="1239">
        <f t="shared" ca="1" si="185"/>
        <v>0</v>
      </c>
      <c r="AA119" s="1239">
        <f t="shared" ca="1" si="185"/>
        <v>0</v>
      </c>
      <c r="AB119" s="1239">
        <f t="shared" ca="1" si="185"/>
        <v>0</v>
      </c>
      <c r="AC119" s="1239">
        <f t="shared" ca="1" si="185"/>
        <v>0</v>
      </c>
      <c r="AD119" s="1239">
        <f t="shared" ca="1" si="185"/>
        <v>0</v>
      </c>
      <c r="AE119" s="1239">
        <f t="shared" ca="1" si="185"/>
        <v>0</v>
      </c>
      <c r="AF119" s="1239">
        <f t="shared" ca="1" si="185"/>
        <v>0</v>
      </c>
      <c r="AG119" s="1239">
        <f t="shared" ca="1" si="185"/>
        <v>0</v>
      </c>
      <c r="AH119" s="1239">
        <f t="shared" ca="1" si="185"/>
        <v>0</v>
      </c>
      <c r="AI119" s="1239">
        <f t="shared" ca="1" si="185"/>
        <v>828262.18027114926</v>
      </c>
      <c r="AJ119" s="1239">
        <f t="shared" ca="1" si="185"/>
        <v>0</v>
      </c>
      <c r="AK119" s="1239">
        <f t="shared" ca="1" si="185"/>
        <v>785.97251549276154</v>
      </c>
      <c r="AL119" s="1239">
        <f t="shared" ca="1" si="185"/>
        <v>10915.459830630127</v>
      </c>
      <c r="AM119" s="1239">
        <f t="shared" ca="1" si="185"/>
        <v>652.65311953254604</v>
      </c>
      <c r="AN119" s="1239">
        <f t="shared" ca="1" si="185"/>
        <v>0</v>
      </c>
      <c r="AO119" s="1239">
        <f t="shared" ca="1" si="185"/>
        <v>0</v>
      </c>
      <c r="AP119" s="1239">
        <f t="shared" ca="1" si="185"/>
        <v>0</v>
      </c>
      <c r="AQ119" s="1239">
        <f t="shared" ca="1" si="185"/>
        <v>0</v>
      </c>
      <c r="AR119" s="1239">
        <f t="shared" ca="1" si="185"/>
        <v>5887.3429848790229</v>
      </c>
      <c r="AS119" s="1239">
        <f t="shared" ca="1" si="185"/>
        <v>13979.169164142888</v>
      </c>
      <c r="AT119" s="1239">
        <f t="shared" ca="1" si="185"/>
        <v>15976.965777109181</v>
      </c>
      <c r="AU119" s="1239">
        <f t="shared" ca="1" si="185"/>
        <v>8975.9594867420874</v>
      </c>
      <c r="AV119" s="1239">
        <f t="shared" ca="1" si="185"/>
        <v>8718.5795961210333</v>
      </c>
      <c r="AW119" s="1239">
        <f t="shared" ca="1" si="185"/>
        <v>12345.535304279763</v>
      </c>
      <c r="AX119" s="1239">
        <f t="shared" ca="1" si="185"/>
        <v>21479.255441089164</v>
      </c>
      <c r="AY119" s="1239">
        <f t="shared" ca="1" si="185"/>
        <v>7694.203111173917</v>
      </c>
      <c r="AZ119" s="1239">
        <f t="shared" ca="1" si="185"/>
        <v>0</v>
      </c>
      <c r="BA119" s="1239">
        <f t="shared" ca="1" si="185"/>
        <v>0</v>
      </c>
      <c r="BB119" s="1239">
        <f t="shared" ca="1" si="185"/>
        <v>0</v>
      </c>
      <c r="BC119" s="1239">
        <f t="shared" ca="1" si="185"/>
        <v>9534.3489281013426</v>
      </c>
      <c r="BD119" s="1239">
        <f t="shared" ca="1" si="185"/>
        <v>14058.149538099615</v>
      </c>
      <c r="BE119" s="1239">
        <f t="shared" ca="1" si="185"/>
        <v>15250.851249168249</v>
      </c>
      <c r="BF119" s="1239">
        <f t="shared" ca="1" si="185"/>
        <v>16087.401105573255</v>
      </c>
      <c r="BG119" s="1239">
        <f t="shared" ca="1" si="185"/>
        <v>8974.968773634535</v>
      </c>
      <c r="BH119" s="1239">
        <f t="shared" ca="1" si="185"/>
        <v>8714.3457497537202</v>
      </c>
      <c r="BI119" s="1239">
        <f t="shared" ca="1" si="185"/>
        <v>12398.776392719035</v>
      </c>
      <c r="BJ119" s="1239">
        <f t="shared" ca="1" si="185"/>
        <v>21673.05773372679</v>
      </c>
      <c r="BK119" s="1239">
        <f t="shared" ca="1" si="185"/>
        <v>7677.2469337475586</v>
      </c>
      <c r="BL119" s="1239">
        <f t="shared" ca="1" si="185"/>
        <v>0</v>
      </c>
      <c r="BM119" s="1239">
        <f t="shared" ca="1" si="185"/>
        <v>0</v>
      </c>
      <c r="BN119" s="1239">
        <f t="shared" ca="1" si="185"/>
        <v>0</v>
      </c>
      <c r="BO119" s="1239">
        <f t="shared" ca="1" si="185"/>
        <v>11514.609185555539</v>
      </c>
      <c r="BP119" s="1239">
        <f t="shared" ca="1" si="185"/>
        <v>14414.3810783019</v>
      </c>
      <c r="BQ119" s="1239">
        <f t="shared" ca="1" si="185"/>
        <v>15624.0531079432</v>
      </c>
      <c r="BR119" s="1239">
        <f t="shared" ca="1" si="185"/>
        <v>16475.502266349835</v>
      </c>
      <c r="BS119" s="1239">
        <f t="shared" ca="1" si="185"/>
        <v>9251.2592360065373</v>
      </c>
      <c r="BT119" s="1239">
        <f t="shared" ca="1" si="185"/>
        <v>8987.4301327718931</v>
      </c>
      <c r="BU119" s="1239">
        <f t="shared" ca="1" si="185"/>
        <v>12729.519946494864</v>
      </c>
      <c r="BV119" s="1239">
        <f t="shared" ref="BV119:DY119" ca="1" si="186">BV114+BV117</f>
        <v>22144.575815829765</v>
      </c>
      <c r="BW119" s="1239">
        <f t="shared" ca="1" si="186"/>
        <v>7937.7675846796174</v>
      </c>
      <c r="BX119" s="1239">
        <f t="shared" ca="1" si="186"/>
        <v>0</v>
      </c>
      <c r="BY119" s="1239">
        <f t="shared" ca="1" si="186"/>
        <v>0</v>
      </c>
      <c r="BZ119" s="1239">
        <f t="shared" ca="1" si="186"/>
        <v>0</v>
      </c>
      <c r="CA119" s="1239">
        <f t="shared" ca="1" si="186"/>
        <v>10660.499152433056</v>
      </c>
      <c r="CB119" s="1239">
        <f t="shared" ca="1" si="186"/>
        <v>14756.345908231708</v>
      </c>
      <c r="CC119" s="1239">
        <f t="shared" ca="1" si="186"/>
        <v>15982.933044020103</v>
      </c>
      <c r="CD119" s="1239">
        <f t="shared" ca="1" si="186"/>
        <v>16849.410933132422</v>
      </c>
      <c r="CE119" s="1239">
        <f t="shared" ca="1" si="186"/>
        <v>9513.0497515790139</v>
      </c>
      <c r="CF119" s="1239">
        <f t="shared" ca="1" si="186"/>
        <v>9246.0567649508357</v>
      </c>
      <c r="CG119" s="1239">
        <f t="shared" ca="1" si="186"/>
        <v>13045.949312098252</v>
      </c>
      <c r="CH119" s="1239">
        <f t="shared" ca="1" si="186"/>
        <v>22601.879328252984</v>
      </c>
      <c r="CI119" s="1239">
        <f t="shared" ca="1" si="186"/>
        <v>8184.0100497816775</v>
      </c>
      <c r="CJ119" s="1239">
        <f t="shared" ca="1" si="186"/>
        <v>0</v>
      </c>
      <c r="CK119" s="1239">
        <f t="shared" ca="1" si="186"/>
        <v>0</v>
      </c>
      <c r="CL119" s="1239">
        <f t="shared" ca="1" si="186"/>
        <v>0</v>
      </c>
      <c r="CM119" s="1239">
        <f t="shared" ca="1" si="186"/>
        <v>11280.725230762162</v>
      </c>
      <c r="CN119" s="1239">
        <f t="shared" ca="1" si="186"/>
        <v>15082.855782341228</v>
      </c>
      <c r="CO119" s="1239">
        <f t="shared" ca="1" si="186"/>
        <v>16326.284225818856</v>
      </c>
      <c r="CP119" s="1239">
        <f t="shared" ca="1" si="186"/>
        <v>17472.457172044975</v>
      </c>
      <c r="CQ119" s="1239">
        <f t="shared" ca="1" si="186"/>
        <v>10023.752568936141</v>
      </c>
      <c r="CR119" s="1239">
        <f t="shared" ca="1" si="186"/>
        <v>9753.6433121037207</v>
      </c>
      <c r="CS119" s="1239">
        <f t="shared" ca="1" si="186"/>
        <v>13611.438875848713</v>
      </c>
      <c r="CT119" s="1239">
        <f t="shared" ca="1" si="186"/>
        <v>23308.221937350096</v>
      </c>
      <c r="CU119" s="1239">
        <f t="shared" ca="1" si="186"/>
        <v>8679.4140761263716</v>
      </c>
      <c r="CV119" s="1239">
        <f t="shared" ca="1" si="186"/>
        <v>0</v>
      </c>
      <c r="CW119" s="1239">
        <f t="shared" ca="1" si="186"/>
        <v>0</v>
      </c>
      <c r="CX119" s="1239">
        <f t="shared" ca="1" si="186"/>
        <v>0</v>
      </c>
      <c r="CY119" s="1239">
        <f t="shared" ca="1" si="186"/>
        <v>15148.88994472288</v>
      </c>
      <c r="CZ119" s="1239">
        <f t="shared" ca="1" si="186"/>
        <v>16583.075523480631</v>
      </c>
      <c r="DA119" s="1239">
        <f t="shared" ca="1" si="186"/>
        <v>17863.80682026258</v>
      </c>
      <c r="DB119" s="1239">
        <f t="shared" ca="1" si="186"/>
        <v>16744.204987787063</v>
      </c>
      <c r="DC119" s="1239">
        <f t="shared" ca="1" si="186"/>
        <v>9072.0392465849982</v>
      </c>
      <c r="DD119" s="1239">
        <f t="shared" ca="1" si="186"/>
        <v>8793.8267120476175</v>
      </c>
      <c r="DE119" s="1239">
        <f t="shared" ca="1" si="186"/>
        <v>12767.356142704941</v>
      </c>
      <c r="DF119" s="1239">
        <f t="shared" ca="1" si="186"/>
        <v>22755.042696051354</v>
      </c>
      <c r="DG119" s="1239">
        <f t="shared" ca="1" si="186"/>
        <v>7687.3705989909186</v>
      </c>
      <c r="DH119" s="1239">
        <f t="shared" ca="1" si="186"/>
        <v>0</v>
      </c>
      <c r="DI119" s="1239">
        <f t="shared" ca="1" si="186"/>
        <v>0</v>
      </c>
      <c r="DJ119" s="1239">
        <f t="shared" ca="1" si="186"/>
        <v>0</v>
      </c>
      <c r="DK119" s="1239">
        <f t="shared" ca="1" si="186"/>
        <v>12267.947158351002</v>
      </c>
      <c r="DL119" s="1239">
        <f t="shared" ca="1" si="186"/>
        <v>15828.141889765782</v>
      </c>
      <c r="DM119" s="1239">
        <f t="shared" ca="1" si="186"/>
        <v>17147.295125451226</v>
      </c>
      <c r="DN119" s="1239">
        <f t="shared" ca="1" si="186"/>
        <v>17931.417121900111</v>
      </c>
      <c r="DO119" s="1239">
        <f t="shared" ca="1" si="186"/>
        <v>10029.08640846199</v>
      </c>
      <c r="DP119" s="1239">
        <f t="shared" ca="1" si="186"/>
        <v>9742.5274978884554</v>
      </c>
      <c r="DQ119" s="1239">
        <f t="shared" ca="1" si="186"/>
        <v>13835.262811465534</v>
      </c>
      <c r="DR119" s="1239">
        <f t="shared" ca="1" si="186"/>
        <v>24122.579961412361</v>
      </c>
      <c r="DS119" s="1239">
        <f t="shared" ca="1" si="186"/>
        <v>8602.8777014400948</v>
      </c>
      <c r="DT119" s="1239">
        <f t="shared" ca="1" si="186"/>
        <v>0</v>
      </c>
      <c r="DU119" s="1239">
        <f t="shared" ca="1" si="186"/>
        <v>0</v>
      </c>
      <c r="DV119" s="1239">
        <f t="shared" ca="1" si="186"/>
        <v>0</v>
      </c>
      <c r="DW119" s="1239">
        <f t="shared" ca="1" si="186"/>
        <v>13651.006574666942</v>
      </c>
      <c r="DX119" s="1239">
        <f t="shared" ca="1" si="186"/>
        <v>16987.872130938227</v>
      </c>
      <c r="DY119" s="1239">
        <f t="shared" ca="1" si="186"/>
        <v>2509216.9702624353</v>
      </c>
    </row>
    <row r="120" spans="4:129" s="1223" customFormat="1">
      <c r="D120" s="1227"/>
      <c r="E120" s="1227"/>
      <c r="F120" s="1227"/>
      <c r="G120" s="1229"/>
      <c r="H120" s="1229"/>
      <c r="I120" s="1229"/>
      <c r="J120" s="1229"/>
      <c r="K120" s="1229"/>
      <c r="L120" s="1229"/>
      <c r="M120" s="1229"/>
      <c r="N120" s="1229"/>
      <c r="O120" s="1229"/>
      <c r="P120" s="1229"/>
      <c r="Q120" s="1229"/>
      <c r="R120" s="1229"/>
      <c r="S120" s="1229"/>
      <c r="T120" s="1229"/>
      <c r="U120" s="1229"/>
      <c r="V120" s="1229"/>
      <c r="W120" s="1229"/>
      <c r="X120" s="1229"/>
      <c r="Y120" s="1229"/>
      <c r="Z120" s="1229"/>
      <c r="AA120" s="1229"/>
      <c r="AB120" s="1229"/>
      <c r="AC120" s="1229"/>
      <c r="AD120" s="1229"/>
      <c r="AE120" s="1229"/>
      <c r="AF120" s="1229"/>
      <c r="AG120" s="1229"/>
      <c r="AH120" s="1229"/>
      <c r="AI120" s="1229"/>
      <c r="AJ120" s="1229"/>
      <c r="AK120" s="1229"/>
      <c r="AL120" s="1229"/>
      <c r="AM120" s="1229"/>
      <c r="AN120" s="1229"/>
      <c r="AO120" s="1229"/>
      <c r="AP120" s="1229"/>
      <c r="AQ120" s="1229"/>
      <c r="AR120" s="1229"/>
      <c r="AS120" s="1229"/>
      <c r="AT120" s="1229"/>
      <c r="AU120" s="1229"/>
      <c r="AV120" s="1229"/>
      <c r="AW120" s="1229"/>
      <c r="AX120" s="1229"/>
      <c r="AY120" s="1229"/>
      <c r="AZ120" s="1229"/>
      <c r="BA120" s="1229"/>
      <c r="BB120" s="1229"/>
      <c r="BC120" s="1229"/>
      <c r="BD120" s="1229"/>
      <c r="BE120" s="1229"/>
      <c r="BF120" s="1229"/>
      <c r="BG120" s="1229"/>
      <c r="BH120" s="1229"/>
      <c r="BI120" s="1229"/>
      <c r="BJ120" s="1229"/>
      <c r="BK120" s="1229"/>
      <c r="BL120" s="1229"/>
      <c r="BM120" s="1229"/>
      <c r="BN120" s="1229"/>
      <c r="BO120" s="1229"/>
      <c r="BP120" s="1229"/>
      <c r="BQ120" s="1229"/>
      <c r="BR120" s="1229"/>
      <c r="BS120" s="1229"/>
      <c r="BT120" s="1229"/>
      <c r="BU120" s="1229"/>
      <c r="BV120" s="1229"/>
      <c r="BW120" s="1229"/>
      <c r="BX120" s="1229"/>
      <c r="BY120" s="1229"/>
      <c r="BZ120" s="1229"/>
      <c r="CA120" s="1229"/>
      <c r="CB120" s="1229"/>
      <c r="CC120" s="1229"/>
      <c r="CD120" s="1229"/>
      <c r="CE120" s="1229"/>
      <c r="CF120" s="1229"/>
      <c r="CG120" s="1229"/>
      <c r="CH120" s="1229"/>
      <c r="CI120" s="1229"/>
      <c r="CJ120" s="1229"/>
      <c r="CK120" s="1229"/>
      <c r="CL120" s="1229"/>
      <c r="CM120" s="1229"/>
      <c r="CN120" s="1229"/>
      <c r="CO120" s="1229"/>
      <c r="CP120" s="1229"/>
      <c r="CQ120" s="1229"/>
      <c r="CR120" s="1229"/>
      <c r="CS120" s="1229"/>
      <c r="CT120" s="1229"/>
      <c r="CU120" s="1229"/>
      <c r="CV120" s="1229"/>
      <c r="CW120" s="1229"/>
      <c r="CX120" s="1229"/>
      <c r="CY120" s="1229"/>
      <c r="CZ120" s="1229"/>
      <c r="DA120" s="1229"/>
      <c r="DB120" s="1229"/>
      <c r="DC120" s="1229"/>
      <c r="DD120" s="1229"/>
      <c r="DE120" s="1229"/>
      <c r="DF120" s="1229"/>
      <c r="DG120" s="1229"/>
      <c r="DH120" s="1229"/>
      <c r="DI120" s="1229"/>
      <c r="DJ120" s="1229"/>
      <c r="DK120" s="1229"/>
      <c r="DL120" s="1229"/>
      <c r="DM120" s="1229"/>
      <c r="DN120" s="1229"/>
      <c r="DO120" s="1229"/>
      <c r="DP120" s="1229"/>
      <c r="DQ120" s="1229"/>
      <c r="DR120" s="1229"/>
      <c r="DS120" s="1229"/>
      <c r="DT120" s="1229"/>
      <c r="DU120" s="1229"/>
      <c r="DV120" s="1229"/>
      <c r="DW120" s="1229"/>
      <c r="DX120" s="1229"/>
      <c r="DY120" s="1229"/>
    </row>
    <row r="121" spans="4:129" s="1223" customFormat="1">
      <c r="D121" s="1240" t="s">
        <v>674</v>
      </c>
      <c r="E121" s="1228">
        <f>E106</f>
        <v>0.9</v>
      </c>
      <c r="F121" s="1227"/>
      <c r="G121" s="1229">
        <f ca="1">SUM(J121:DY121)</f>
        <v>3791051.1414930802</v>
      </c>
      <c r="H121" s="1229">
        <f t="shared" ref="H121" si="187">H117*$E$146</f>
        <v>0</v>
      </c>
      <c r="I121" s="1229"/>
      <c r="J121" s="1229">
        <f ca="1">J117*$E$121</f>
        <v>0</v>
      </c>
      <c r="K121" s="1229">
        <f t="shared" ref="K121:BV121" ca="1" si="188">K117*$E$121</f>
        <v>0</v>
      </c>
      <c r="L121" s="1229">
        <f t="shared" ca="1" si="188"/>
        <v>0</v>
      </c>
      <c r="M121" s="1229">
        <f t="shared" ca="1" si="188"/>
        <v>0</v>
      </c>
      <c r="N121" s="1229">
        <f t="shared" ca="1" si="188"/>
        <v>0</v>
      </c>
      <c r="O121" s="1229">
        <f t="shared" ca="1" si="188"/>
        <v>0</v>
      </c>
      <c r="P121" s="1229">
        <f t="shared" ca="1" si="188"/>
        <v>0</v>
      </c>
      <c r="Q121" s="1229">
        <f t="shared" ca="1" si="188"/>
        <v>0</v>
      </c>
      <c r="R121" s="1229">
        <f t="shared" ca="1" si="188"/>
        <v>0</v>
      </c>
      <c r="S121" s="1229">
        <f t="shared" ca="1" si="188"/>
        <v>0</v>
      </c>
      <c r="T121" s="1229">
        <f t="shared" ca="1" si="188"/>
        <v>0</v>
      </c>
      <c r="U121" s="1229">
        <f t="shared" ca="1" si="188"/>
        <v>0</v>
      </c>
      <c r="V121" s="1229">
        <f t="shared" ca="1" si="188"/>
        <v>0</v>
      </c>
      <c r="W121" s="1229">
        <f t="shared" ca="1" si="188"/>
        <v>0</v>
      </c>
      <c r="X121" s="1229">
        <f t="shared" ca="1" si="188"/>
        <v>0</v>
      </c>
      <c r="Y121" s="1229">
        <f t="shared" ca="1" si="188"/>
        <v>0</v>
      </c>
      <c r="Z121" s="1229">
        <f t="shared" ca="1" si="188"/>
        <v>0</v>
      </c>
      <c r="AA121" s="1229">
        <f t="shared" ca="1" si="188"/>
        <v>0</v>
      </c>
      <c r="AB121" s="1229">
        <f t="shared" ca="1" si="188"/>
        <v>0</v>
      </c>
      <c r="AC121" s="1229">
        <f t="shared" ca="1" si="188"/>
        <v>0</v>
      </c>
      <c r="AD121" s="1229">
        <f t="shared" ca="1" si="188"/>
        <v>0</v>
      </c>
      <c r="AE121" s="1229">
        <f t="shared" ca="1" si="188"/>
        <v>0</v>
      </c>
      <c r="AF121" s="1229">
        <f t="shared" ca="1" si="188"/>
        <v>0</v>
      </c>
      <c r="AG121" s="1229">
        <f t="shared" ca="1" si="188"/>
        <v>0</v>
      </c>
      <c r="AH121" s="1229">
        <f t="shared" ca="1" si="188"/>
        <v>0</v>
      </c>
      <c r="AI121" s="1229">
        <f t="shared" ca="1" si="188"/>
        <v>745435.9622440344</v>
      </c>
      <c r="AJ121" s="1229">
        <f t="shared" ca="1" si="188"/>
        <v>0</v>
      </c>
      <c r="AK121" s="1229">
        <f t="shared" ca="1" si="188"/>
        <v>707.37526394348538</v>
      </c>
      <c r="AL121" s="1229">
        <f t="shared" ca="1" si="188"/>
        <v>9823.9138475671152</v>
      </c>
      <c r="AM121" s="1229">
        <f t="shared" ca="1" si="188"/>
        <v>587.38780757929146</v>
      </c>
      <c r="AN121" s="1229">
        <f t="shared" ca="1" si="188"/>
        <v>0</v>
      </c>
      <c r="AO121" s="1229">
        <f t="shared" ca="1" si="188"/>
        <v>0</v>
      </c>
      <c r="AP121" s="1229">
        <f t="shared" ca="1" si="188"/>
        <v>0</v>
      </c>
      <c r="AQ121" s="1229">
        <f t="shared" ca="1" si="188"/>
        <v>0</v>
      </c>
      <c r="AR121" s="1229">
        <f t="shared" ca="1" si="188"/>
        <v>5298.6086863911205</v>
      </c>
      <c r="AS121" s="1229">
        <f t="shared" ca="1" si="188"/>
        <v>12581.2522477286</v>
      </c>
      <c r="AT121" s="1229">
        <f t="shared" ca="1" si="188"/>
        <v>14379.269199398263</v>
      </c>
      <c r="AU121" s="1229">
        <f t="shared" ca="1" si="188"/>
        <v>8078.3635380678788</v>
      </c>
      <c r="AV121" s="1229">
        <f t="shared" ca="1" si="188"/>
        <v>7846.7216365089298</v>
      </c>
      <c r="AW121" s="1229">
        <f t="shared" ca="1" si="188"/>
        <v>11110.981773851787</v>
      </c>
      <c r="AX121" s="1229">
        <f t="shared" ca="1" si="188"/>
        <v>19331.329896980249</v>
      </c>
      <c r="AY121" s="1229">
        <f t="shared" ca="1" si="188"/>
        <v>6924.782800056525</v>
      </c>
      <c r="AZ121" s="1229">
        <f t="shared" ca="1" si="188"/>
        <v>0</v>
      </c>
      <c r="BA121" s="1229">
        <f t="shared" ca="1" si="188"/>
        <v>0</v>
      </c>
      <c r="BB121" s="1229">
        <f t="shared" ca="1" si="188"/>
        <v>0</v>
      </c>
      <c r="BC121" s="1229">
        <f t="shared" ca="1" si="188"/>
        <v>8580.9140352912091</v>
      </c>
      <c r="BD121" s="1229">
        <f t="shared" ca="1" si="188"/>
        <v>12652.334584289654</v>
      </c>
      <c r="BE121" s="1229">
        <f t="shared" ca="1" si="188"/>
        <v>13725.766124251424</v>
      </c>
      <c r="BF121" s="1229">
        <f t="shared" ca="1" si="188"/>
        <v>14478.660995015931</v>
      </c>
      <c r="BG121" s="1229">
        <f t="shared" ca="1" si="188"/>
        <v>8077.4718962710813</v>
      </c>
      <c r="BH121" s="1229">
        <f t="shared" ca="1" si="188"/>
        <v>7842.9111747783481</v>
      </c>
      <c r="BI121" s="1229">
        <f t="shared" ca="1" si="188"/>
        <v>11158.898753447133</v>
      </c>
      <c r="BJ121" s="1229">
        <f t="shared" ca="1" si="188"/>
        <v>19505.751960354111</v>
      </c>
      <c r="BK121" s="1229">
        <f t="shared" ca="1" si="188"/>
        <v>6909.522240372803</v>
      </c>
      <c r="BL121" s="1229">
        <f t="shared" ca="1" si="188"/>
        <v>0</v>
      </c>
      <c r="BM121" s="1229">
        <f t="shared" ca="1" si="188"/>
        <v>0</v>
      </c>
      <c r="BN121" s="1229">
        <f t="shared" ca="1" si="188"/>
        <v>0</v>
      </c>
      <c r="BO121" s="1229">
        <f t="shared" ca="1" si="188"/>
        <v>10363.148266999986</v>
      </c>
      <c r="BP121" s="1229">
        <f t="shared" ca="1" si="188"/>
        <v>12972.942970471709</v>
      </c>
      <c r="BQ121" s="1229">
        <f t="shared" ca="1" si="188"/>
        <v>14061.64779714888</v>
      </c>
      <c r="BR121" s="1229">
        <f t="shared" ca="1" si="188"/>
        <v>14827.952039714852</v>
      </c>
      <c r="BS121" s="1229">
        <f t="shared" ca="1" si="188"/>
        <v>8326.1333124058838</v>
      </c>
      <c r="BT121" s="1229">
        <f t="shared" ca="1" si="188"/>
        <v>8088.6871194947043</v>
      </c>
      <c r="BU121" s="1229">
        <f t="shared" ca="1" si="188"/>
        <v>11456.567951845378</v>
      </c>
      <c r="BV121" s="1229">
        <f t="shared" ca="1" si="188"/>
        <v>19930.118234246787</v>
      </c>
      <c r="BW121" s="1229">
        <f t="shared" ref="BW121:DY121" ca="1" si="189">BW117*$E$121</f>
        <v>7143.990826211656</v>
      </c>
      <c r="BX121" s="1229">
        <f t="shared" ca="1" si="189"/>
        <v>0</v>
      </c>
      <c r="BY121" s="1229">
        <f t="shared" ca="1" si="189"/>
        <v>0</v>
      </c>
      <c r="BZ121" s="1229">
        <f t="shared" ca="1" si="189"/>
        <v>0</v>
      </c>
      <c r="CA121" s="1229">
        <f t="shared" ca="1" si="189"/>
        <v>9594.4492371897504</v>
      </c>
      <c r="CB121" s="1229">
        <f t="shared" ca="1" si="189"/>
        <v>13280.711317408537</v>
      </c>
      <c r="CC121" s="1229">
        <f t="shared" ca="1" si="189"/>
        <v>14384.639739618093</v>
      </c>
      <c r="CD121" s="1229">
        <f t="shared" ca="1" si="189"/>
        <v>15164.469839819179</v>
      </c>
      <c r="CE121" s="1229">
        <f t="shared" ca="1" si="189"/>
        <v>8561.744776421112</v>
      </c>
      <c r="CF121" s="1229">
        <f t="shared" ca="1" si="189"/>
        <v>8321.4510884557531</v>
      </c>
      <c r="CG121" s="1229">
        <f t="shared" ca="1" si="189"/>
        <v>11741.354380888426</v>
      </c>
      <c r="CH121" s="1229">
        <f t="shared" ca="1" si="189"/>
        <v>20341.691395427686</v>
      </c>
      <c r="CI121" s="1229">
        <f t="shared" ca="1" si="189"/>
        <v>7365.6090448035102</v>
      </c>
      <c r="CJ121" s="1229">
        <f t="shared" ca="1" si="189"/>
        <v>0</v>
      </c>
      <c r="CK121" s="1229">
        <f t="shared" ca="1" si="189"/>
        <v>0</v>
      </c>
      <c r="CL121" s="1229">
        <f t="shared" ca="1" si="189"/>
        <v>0</v>
      </c>
      <c r="CM121" s="1229">
        <f t="shared" ca="1" si="189"/>
        <v>10152.652707685946</v>
      </c>
      <c r="CN121" s="1229">
        <f t="shared" ca="1" si="189"/>
        <v>13574.570204107105</v>
      </c>
      <c r="CO121" s="1229">
        <f t="shared" ca="1" si="189"/>
        <v>14693.65580323697</v>
      </c>
      <c r="CP121" s="1229">
        <f t="shared" ca="1" si="189"/>
        <v>15725.211454840477</v>
      </c>
      <c r="CQ121" s="1229">
        <f t="shared" ca="1" si="189"/>
        <v>9021.3773120425267</v>
      </c>
      <c r="CR121" s="1229">
        <f t="shared" ca="1" si="189"/>
        <v>8778.2789808933485</v>
      </c>
      <c r="CS121" s="1229">
        <f t="shared" ca="1" si="189"/>
        <v>12250.294988263842</v>
      </c>
      <c r="CT121" s="1229">
        <f t="shared" ca="1" si="189"/>
        <v>20977.399743615086</v>
      </c>
      <c r="CU121" s="1229">
        <f t="shared" ca="1" si="189"/>
        <v>7811.4726685137348</v>
      </c>
      <c r="CV121" s="1229">
        <f t="shared" ca="1" si="189"/>
        <v>0</v>
      </c>
      <c r="CW121" s="1229">
        <f t="shared" ca="1" si="189"/>
        <v>0</v>
      </c>
      <c r="CX121" s="1229">
        <f t="shared" ca="1" si="189"/>
        <v>0</v>
      </c>
      <c r="CY121" s="1229">
        <f t="shared" ca="1" si="189"/>
        <v>13634.000950250593</v>
      </c>
      <c r="CZ121" s="1229">
        <f t="shared" ca="1" si="189"/>
        <v>14924.767971132569</v>
      </c>
      <c r="DA121" s="1229">
        <f t="shared" ca="1" si="189"/>
        <v>16077.426138236322</v>
      </c>
      <c r="DB121" s="1229">
        <f t="shared" ca="1" si="189"/>
        <v>15069.784489008358</v>
      </c>
      <c r="DC121" s="1229">
        <f t="shared" ca="1" si="189"/>
        <v>8164.8353219264982</v>
      </c>
      <c r="DD121" s="1229">
        <f t="shared" ca="1" si="189"/>
        <v>7914.4440408428563</v>
      </c>
      <c r="DE121" s="1229">
        <f t="shared" ca="1" si="189"/>
        <v>11490.620528434447</v>
      </c>
      <c r="DF121" s="1229">
        <f t="shared" ca="1" si="189"/>
        <v>20479.538426446219</v>
      </c>
      <c r="DG121" s="1229">
        <f t="shared" ca="1" si="189"/>
        <v>6918.6335390918266</v>
      </c>
      <c r="DH121" s="1229">
        <f t="shared" ca="1" si="189"/>
        <v>0</v>
      </c>
      <c r="DI121" s="1229">
        <f t="shared" ca="1" si="189"/>
        <v>0</v>
      </c>
      <c r="DJ121" s="1229">
        <f t="shared" ca="1" si="189"/>
        <v>0</v>
      </c>
      <c r="DK121" s="1229">
        <f t="shared" ca="1" si="189"/>
        <v>11041.152442515902</v>
      </c>
      <c r="DL121" s="1229">
        <f t="shared" ca="1" si="189"/>
        <v>14245.327700789205</v>
      </c>
      <c r="DM121" s="1229">
        <f t="shared" ca="1" si="189"/>
        <v>15432.565612906104</v>
      </c>
      <c r="DN121" s="1229">
        <f t="shared" ca="1" si="189"/>
        <v>16138.275409710101</v>
      </c>
      <c r="DO121" s="1229">
        <f t="shared" ca="1" si="189"/>
        <v>9026.1777676157908</v>
      </c>
      <c r="DP121" s="1229">
        <f t="shared" ca="1" si="189"/>
        <v>8768.2747480996095</v>
      </c>
      <c r="DQ121" s="1229">
        <f t="shared" ca="1" si="189"/>
        <v>12451.736530318982</v>
      </c>
      <c r="DR121" s="1229">
        <f t="shared" ca="1" si="189"/>
        <v>21710.321965271127</v>
      </c>
      <c r="DS121" s="1229">
        <f t="shared" ca="1" si="189"/>
        <v>7742.5899312960855</v>
      </c>
      <c r="DT121" s="1229">
        <f t="shared" ca="1" si="189"/>
        <v>0</v>
      </c>
      <c r="DU121" s="1229">
        <f t="shared" ca="1" si="189"/>
        <v>0</v>
      </c>
      <c r="DV121" s="1229">
        <f t="shared" ca="1" si="189"/>
        <v>0</v>
      </c>
      <c r="DW121" s="1229">
        <f t="shared" ca="1" si="189"/>
        <v>12285.905917200249</v>
      </c>
      <c r="DX121" s="1229">
        <f t="shared" ca="1" si="189"/>
        <v>15289.084917844404</v>
      </c>
      <c r="DY121" s="1229">
        <f t="shared" ca="1" si="189"/>
        <v>2258295.2732361918</v>
      </c>
    </row>
    <row r="122" spans="4:129" s="1223" customFormat="1">
      <c r="D122" s="1240" t="s">
        <v>102</v>
      </c>
      <c r="E122" s="1228">
        <f>E107</f>
        <v>9.9999999999999978E-2</v>
      </c>
      <c r="F122" s="1227"/>
      <c r="G122" s="1229">
        <f ca="1">SUM(J122:DY122)</f>
        <v>421227.90461034206</v>
      </c>
      <c r="H122" s="1229">
        <f t="shared" ref="H122" si="190">H117*$E$147</f>
        <v>0</v>
      </c>
      <c r="I122" s="1229"/>
      <c r="J122" s="1229">
        <f ca="1">J117*$E$122</f>
        <v>0</v>
      </c>
      <c r="K122" s="1229">
        <f t="shared" ref="K122:BV122" ca="1" si="191">K117*$E$122</f>
        <v>0</v>
      </c>
      <c r="L122" s="1229">
        <f t="shared" ca="1" si="191"/>
        <v>0</v>
      </c>
      <c r="M122" s="1229">
        <f t="shared" ca="1" si="191"/>
        <v>0</v>
      </c>
      <c r="N122" s="1229">
        <f t="shared" ca="1" si="191"/>
        <v>0</v>
      </c>
      <c r="O122" s="1229">
        <f t="shared" ca="1" si="191"/>
        <v>0</v>
      </c>
      <c r="P122" s="1229">
        <f t="shared" ca="1" si="191"/>
        <v>0</v>
      </c>
      <c r="Q122" s="1229">
        <f t="shared" ca="1" si="191"/>
        <v>0</v>
      </c>
      <c r="R122" s="1229">
        <f t="shared" ca="1" si="191"/>
        <v>0</v>
      </c>
      <c r="S122" s="1229">
        <f t="shared" ca="1" si="191"/>
        <v>0</v>
      </c>
      <c r="T122" s="1229">
        <f t="shared" ca="1" si="191"/>
        <v>0</v>
      </c>
      <c r="U122" s="1229">
        <f t="shared" ca="1" si="191"/>
        <v>0</v>
      </c>
      <c r="V122" s="1229">
        <f t="shared" ca="1" si="191"/>
        <v>0</v>
      </c>
      <c r="W122" s="1229">
        <f t="shared" ca="1" si="191"/>
        <v>0</v>
      </c>
      <c r="X122" s="1229">
        <f t="shared" ca="1" si="191"/>
        <v>0</v>
      </c>
      <c r="Y122" s="1229">
        <f t="shared" ca="1" si="191"/>
        <v>0</v>
      </c>
      <c r="Z122" s="1229">
        <f t="shared" ca="1" si="191"/>
        <v>0</v>
      </c>
      <c r="AA122" s="1229">
        <f t="shared" ca="1" si="191"/>
        <v>0</v>
      </c>
      <c r="AB122" s="1229">
        <f t="shared" ca="1" si="191"/>
        <v>0</v>
      </c>
      <c r="AC122" s="1229">
        <f t="shared" ca="1" si="191"/>
        <v>0</v>
      </c>
      <c r="AD122" s="1229">
        <f t="shared" ca="1" si="191"/>
        <v>0</v>
      </c>
      <c r="AE122" s="1229">
        <f t="shared" ca="1" si="191"/>
        <v>0</v>
      </c>
      <c r="AF122" s="1229">
        <f t="shared" ca="1" si="191"/>
        <v>0</v>
      </c>
      <c r="AG122" s="1229">
        <f t="shared" ca="1" si="191"/>
        <v>0</v>
      </c>
      <c r="AH122" s="1229">
        <f t="shared" ca="1" si="191"/>
        <v>0</v>
      </c>
      <c r="AI122" s="1229">
        <f t="shared" ca="1" si="191"/>
        <v>82826.218027114912</v>
      </c>
      <c r="AJ122" s="1229">
        <f t="shared" ca="1" si="191"/>
        <v>0</v>
      </c>
      <c r="AK122" s="1229">
        <f t="shared" ca="1" si="191"/>
        <v>78.597251549276137</v>
      </c>
      <c r="AL122" s="1229">
        <f t="shared" ca="1" si="191"/>
        <v>1091.5459830630125</v>
      </c>
      <c r="AM122" s="1229">
        <f t="shared" ca="1" si="191"/>
        <v>65.265311953254596</v>
      </c>
      <c r="AN122" s="1229">
        <f t="shared" ca="1" si="191"/>
        <v>0</v>
      </c>
      <c r="AO122" s="1229">
        <f t="shared" ca="1" si="191"/>
        <v>0</v>
      </c>
      <c r="AP122" s="1229">
        <f t="shared" ca="1" si="191"/>
        <v>0</v>
      </c>
      <c r="AQ122" s="1229">
        <f t="shared" ca="1" si="191"/>
        <v>0</v>
      </c>
      <c r="AR122" s="1229">
        <f t="shared" ca="1" si="191"/>
        <v>588.73429848790215</v>
      </c>
      <c r="AS122" s="1229">
        <f t="shared" ca="1" si="191"/>
        <v>1397.9169164142884</v>
      </c>
      <c r="AT122" s="1229">
        <f t="shared" ca="1" si="191"/>
        <v>1597.6965777109176</v>
      </c>
      <c r="AU122" s="1229">
        <f t="shared" ca="1" si="191"/>
        <v>897.59594867420856</v>
      </c>
      <c r="AV122" s="1229">
        <f t="shared" ca="1" si="191"/>
        <v>871.85795961210317</v>
      </c>
      <c r="AW122" s="1229">
        <f t="shared" ca="1" si="191"/>
        <v>1234.5535304279761</v>
      </c>
      <c r="AX122" s="1229">
        <f t="shared" ca="1" si="191"/>
        <v>2147.9255441089158</v>
      </c>
      <c r="AY122" s="1229">
        <f t="shared" ca="1" si="191"/>
        <v>769.42031111739152</v>
      </c>
      <c r="AZ122" s="1229">
        <f t="shared" ca="1" si="191"/>
        <v>0</v>
      </c>
      <c r="BA122" s="1229">
        <f t="shared" ca="1" si="191"/>
        <v>0</v>
      </c>
      <c r="BB122" s="1229">
        <f t="shared" ca="1" si="191"/>
        <v>0</v>
      </c>
      <c r="BC122" s="1229">
        <f t="shared" ca="1" si="191"/>
        <v>953.4348928101341</v>
      </c>
      <c r="BD122" s="1229">
        <f t="shared" ca="1" si="191"/>
        <v>1405.8149538099613</v>
      </c>
      <c r="BE122" s="1229">
        <f t="shared" ca="1" si="191"/>
        <v>1525.0851249168245</v>
      </c>
      <c r="BF122" s="1229">
        <f t="shared" ca="1" si="191"/>
        <v>1608.7401105573251</v>
      </c>
      <c r="BG122" s="1229">
        <f t="shared" ca="1" si="191"/>
        <v>897.49687736345334</v>
      </c>
      <c r="BH122" s="1229">
        <f t="shared" ca="1" si="191"/>
        <v>871.43457497537179</v>
      </c>
      <c r="BI122" s="1229">
        <f t="shared" ca="1" si="191"/>
        <v>1239.8776392719033</v>
      </c>
      <c r="BJ122" s="1229">
        <f t="shared" ca="1" si="191"/>
        <v>2167.3057733726787</v>
      </c>
      <c r="BK122" s="1229">
        <f t="shared" ca="1" si="191"/>
        <v>767.7246933747557</v>
      </c>
      <c r="BL122" s="1229">
        <f t="shared" ca="1" si="191"/>
        <v>0</v>
      </c>
      <c r="BM122" s="1229">
        <f t="shared" ca="1" si="191"/>
        <v>0</v>
      </c>
      <c r="BN122" s="1229">
        <f t="shared" ca="1" si="191"/>
        <v>0</v>
      </c>
      <c r="BO122" s="1229">
        <f t="shared" ca="1" si="191"/>
        <v>1151.4609185555537</v>
      </c>
      <c r="BP122" s="1229">
        <f t="shared" ca="1" si="191"/>
        <v>1441.4381078301897</v>
      </c>
      <c r="BQ122" s="1229">
        <f t="shared" ca="1" si="191"/>
        <v>1562.4053107943196</v>
      </c>
      <c r="BR122" s="1229">
        <f t="shared" ca="1" si="191"/>
        <v>1647.5502266349831</v>
      </c>
      <c r="BS122" s="1229">
        <f t="shared" ca="1" si="191"/>
        <v>925.12592360065355</v>
      </c>
      <c r="BT122" s="1229">
        <f t="shared" ca="1" si="191"/>
        <v>898.74301327718911</v>
      </c>
      <c r="BU122" s="1229">
        <f t="shared" ca="1" si="191"/>
        <v>1272.9519946494861</v>
      </c>
      <c r="BV122" s="1229">
        <f t="shared" ca="1" si="191"/>
        <v>2214.4575815829762</v>
      </c>
      <c r="BW122" s="1229">
        <f t="shared" ref="BW122:DY122" ca="1" si="192">BW117*$E$122</f>
        <v>793.7767584679616</v>
      </c>
      <c r="BX122" s="1229">
        <f t="shared" ca="1" si="192"/>
        <v>0</v>
      </c>
      <c r="BY122" s="1229">
        <f t="shared" ca="1" si="192"/>
        <v>0</v>
      </c>
      <c r="BZ122" s="1229">
        <f t="shared" ca="1" si="192"/>
        <v>0</v>
      </c>
      <c r="CA122" s="1229">
        <f t="shared" ca="1" si="192"/>
        <v>1066.0499152433053</v>
      </c>
      <c r="CB122" s="1229">
        <f t="shared" ca="1" si="192"/>
        <v>1475.6345908231704</v>
      </c>
      <c r="CC122" s="1229">
        <f t="shared" ca="1" si="192"/>
        <v>1598.2933044020099</v>
      </c>
      <c r="CD122" s="1229">
        <f t="shared" ca="1" si="192"/>
        <v>1684.9410933132417</v>
      </c>
      <c r="CE122" s="1229">
        <f t="shared" ca="1" si="192"/>
        <v>951.30497515790114</v>
      </c>
      <c r="CF122" s="1229">
        <f t="shared" ca="1" si="192"/>
        <v>924.60567649508334</v>
      </c>
      <c r="CG122" s="1229">
        <f t="shared" ca="1" si="192"/>
        <v>1304.5949312098248</v>
      </c>
      <c r="CH122" s="1229">
        <f t="shared" ca="1" si="192"/>
        <v>2260.187932825298</v>
      </c>
      <c r="CI122" s="1229">
        <f t="shared" ca="1" si="192"/>
        <v>818.40100497816752</v>
      </c>
      <c r="CJ122" s="1229">
        <f t="shared" ca="1" si="192"/>
        <v>0</v>
      </c>
      <c r="CK122" s="1229">
        <f t="shared" ca="1" si="192"/>
        <v>0</v>
      </c>
      <c r="CL122" s="1229">
        <f t="shared" ca="1" si="192"/>
        <v>0</v>
      </c>
      <c r="CM122" s="1229">
        <f t="shared" ca="1" si="192"/>
        <v>1128.0725230762159</v>
      </c>
      <c r="CN122" s="1229">
        <f t="shared" ca="1" si="192"/>
        <v>1508.2855782341226</v>
      </c>
      <c r="CO122" s="1229">
        <f t="shared" ca="1" si="192"/>
        <v>1632.6284225818852</v>
      </c>
      <c r="CP122" s="1229">
        <f t="shared" ca="1" si="192"/>
        <v>1747.2457172044972</v>
      </c>
      <c r="CQ122" s="1229">
        <f t="shared" ca="1" si="192"/>
        <v>1002.3752568936138</v>
      </c>
      <c r="CR122" s="1229">
        <f t="shared" ca="1" si="192"/>
        <v>975.3643312103718</v>
      </c>
      <c r="CS122" s="1229">
        <f t="shared" ca="1" si="192"/>
        <v>1361.143887584871</v>
      </c>
      <c r="CT122" s="1229">
        <f t="shared" ca="1" si="192"/>
        <v>2330.822193735009</v>
      </c>
      <c r="CU122" s="1229">
        <f t="shared" ca="1" si="192"/>
        <v>867.94140761263702</v>
      </c>
      <c r="CV122" s="1229">
        <f t="shared" ca="1" si="192"/>
        <v>0</v>
      </c>
      <c r="CW122" s="1229">
        <f t="shared" ca="1" si="192"/>
        <v>0</v>
      </c>
      <c r="CX122" s="1229">
        <f t="shared" ca="1" si="192"/>
        <v>0</v>
      </c>
      <c r="CY122" s="1229">
        <f t="shared" ca="1" si="192"/>
        <v>1514.8889944722875</v>
      </c>
      <c r="CZ122" s="1229">
        <f t="shared" ca="1" si="192"/>
        <v>1658.3075523480627</v>
      </c>
      <c r="DA122" s="1229">
        <f t="shared" ca="1" si="192"/>
        <v>1786.3806820262575</v>
      </c>
      <c r="DB122" s="1229">
        <f t="shared" ca="1" si="192"/>
        <v>1674.4204987787059</v>
      </c>
      <c r="DC122" s="1229">
        <f t="shared" ca="1" si="192"/>
        <v>907.20392465849966</v>
      </c>
      <c r="DD122" s="1229">
        <f t="shared" ca="1" si="192"/>
        <v>879.38267120476155</v>
      </c>
      <c r="DE122" s="1229">
        <f t="shared" ca="1" si="192"/>
        <v>1276.7356142704939</v>
      </c>
      <c r="DF122" s="1229">
        <f t="shared" ca="1" si="192"/>
        <v>2275.5042696051351</v>
      </c>
      <c r="DG122" s="1229">
        <f t="shared" ca="1" si="192"/>
        <v>768.73705989909172</v>
      </c>
      <c r="DH122" s="1229">
        <f t="shared" ca="1" si="192"/>
        <v>0</v>
      </c>
      <c r="DI122" s="1229">
        <f t="shared" ca="1" si="192"/>
        <v>0</v>
      </c>
      <c r="DJ122" s="1229">
        <f t="shared" ca="1" si="192"/>
        <v>0</v>
      </c>
      <c r="DK122" s="1229">
        <f t="shared" ca="1" si="192"/>
        <v>1226.7947158350999</v>
      </c>
      <c r="DL122" s="1229">
        <f t="shared" ca="1" si="192"/>
        <v>1582.814188976578</v>
      </c>
      <c r="DM122" s="1229">
        <f t="shared" ca="1" si="192"/>
        <v>1714.7295125451224</v>
      </c>
      <c r="DN122" s="1229">
        <f t="shared" ca="1" si="192"/>
        <v>1793.1417121900106</v>
      </c>
      <c r="DO122" s="1229">
        <f t="shared" ca="1" si="192"/>
        <v>1002.9086408461988</v>
      </c>
      <c r="DP122" s="1229">
        <f t="shared" ca="1" si="192"/>
        <v>974.25274978884534</v>
      </c>
      <c r="DQ122" s="1229">
        <f t="shared" ca="1" si="192"/>
        <v>1383.5262811465532</v>
      </c>
      <c r="DR122" s="1229">
        <f t="shared" ca="1" si="192"/>
        <v>2412.2579961412357</v>
      </c>
      <c r="DS122" s="1229">
        <f t="shared" ca="1" si="192"/>
        <v>860.2877701440093</v>
      </c>
      <c r="DT122" s="1229">
        <f t="shared" ca="1" si="192"/>
        <v>0</v>
      </c>
      <c r="DU122" s="1229">
        <f t="shared" ca="1" si="192"/>
        <v>0</v>
      </c>
      <c r="DV122" s="1229">
        <f t="shared" ca="1" si="192"/>
        <v>0</v>
      </c>
      <c r="DW122" s="1229">
        <f t="shared" ca="1" si="192"/>
        <v>1365.100657466694</v>
      </c>
      <c r="DX122" s="1229">
        <f t="shared" ca="1" si="192"/>
        <v>1698.7872130938224</v>
      </c>
      <c r="DY122" s="1229">
        <f t="shared" ca="1" si="192"/>
        <v>250921.69702624346</v>
      </c>
    </row>
    <row r="123" spans="4:129" s="1223" customFormat="1">
      <c r="D123" s="1227"/>
      <c r="E123" s="1227"/>
      <c r="F123" s="1227"/>
      <c r="G123" s="1229"/>
      <c r="H123" s="1229"/>
      <c r="I123" s="1229"/>
      <c r="J123" s="1229"/>
      <c r="K123" s="1229"/>
      <c r="L123" s="1229"/>
      <c r="M123" s="1229"/>
      <c r="N123" s="1229"/>
      <c r="O123" s="1229"/>
      <c r="P123" s="1229"/>
      <c r="Q123" s="1229"/>
      <c r="R123" s="1229"/>
      <c r="S123" s="1229"/>
      <c r="T123" s="1229"/>
      <c r="U123" s="1229"/>
      <c r="V123" s="1229"/>
      <c r="W123" s="1229"/>
      <c r="X123" s="1229"/>
      <c r="Y123" s="1229"/>
      <c r="Z123" s="1229"/>
      <c r="AA123" s="1229"/>
      <c r="AB123" s="1229"/>
      <c r="AC123" s="1229"/>
      <c r="AD123" s="1229"/>
      <c r="AE123" s="1229"/>
      <c r="AF123" s="1229"/>
      <c r="AG123" s="1229"/>
      <c r="AH123" s="1229"/>
      <c r="AI123" s="1229"/>
      <c r="AJ123" s="1229"/>
      <c r="AK123" s="1229"/>
      <c r="AL123" s="1229"/>
      <c r="AM123" s="1229"/>
      <c r="AN123" s="1229"/>
      <c r="AO123" s="1229"/>
      <c r="AP123" s="1229"/>
      <c r="AQ123" s="1229"/>
      <c r="AR123" s="1229"/>
      <c r="AS123" s="1229"/>
      <c r="AT123" s="1229"/>
      <c r="AU123" s="1229"/>
      <c r="AV123" s="1229"/>
      <c r="AW123" s="1229"/>
      <c r="AX123" s="1229"/>
      <c r="AY123" s="1229"/>
      <c r="AZ123" s="1229"/>
      <c r="BA123" s="1229"/>
      <c r="BB123" s="1229"/>
      <c r="BC123" s="1229"/>
      <c r="BD123" s="1229"/>
      <c r="BE123" s="1229"/>
      <c r="BF123" s="1229"/>
      <c r="BG123" s="1229"/>
      <c r="BH123" s="1229"/>
      <c r="BI123" s="1229"/>
      <c r="BJ123" s="1229"/>
      <c r="BK123" s="1229"/>
      <c r="BL123" s="1229"/>
      <c r="BM123" s="1229"/>
      <c r="BN123" s="1229"/>
      <c r="BO123" s="1229"/>
      <c r="BP123" s="1229"/>
      <c r="BQ123" s="1229"/>
      <c r="BR123" s="1229"/>
      <c r="BS123" s="1229"/>
      <c r="BT123" s="1229"/>
      <c r="BU123" s="1229"/>
      <c r="BV123" s="1229"/>
      <c r="BW123" s="1229"/>
      <c r="BX123" s="1229"/>
      <c r="BY123" s="1229"/>
      <c r="BZ123" s="1229"/>
      <c r="CA123" s="1229"/>
      <c r="CB123" s="1229"/>
      <c r="CC123" s="1229"/>
      <c r="CD123" s="1229"/>
      <c r="CE123" s="1229"/>
      <c r="CF123" s="1229"/>
      <c r="CG123" s="1229"/>
      <c r="CH123" s="1229"/>
      <c r="CI123" s="1229"/>
      <c r="CJ123" s="1229"/>
      <c r="CK123" s="1229"/>
      <c r="CL123" s="1229"/>
      <c r="CM123" s="1229"/>
      <c r="CN123" s="1229"/>
      <c r="CO123" s="1229"/>
      <c r="CP123" s="1229"/>
      <c r="CQ123" s="1229"/>
      <c r="CR123" s="1229"/>
      <c r="CS123" s="1229"/>
      <c r="CT123" s="1229"/>
      <c r="CU123" s="1229"/>
      <c r="CV123" s="1229"/>
      <c r="CW123" s="1229"/>
      <c r="CX123" s="1229"/>
      <c r="CY123" s="1229"/>
      <c r="CZ123" s="1229"/>
      <c r="DA123" s="1229"/>
      <c r="DB123" s="1229"/>
      <c r="DC123" s="1229"/>
      <c r="DD123" s="1229"/>
      <c r="DE123" s="1229"/>
      <c r="DF123" s="1229"/>
      <c r="DG123" s="1229"/>
      <c r="DH123" s="1229"/>
      <c r="DI123" s="1229"/>
      <c r="DJ123" s="1229"/>
      <c r="DK123" s="1229"/>
      <c r="DL123" s="1229"/>
      <c r="DM123" s="1229"/>
      <c r="DN123" s="1229"/>
      <c r="DO123" s="1229"/>
      <c r="DP123" s="1229"/>
      <c r="DQ123" s="1229"/>
      <c r="DR123" s="1229"/>
      <c r="DS123" s="1229"/>
      <c r="DT123" s="1229"/>
      <c r="DU123" s="1229"/>
      <c r="DV123" s="1229"/>
      <c r="DW123" s="1229"/>
      <c r="DX123" s="1229"/>
      <c r="DY123" s="1229"/>
    </row>
    <row r="124" spans="4:129" s="1223" customFormat="1">
      <c r="D124" s="1227" t="s">
        <v>113</v>
      </c>
      <c r="E124" s="1227"/>
      <c r="F124" s="1227"/>
      <c r="G124" s="1229">
        <f ca="1">SUM(J124:DY124)</f>
        <v>9270741.1467253882</v>
      </c>
      <c r="H124" s="1229">
        <f t="shared" ref="H124:BR124" si="193">H105-H117</f>
        <v>0</v>
      </c>
      <c r="I124" s="1229"/>
      <c r="J124" s="1229">
        <f t="shared" ca="1" si="193"/>
        <v>-519999.99999999988</v>
      </c>
      <c r="K124" s="1229">
        <f t="shared" ca="1" si="193"/>
        <v>-39115.300715178309</v>
      </c>
      <c r="L124" s="1229">
        <f t="shared" ca="1" si="193"/>
        <v>-275073.73328289628</v>
      </c>
      <c r="M124" s="1229">
        <f t="shared" ca="1" si="193"/>
        <v>-275073.73328289628</v>
      </c>
      <c r="N124" s="1229">
        <f t="shared" ca="1" si="193"/>
        <v>-275073.73328289628</v>
      </c>
      <c r="O124" s="1229">
        <f t="shared" ca="1" si="193"/>
        <v>-275073.73328289628</v>
      </c>
      <c r="P124" s="1229">
        <f t="shared" ca="1" si="193"/>
        <v>-275073.73328289628</v>
      </c>
      <c r="Q124" s="1229">
        <f t="shared" ca="1" si="193"/>
        <v>-264886.24467854161</v>
      </c>
      <c r="R124" s="1229">
        <f t="shared" ca="1" si="193"/>
        <v>0</v>
      </c>
      <c r="S124" s="1229">
        <f t="shared" ca="1" si="193"/>
        <v>0</v>
      </c>
      <c r="T124" s="1229">
        <f t="shared" ca="1" si="193"/>
        <v>0</v>
      </c>
      <c r="U124" s="1229">
        <f t="shared" ca="1" si="193"/>
        <v>0</v>
      </c>
      <c r="V124" s="1229">
        <f t="shared" ca="1" si="193"/>
        <v>0</v>
      </c>
      <c r="W124" s="1229">
        <f t="shared" ca="1" si="193"/>
        <v>0</v>
      </c>
      <c r="X124" s="1229">
        <f t="shared" ca="1" si="193"/>
        <v>0</v>
      </c>
      <c r="Y124" s="1229">
        <f t="shared" ca="1" si="193"/>
        <v>0</v>
      </c>
      <c r="Z124" s="1229">
        <f t="shared" ca="1" si="193"/>
        <v>0</v>
      </c>
      <c r="AA124" s="1229">
        <f t="shared" ca="1" si="193"/>
        <v>0</v>
      </c>
      <c r="AB124" s="1229">
        <f t="shared" ca="1" si="193"/>
        <v>0</v>
      </c>
      <c r="AC124" s="1229">
        <f t="shared" ca="1" si="193"/>
        <v>0</v>
      </c>
      <c r="AD124" s="1229">
        <f t="shared" ca="1" si="193"/>
        <v>0</v>
      </c>
      <c r="AE124" s="1229">
        <f t="shared" ca="1" si="193"/>
        <v>0</v>
      </c>
      <c r="AF124" s="1229">
        <f t="shared" ca="1" si="193"/>
        <v>0</v>
      </c>
      <c r="AG124" s="1229">
        <f t="shared" ca="1" si="193"/>
        <v>0</v>
      </c>
      <c r="AH124" s="1229">
        <f t="shared" ca="1" si="193"/>
        <v>0</v>
      </c>
      <c r="AI124" s="1229">
        <f t="shared" ca="1" si="193"/>
        <v>92029.131141238846</v>
      </c>
      <c r="AJ124" s="1229">
        <f t="shared" ca="1" si="193"/>
        <v>0</v>
      </c>
      <c r="AK124" s="1229">
        <f t="shared" ca="1" si="193"/>
        <v>87.33027949919574</v>
      </c>
      <c r="AL124" s="1229">
        <f t="shared" ca="1" si="193"/>
        <v>1212.8288700700141</v>
      </c>
      <c r="AM124" s="1229">
        <f t="shared" ca="1" si="193"/>
        <v>72.517013281394043</v>
      </c>
      <c r="AN124" s="1229">
        <f t="shared" ca="1" si="193"/>
        <v>0</v>
      </c>
      <c r="AO124" s="1229">
        <f t="shared" ca="1" si="193"/>
        <v>0</v>
      </c>
      <c r="AP124" s="1229">
        <f t="shared" ca="1" si="193"/>
        <v>0</v>
      </c>
      <c r="AQ124" s="1229">
        <f t="shared" ca="1" si="193"/>
        <v>0</v>
      </c>
      <c r="AR124" s="1229">
        <f t="shared" ca="1" si="193"/>
        <v>654.14922054211365</v>
      </c>
      <c r="AS124" s="1229">
        <f t="shared" ca="1" si="193"/>
        <v>1553.2410182380991</v>
      </c>
      <c r="AT124" s="1229">
        <f t="shared" ca="1" si="193"/>
        <v>1775.2184196787966</v>
      </c>
      <c r="AU124" s="1229">
        <f t="shared" ca="1" si="193"/>
        <v>997.32883186023173</v>
      </c>
      <c r="AV124" s="1229">
        <f t="shared" ca="1" si="193"/>
        <v>968.73106623567037</v>
      </c>
      <c r="AW124" s="1229">
        <f t="shared" ca="1" si="193"/>
        <v>1371.7261449199741</v>
      </c>
      <c r="AX124" s="1229">
        <f t="shared" ca="1" si="193"/>
        <v>2386.5839378987948</v>
      </c>
      <c r="AY124" s="1229">
        <f t="shared" ca="1" si="193"/>
        <v>854.91145679710189</v>
      </c>
      <c r="AZ124" s="1229">
        <f t="shared" ca="1" si="193"/>
        <v>0</v>
      </c>
      <c r="BA124" s="1229">
        <f t="shared" ca="1" si="193"/>
        <v>0</v>
      </c>
      <c r="BB124" s="1229">
        <f t="shared" ca="1" si="193"/>
        <v>0</v>
      </c>
      <c r="BC124" s="1229">
        <f t="shared" ca="1" si="193"/>
        <v>1059.3721031223704</v>
      </c>
      <c r="BD124" s="1229">
        <f t="shared" ca="1" si="193"/>
        <v>1562.0166153444006</v>
      </c>
      <c r="BE124" s="1229">
        <f t="shared" ca="1" si="193"/>
        <v>1694.5390276853614</v>
      </c>
      <c r="BF124" s="1229">
        <f t="shared" ca="1" si="193"/>
        <v>1787.4890117303621</v>
      </c>
      <c r="BG124" s="1229">
        <f t="shared" ca="1" si="193"/>
        <v>997.21875262605863</v>
      </c>
      <c r="BH124" s="1229">
        <f t="shared" ca="1" si="193"/>
        <v>968.26063886152406</v>
      </c>
      <c r="BI124" s="1229">
        <f t="shared" ca="1" si="193"/>
        <v>1377.6418214132264</v>
      </c>
      <c r="BJ124" s="1229">
        <f t="shared" ca="1" si="193"/>
        <v>2408.1175259696429</v>
      </c>
      <c r="BK124" s="1229">
        <f t="shared" ca="1" si="193"/>
        <v>853.02743708306207</v>
      </c>
      <c r="BL124" s="1229">
        <f t="shared" ca="1" si="193"/>
        <v>0</v>
      </c>
      <c r="BM124" s="1229">
        <f t="shared" ca="1" si="193"/>
        <v>0</v>
      </c>
      <c r="BN124" s="1229">
        <f t="shared" ca="1" si="193"/>
        <v>0</v>
      </c>
      <c r="BO124" s="1229">
        <f t="shared" ca="1" si="193"/>
        <v>1279.4010206172825</v>
      </c>
      <c r="BP124" s="1229">
        <f t="shared" ca="1" si="193"/>
        <v>1601.5978975890994</v>
      </c>
      <c r="BQ124" s="1229">
        <f t="shared" ca="1" si="193"/>
        <v>1736.0059008825774</v>
      </c>
      <c r="BR124" s="1229">
        <f t="shared" ca="1" si="193"/>
        <v>1830.611362927757</v>
      </c>
      <c r="BS124" s="1229">
        <f t="shared" ref="BS124:DY124" ca="1" si="194">BS105-BS117</f>
        <v>1027.917692889614</v>
      </c>
      <c r="BT124" s="1229">
        <f t="shared" ca="1" si="194"/>
        <v>998.6033480857659</v>
      </c>
      <c r="BU124" s="1229">
        <f t="shared" ca="1" si="194"/>
        <v>1414.3911051660962</v>
      </c>
      <c r="BV124" s="1229">
        <f t="shared" ca="1" si="194"/>
        <v>2460.5084239810858</v>
      </c>
      <c r="BW124" s="1229">
        <f t="shared" ca="1" si="194"/>
        <v>881.97417607551324</v>
      </c>
      <c r="BX124" s="1229">
        <f t="shared" ca="1" si="194"/>
        <v>0</v>
      </c>
      <c r="BY124" s="1229">
        <f t="shared" ca="1" si="194"/>
        <v>0</v>
      </c>
      <c r="BZ124" s="1229">
        <f t="shared" ca="1" si="194"/>
        <v>0</v>
      </c>
      <c r="CA124" s="1229">
        <f t="shared" ca="1" si="194"/>
        <v>1184.4999058258945</v>
      </c>
      <c r="CB124" s="1229">
        <f t="shared" ca="1" si="194"/>
        <v>1639.5939898035231</v>
      </c>
      <c r="CC124" s="1229">
        <f t="shared" ca="1" si="194"/>
        <v>1775.8814493355658</v>
      </c>
      <c r="CD124" s="1229">
        <f t="shared" ca="1" si="194"/>
        <v>1872.1567703480468</v>
      </c>
      <c r="CE124" s="1229">
        <f t="shared" ca="1" si="194"/>
        <v>1057.0055279532226</v>
      </c>
      <c r="CF124" s="1229">
        <f t="shared" ca="1" si="194"/>
        <v>1027.3396405500916</v>
      </c>
      <c r="CG124" s="1229">
        <f t="shared" ca="1" si="194"/>
        <v>1449.549923566472</v>
      </c>
      <c r="CH124" s="1229">
        <f t="shared" ca="1" si="194"/>
        <v>2511.3199253614439</v>
      </c>
      <c r="CI124" s="1229">
        <f t="shared" ca="1" si="194"/>
        <v>909.33444997574134</v>
      </c>
      <c r="CJ124" s="1229">
        <f t="shared" ca="1" si="194"/>
        <v>0</v>
      </c>
      <c r="CK124" s="1229">
        <f t="shared" ca="1" si="194"/>
        <v>0</v>
      </c>
      <c r="CL124" s="1229">
        <f t="shared" ca="1" si="194"/>
        <v>0</v>
      </c>
      <c r="CM124" s="1229">
        <f t="shared" ca="1" si="194"/>
        <v>1253.4139145291283</v>
      </c>
      <c r="CN124" s="1229">
        <f t="shared" ca="1" si="194"/>
        <v>1675.8728647045809</v>
      </c>
      <c r="CO124" s="1229">
        <f t="shared" ca="1" si="194"/>
        <v>1814.0315806465387</v>
      </c>
      <c r="CP124" s="1229">
        <f t="shared" ca="1" si="194"/>
        <v>1941.3841302272194</v>
      </c>
      <c r="CQ124" s="1229">
        <f t="shared" ca="1" si="194"/>
        <v>1113.7502854373488</v>
      </c>
      <c r="CR124" s="1229">
        <f t="shared" ca="1" si="194"/>
        <v>1083.7381457893025</v>
      </c>
      <c r="CS124" s="1229">
        <f t="shared" ca="1" si="194"/>
        <v>1512.3820973165239</v>
      </c>
      <c r="CT124" s="1229">
        <f t="shared" ca="1" si="194"/>
        <v>2589.802437483344</v>
      </c>
      <c r="CU124" s="1229">
        <f t="shared" ca="1" si="194"/>
        <v>964.37934179181866</v>
      </c>
      <c r="CV124" s="1229">
        <f t="shared" ca="1" si="194"/>
        <v>0</v>
      </c>
      <c r="CW124" s="1229">
        <f t="shared" ca="1" si="194"/>
        <v>0</v>
      </c>
      <c r="CX124" s="1229">
        <f t="shared" ca="1" si="194"/>
        <v>0</v>
      </c>
      <c r="CY124" s="1229">
        <f t="shared" ca="1" si="194"/>
        <v>1683.2099938580977</v>
      </c>
      <c r="CZ124" s="1229">
        <f t="shared" ca="1" si="194"/>
        <v>1842.5639470534043</v>
      </c>
      <c r="DA124" s="1229">
        <f t="shared" ca="1" si="194"/>
        <v>1984.8674244736212</v>
      </c>
      <c r="DB124" s="1229">
        <f t="shared" ca="1" si="194"/>
        <v>1860.46722086523</v>
      </c>
      <c r="DC124" s="1229">
        <f t="shared" ca="1" si="194"/>
        <v>1008.0043607316657</v>
      </c>
      <c r="DD124" s="1229">
        <f t="shared" ca="1" si="194"/>
        <v>977.09185689417973</v>
      </c>
      <c r="DE124" s="1229">
        <f t="shared" ca="1" si="194"/>
        <v>1418.595126967215</v>
      </c>
      <c r="DF124" s="1229">
        <f t="shared" ca="1" si="194"/>
        <v>2528.3380773390381</v>
      </c>
      <c r="DG124" s="1229">
        <f t="shared" ca="1" si="194"/>
        <v>854.15228877676873</v>
      </c>
      <c r="DH124" s="1229">
        <f t="shared" ca="1" si="194"/>
        <v>0</v>
      </c>
      <c r="DI124" s="1229">
        <f t="shared" ca="1" si="194"/>
        <v>0</v>
      </c>
      <c r="DJ124" s="1229">
        <f t="shared" ca="1" si="194"/>
        <v>0</v>
      </c>
      <c r="DK124" s="1229">
        <f t="shared" ca="1" si="194"/>
        <v>1363.1052398167776</v>
      </c>
      <c r="DL124" s="1229">
        <f t="shared" ca="1" si="194"/>
        <v>1758.6824321961976</v>
      </c>
      <c r="DM124" s="1229">
        <f t="shared" ca="1" si="194"/>
        <v>1905.255013939026</v>
      </c>
      <c r="DN124" s="1229">
        <f t="shared" ca="1" si="194"/>
        <v>1992.379680211121</v>
      </c>
      <c r="DO124" s="1229">
        <f t="shared" ca="1" si="194"/>
        <v>1114.3429342735544</v>
      </c>
      <c r="DP124" s="1229">
        <f t="shared" ca="1" si="194"/>
        <v>1082.5030553209399</v>
      </c>
      <c r="DQ124" s="1229">
        <f t="shared" ca="1" si="194"/>
        <v>1537.2514234961709</v>
      </c>
      <c r="DR124" s="1229">
        <f t="shared" ca="1" si="194"/>
        <v>2680.2866623791488</v>
      </c>
      <c r="DS124" s="1229">
        <f t="shared" ca="1" si="194"/>
        <v>955.87530016001074</v>
      </c>
      <c r="DT124" s="1229">
        <f t="shared" ca="1" si="194"/>
        <v>0</v>
      </c>
      <c r="DU124" s="1229">
        <f t="shared" ca="1" si="194"/>
        <v>0</v>
      </c>
      <c r="DV124" s="1229">
        <f t="shared" ca="1" si="194"/>
        <v>0</v>
      </c>
      <c r="DW124" s="1229">
        <f t="shared" ca="1" si="194"/>
        <v>1516.7785082963273</v>
      </c>
      <c r="DX124" s="1229">
        <f t="shared" ca="1" si="194"/>
        <v>1887.5413478820265</v>
      </c>
      <c r="DY124" s="1229">
        <f t="shared" ca="1" si="194"/>
        <v>11280882.238995701</v>
      </c>
    </row>
    <row r="125" spans="4:129" s="1223" customFormat="1">
      <c r="D125" s="1227"/>
      <c r="E125" s="1227"/>
      <c r="F125" s="1227"/>
      <c r="G125" s="1229"/>
      <c r="H125" s="1229"/>
      <c r="I125" s="1229"/>
      <c r="J125" s="1229"/>
      <c r="K125" s="1229"/>
      <c r="L125" s="1229"/>
      <c r="M125" s="1229"/>
      <c r="N125" s="1229"/>
      <c r="O125" s="1229"/>
      <c r="P125" s="1229"/>
      <c r="Q125" s="1229"/>
      <c r="R125" s="1229"/>
      <c r="S125" s="1229"/>
      <c r="T125" s="1229"/>
      <c r="U125" s="1229"/>
      <c r="V125" s="1229"/>
      <c r="W125" s="1229"/>
      <c r="X125" s="1229"/>
      <c r="Y125" s="1229"/>
      <c r="Z125" s="1229"/>
      <c r="AA125" s="1229"/>
      <c r="AB125" s="1229"/>
      <c r="AC125" s="1229"/>
      <c r="AD125" s="1229"/>
      <c r="AE125" s="1229"/>
      <c r="AF125" s="1229"/>
      <c r="AG125" s="1229"/>
      <c r="AH125" s="1229"/>
      <c r="AI125" s="1229"/>
      <c r="AJ125" s="1229"/>
      <c r="AK125" s="1229"/>
      <c r="AL125" s="1229"/>
      <c r="AM125" s="1229"/>
      <c r="AN125" s="1229"/>
      <c r="AO125" s="1229"/>
      <c r="AP125" s="1229"/>
      <c r="AQ125" s="1229"/>
      <c r="AR125" s="1229"/>
      <c r="AS125" s="1229"/>
      <c r="AT125" s="1229"/>
      <c r="AU125" s="1229"/>
      <c r="AV125" s="1229"/>
      <c r="AW125" s="1229"/>
      <c r="AX125" s="1229"/>
      <c r="AY125" s="1229"/>
      <c r="AZ125" s="1229"/>
      <c r="BA125" s="1229"/>
      <c r="BB125" s="1229"/>
      <c r="BC125" s="1229"/>
      <c r="BD125" s="1229"/>
      <c r="BE125" s="1229"/>
      <c r="BF125" s="1229"/>
      <c r="BG125" s="1229"/>
      <c r="BH125" s="1229"/>
      <c r="BI125" s="1229"/>
      <c r="BJ125" s="1229"/>
      <c r="BK125" s="1229"/>
      <c r="BL125" s="1229"/>
      <c r="BM125" s="1229"/>
      <c r="BN125" s="1229"/>
      <c r="BO125" s="1229"/>
      <c r="BP125" s="1229"/>
      <c r="BQ125" s="1229"/>
      <c r="BR125" s="1229"/>
      <c r="BS125" s="1229"/>
      <c r="BT125" s="1229"/>
      <c r="BU125" s="1229"/>
      <c r="BV125" s="1229"/>
      <c r="BW125" s="1229"/>
      <c r="BX125" s="1229"/>
      <c r="BY125" s="1229"/>
      <c r="BZ125" s="1229"/>
      <c r="CA125" s="1229"/>
      <c r="CB125" s="1229"/>
      <c r="CC125" s="1229"/>
      <c r="CD125" s="1229"/>
      <c r="CE125" s="1229"/>
      <c r="CF125" s="1229"/>
      <c r="CG125" s="1229"/>
      <c r="CH125" s="1229"/>
      <c r="CI125" s="1229"/>
      <c r="CJ125" s="1229"/>
      <c r="CK125" s="1229"/>
      <c r="CL125" s="1229"/>
      <c r="CM125" s="1229"/>
      <c r="CN125" s="1229"/>
      <c r="CO125" s="1229"/>
      <c r="CP125" s="1229"/>
      <c r="CQ125" s="1229"/>
      <c r="CR125" s="1229"/>
      <c r="CS125" s="1229"/>
      <c r="CT125" s="1229"/>
      <c r="CU125" s="1229"/>
      <c r="CV125" s="1229"/>
      <c r="CW125" s="1229"/>
      <c r="CX125" s="1229"/>
      <c r="CY125" s="1229"/>
      <c r="CZ125" s="1229"/>
      <c r="DA125" s="1229"/>
      <c r="DB125" s="1229"/>
      <c r="DC125" s="1229"/>
      <c r="DD125" s="1229"/>
      <c r="DE125" s="1229"/>
      <c r="DF125" s="1229"/>
      <c r="DG125" s="1229"/>
      <c r="DH125" s="1229"/>
      <c r="DI125" s="1229"/>
      <c r="DJ125" s="1229"/>
      <c r="DK125" s="1229"/>
      <c r="DL125" s="1229"/>
      <c r="DM125" s="1229"/>
      <c r="DN125" s="1229"/>
      <c r="DO125" s="1229"/>
      <c r="DP125" s="1229"/>
      <c r="DQ125" s="1229"/>
      <c r="DR125" s="1229"/>
      <c r="DS125" s="1229"/>
      <c r="DT125" s="1229"/>
      <c r="DU125" s="1229"/>
      <c r="DV125" s="1229"/>
      <c r="DW125" s="1229"/>
      <c r="DX125" s="1229"/>
      <c r="DY125" s="1229"/>
    </row>
    <row r="126" spans="4:129" s="1223" customFormat="1">
      <c r="D126" s="1241" t="s">
        <v>675</v>
      </c>
      <c r="E126" s="1242"/>
      <c r="F126" s="1242"/>
      <c r="G126" s="1243"/>
      <c r="H126" s="1243"/>
      <c r="I126" s="1243"/>
      <c r="J126" s="1243"/>
      <c r="K126" s="1243"/>
      <c r="L126" s="1243"/>
      <c r="M126" s="1243"/>
      <c r="N126" s="1243"/>
      <c r="O126" s="1243"/>
      <c r="P126" s="1243"/>
      <c r="Q126" s="1243"/>
      <c r="R126" s="1243"/>
      <c r="S126" s="1243"/>
      <c r="T126" s="1243"/>
      <c r="U126" s="1243"/>
      <c r="V126" s="1243"/>
      <c r="W126" s="1243"/>
      <c r="X126" s="1243"/>
      <c r="Y126" s="1243"/>
      <c r="Z126" s="1243"/>
      <c r="AA126" s="1243"/>
      <c r="AB126" s="1243"/>
      <c r="AC126" s="1243"/>
      <c r="AD126" s="1243"/>
      <c r="AE126" s="1243"/>
      <c r="AF126" s="1243"/>
      <c r="AG126" s="1243"/>
      <c r="AH126" s="1243"/>
      <c r="AI126" s="1243"/>
      <c r="AJ126" s="1243"/>
      <c r="AK126" s="1243"/>
      <c r="AL126" s="1243"/>
      <c r="AM126" s="1243"/>
      <c r="AN126" s="1243"/>
      <c r="AO126" s="1243"/>
      <c r="AP126" s="1243"/>
      <c r="AQ126" s="1243"/>
      <c r="AR126" s="1243"/>
      <c r="AS126" s="1243"/>
      <c r="AT126" s="1243"/>
      <c r="AU126" s="1243"/>
      <c r="AV126" s="1243"/>
      <c r="AW126" s="1243"/>
      <c r="AX126" s="1243"/>
      <c r="AY126" s="1243"/>
      <c r="AZ126" s="1243"/>
      <c r="BA126" s="1243"/>
      <c r="BB126" s="1243"/>
      <c r="BC126" s="1243"/>
      <c r="BD126" s="1243"/>
      <c r="BE126" s="1243"/>
      <c r="BF126" s="1243"/>
      <c r="BG126" s="1243"/>
      <c r="BH126" s="1243"/>
      <c r="BI126" s="1243"/>
      <c r="BJ126" s="1243"/>
      <c r="BK126" s="1243"/>
      <c r="BL126" s="1243"/>
      <c r="BM126" s="1243"/>
      <c r="BN126" s="1243"/>
      <c r="BO126" s="1243"/>
      <c r="BP126" s="1243"/>
      <c r="BQ126" s="1243"/>
      <c r="BR126" s="1243"/>
      <c r="BS126" s="1243"/>
      <c r="BT126" s="1243"/>
      <c r="BU126" s="1243"/>
      <c r="BV126" s="1243"/>
      <c r="BW126" s="1243"/>
      <c r="BX126" s="1243"/>
      <c r="BY126" s="1243"/>
      <c r="BZ126" s="1243"/>
      <c r="CA126" s="1243"/>
      <c r="CB126" s="1243"/>
      <c r="CC126" s="1243"/>
      <c r="CD126" s="1243"/>
      <c r="CE126" s="1243"/>
      <c r="CF126" s="1243"/>
      <c r="CG126" s="1243"/>
      <c r="CH126" s="1243"/>
      <c r="CI126" s="1243"/>
      <c r="CJ126" s="1243"/>
      <c r="CK126" s="1243"/>
      <c r="CL126" s="1243"/>
      <c r="CM126" s="1243"/>
      <c r="CN126" s="1243"/>
      <c r="CO126" s="1243"/>
      <c r="CP126" s="1243"/>
      <c r="CQ126" s="1243"/>
      <c r="CR126" s="1243"/>
      <c r="CS126" s="1243"/>
      <c r="CT126" s="1243"/>
      <c r="CU126" s="1243"/>
      <c r="CV126" s="1243"/>
      <c r="CW126" s="1243"/>
      <c r="CX126" s="1243"/>
      <c r="CY126" s="1243"/>
      <c r="CZ126" s="1243"/>
      <c r="DA126" s="1243"/>
      <c r="DB126" s="1243"/>
      <c r="DC126" s="1243"/>
      <c r="DD126" s="1243"/>
      <c r="DE126" s="1243"/>
      <c r="DF126" s="1243"/>
      <c r="DG126" s="1243"/>
      <c r="DH126" s="1243"/>
      <c r="DI126" s="1243"/>
      <c r="DJ126" s="1243"/>
      <c r="DK126" s="1243"/>
      <c r="DL126" s="1243"/>
      <c r="DM126" s="1243"/>
      <c r="DN126" s="1243"/>
      <c r="DO126" s="1243"/>
      <c r="DP126" s="1243"/>
      <c r="DQ126" s="1243"/>
      <c r="DR126" s="1243"/>
      <c r="DS126" s="1243"/>
      <c r="DT126" s="1243"/>
      <c r="DU126" s="1243"/>
      <c r="DV126" s="1243"/>
      <c r="DW126" s="1243"/>
      <c r="DX126" s="1243"/>
      <c r="DY126" s="1243"/>
    </row>
    <row r="127" spans="4:129" s="1223" customFormat="1">
      <c r="D127" s="1240" t="s">
        <v>676</v>
      </c>
      <c r="E127" s="1231">
        <f>E106*(1-E108)</f>
        <v>0.315</v>
      </c>
      <c r="F127" s="1242"/>
      <c r="G127" s="1243">
        <f ca="1">SUM(I127:DY127)</f>
        <v>3613085.0779380803</v>
      </c>
      <c r="H127" s="1243">
        <f t="shared" ref="H127" si="195">IF((H124*$E$152)&lt;0,0,H124*$E$152)</f>
        <v>0</v>
      </c>
      <c r="I127" s="1243"/>
      <c r="J127" s="1243">
        <f ca="1">IF((J124*$E$127)&lt;0,0,J124*$E$127)</f>
        <v>0</v>
      </c>
      <c r="K127" s="1243">
        <f t="shared" ref="K127:BV127" ca="1" si="196">IF((K124*$E$127)&lt;0,0,K124*$E$127)</f>
        <v>0</v>
      </c>
      <c r="L127" s="1243">
        <f t="shared" ca="1" si="196"/>
        <v>0</v>
      </c>
      <c r="M127" s="1243">
        <f t="shared" ca="1" si="196"/>
        <v>0</v>
      </c>
      <c r="N127" s="1243">
        <f t="shared" ca="1" si="196"/>
        <v>0</v>
      </c>
      <c r="O127" s="1243">
        <f t="shared" ca="1" si="196"/>
        <v>0</v>
      </c>
      <c r="P127" s="1243">
        <f t="shared" ca="1" si="196"/>
        <v>0</v>
      </c>
      <c r="Q127" s="1243">
        <f t="shared" ca="1" si="196"/>
        <v>0</v>
      </c>
      <c r="R127" s="1243">
        <f t="shared" ca="1" si="196"/>
        <v>0</v>
      </c>
      <c r="S127" s="1243">
        <f t="shared" ca="1" si="196"/>
        <v>0</v>
      </c>
      <c r="T127" s="1243">
        <f t="shared" ca="1" si="196"/>
        <v>0</v>
      </c>
      <c r="U127" s="1243">
        <f t="shared" ca="1" si="196"/>
        <v>0</v>
      </c>
      <c r="V127" s="1243">
        <f t="shared" ca="1" si="196"/>
        <v>0</v>
      </c>
      <c r="W127" s="1243">
        <f t="shared" ca="1" si="196"/>
        <v>0</v>
      </c>
      <c r="X127" s="1243">
        <f t="shared" ca="1" si="196"/>
        <v>0</v>
      </c>
      <c r="Y127" s="1243">
        <f t="shared" ca="1" si="196"/>
        <v>0</v>
      </c>
      <c r="Z127" s="1243">
        <f t="shared" ca="1" si="196"/>
        <v>0</v>
      </c>
      <c r="AA127" s="1243">
        <f t="shared" ca="1" si="196"/>
        <v>0</v>
      </c>
      <c r="AB127" s="1243">
        <f t="shared" ca="1" si="196"/>
        <v>0</v>
      </c>
      <c r="AC127" s="1243">
        <f t="shared" ca="1" si="196"/>
        <v>0</v>
      </c>
      <c r="AD127" s="1243">
        <f t="shared" ca="1" si="196"/>
        <v>0</v>
      </c>
      <c r="AE127" s="1243">
        <f t="shared" ca="1" si="196"/>
        <v>0</v>
      </c>
      <c r="AF127" s="1243">
        <f t="shared" ca="1" si="196"/>
        <v>0</v>
      </c>
      <c r="AG127" s="1243">
        <f t="shared" ca="1" si="196"/>
        <v>0</v>
      </c>
      <c r="AH127" s="1243">
        <f t="shared" ca="1" si="196"/>
        <v>0</v>
      </c>
      <c r="AI127" s="1243">
        <f t="shared" ca="1" si="196"/>
        <v>28989.176309490238</v>
      </c>
      <c r="AJ127" s="1243">
        <f t="shared" ca="1" si="196"/>
        <v>0</v>
      </c>
      <c r="AK127" s="1243">
        <f t="shared" ca="1" si="196"/>
        <v>27.509038042246658</v>
      </c>
      <c r="AL127" s="1243">
        <f t="shared" ca="1" si="196"/>
        <v>382.04109407205442</v>
      </c>
      <c r="AM127" s="1243">
        <f t="shared" ca="1" si="196"/>
        <v>22.842859183639124</v>
      </c>
      <c r="AN127" s="1243">
        <f t="shared" ca="1" si="196"/>
        <v>0</v>
      </c>
      <c r="AO127" s="1243">
        <f t="shared" ca="1" si="196"/>
        <v>0</v>
      </c>
      <c r="AP127" s="1243">
        <f t="shared" ca="1" si="196"/>
        <v>0</v>
      </c>
      <c r="AQ127" s="1243">
        <f t="shared" ca="1" si="196"/>
        <v>0</v>
      </c>
      <c r="AR127" s="1243">
        <f t="shared" ca="1" si="196"/>
        <v>206.0570044707658</v>
      </c>
      <c r="AS127" s="1243">
        <f t="shared" ca="1" si="196"/>
        <v>489.27092074500121</v>
      </c>
      <c r="AT127" s="1243">
        <f t="shared" ca="1" si="196"/>
        <v>559.19380219882089</v>
      </c>
      <c r="AU127" s="1243">
        <f t="shared" ca="1" si="196"/>
        <v>314.15858203597298</v>
      </c>
      <c r="AV127" s="1243">
        <f t="shared" ca="1" si="196"/>
        <v>305.1502858642362</v>
      </c>
      <c r="AW127" s="1243">
        <f t="shared" ca="1" si="196"/>
        <v>432.09373564979182</v>
      </c>
      <c r="AX127" s="1243">
        <f t="shared" ca="1" si="196"/>
        <v>751.77394043812035</v>
      </c>
      <c r="AY127" s="1243">
        <f t="shared" ca="1" si="196"/>
        <v>269.29710889108708</v>
      </c>
      <c r="AZ127" s="1243">
        <f t="shared" ca="1" si="196"/>
        <v>0</v>
      </c>
      <c r="BA127" s="1243">
        <f t="shared" ca="1" si="196"/>
        <v>0</v>
      </c>
      <c r="BB127" s="1243">
        <f t="shared" ca="1" si="196"/>
        <v>0</v>
      </c>
      <c r="BC127" s="1243">
        <f t="shared" ca="1" si="196"/>
        <v>333.7022124835467</v>
      </c>
      <c r="BD127" s="1243">
        <f t="shared" ca="1" si="196"/>
        <v>492.03523383348619</v>
      </c>
      <c r="BE127" s="1243">
        <f t="shared" ca="1" si="196"/>
        <v>533.77979372088885</v>
      </c>
      <c r="BF127" s="1243">
        <f t="shared" ca="1" si="196"/>
        <v>563.05903869506403</v>
      </c>
      <c r="BG127" s="1243">
        <f t="shared" ca="1" si="196"/>
        <v>314.12390707720846</v>
      </c>
      <c r="BH127" s="1243">
        <f t="shared" ca="1" si="196"/>
        <v>305.0021012413801</v>
      </c>
      <c r="BI127" s="1243">
        <f t="shared" ca="1" si="196"/>
        <v>433.9571737451663</v>
      </c>
      <c r="BJ127" s="1243">
        <f t="shared" ca="1" si="196"/>
        <v>758.55702068043752</v>
      </c>
      <c r="BK127" s="1243">
        <f t="shared" ca="1" si="196"/>
        <v>268.70364268116458</v>
      </c>
      <c r="BL127" s="1243">
        <f t="shared" ca="1" si="196"/>
        <v>0</v>
      </c>
      <c r="BM127" s="1243">
        <f t="shared" ca="1" si="196"/>
        <v>0</v>
      </c>
      <c r="BN127" s="1243">
        <f t="shared" ca="1" si="196"/>
        <v>0</v>
      </c>
      <c r="BO127" s="1243">
        <f t="shared" ca="1" si="196"/>
        <v>403.01132149444396</v>
      </c>
      <c r="BP127" s="1243">
        <f t="shared" ca="1" si="196"/>
        <v>504.50333774056628</v>
      </c>
      <c r="BQ127" s="1243">
        <f t="shared" ca="1" si="196"/>
        <v>546.8418587780119</v>
      </c>
      <c r="BR127" s="1243">
        <f t="shared" ca="1" si="196"/>
        <v>576.64257932224348</v>
      </c>
      <c r="BS127" s="1243">
        <f t="shared" ca="1" si="196"/>
        <v>323.7940732602284</v>
      </c>
      <c r="BT127" s="1243">
        <f t="shared" ca="1" si="196"/>
        <v>314.56005464701627</v>
      </c>
      <c r="BU127" s="1243">
        <f t="shared" ca="1" si="196"/>
        <v>445.5331981273203</v>
      </c>
      <c r="BV127" s="1243">
        <f t="shared" ca="1" si="196"/>
        <v>775.06015355404202</v>
      </c>
      <c r="BW127" s="1243">
        <f t="shared" ref="BW127:DY127" ca="1" si="197">IF((BW124*$E$127)&lt;0,0,BW124*$E$127)</f>
        <v>277.82186546378665</v>
      </c>
      <c r="BX127" s="1243">
        <f t="shared" ca="1" si="197"/>
        <v>0</v>
      </c>
      <c r="BY127" s="1243">
        <f t="shared" ca="1" si="197"/>
        <v>0</v>
      </c>
      <c r="BZ127" s="1243">
        <f t="shared" ca="1" si="197"/>
        <v>0</v>
      </c>
      <c r="CA127" s="1243">
        <f t="shared" ca="1" si="197"/>
        <v>373.11747033515678</v>
      </c>
      <c r="CB127" s="1243">
        <f t="shared" ca="1" si="197"/>
        <v>516.47210678810973</v>
      </c>
      <c r="CC127" s="1243">
        <f t="shared" ca="1" si="197"/>
        <v>559.40265654070322</v>
      </c>
      <c r="CD127" s="1243">
        <f t="shared" ca="1" si="197"/>
        <v>589.72938265963478</v>
      </c>
      <c r="CE127" s="1243">
        <f t="shared" ca="1" si="197"/>
        <v>332.9567413052651</v>
      </c>
      <c r="CF127" s="1243">
        <f t="shared" ca="1" si="197"/>
        <v>323.61198677327889</v>
      </c>
      <c r="CG127" s="1243">
        <f t="shared" ca="1" si="197"/>
        <v>456.60822592343868</v>
      </c>
      <c r="CH127" s="1243">
        <f t="shared" ca="1" si="197"/>
        <v>791.06577648885479</v>
      </c>
      <c r="CI127" s="1243">
        <f t="shared" ca="1" si="197"/>
        <v>286.44035174235853</v>
      </c>
      <c r="CJ127" s="1243">
        <f t="shared" ca="1" si="197"/>
        <v>0</v>
      </c>
      <c r="CK127" s="1243">
        <f t="shared" ca="1" si="197"/>
        <v>0</v>
      </c>
      <c r="CL127" s="1243">
        <f t="shared" ca="1" si="197"/>
        <v>0</v>
      </c>
      <c r="CM127" s="1243">
        <f t="shared" ca="1" si="197"/>
        <v>394.82538307667539</v>
      </c>
      <c r="CN127" s="1243">
        <f t="shared" ca="1" si="197"/>
        <v>527.89995238194297</v>
      </c>
      <c r="CO127" s="1243">
        <f t="shared" ca="1" si="197"/>
        <v>571.4199479036597</v>
      </c>
      <c r="CP127" s="1243">
        <f t="shared" ca="1" si="197"/>
        <v>611.53600102157418</v>
      </c>
      <c r="CQ127" s="1243">
        <f t="shared" ca="1" si="197"/>
        <v>350.83133991276486</v>
      </c>
      <c r="CR127" s="1243">
        <f t="shared" ca="1" si="197"/>
        <v>341.37751592363031</v>
      </c>
      <c r="CS127" s="1243">
        <f t="shared" ca="1" si="197"/>
        <v>476.40036065470503</v>
      </c>
      <c r="CT127" s="1243">
        <f t="shared" ca="1" si="197"/>
        <v>815.78776780725332</v>
      </c>
      <c r="CU127" s="1243">
        <f t="shared" ca="1" si="197"/>
        <v>303.77949266442289</v>
      </c>
      <c r="CV127" s="1243">
        <f t="shared" ca="1" si="197"/>
        <v>0</v>
      </c>
      <c r="CW127" s="1243">
        <f t="shared" ca="1" si="197"/>
        <v>0</v>
      </c>
      <c r="CX127" s="1243">
        <f t="shared" ca="1" si="197"/>
        <v>0</v>
      </c>
      <c r="CY127" s="1243">
        <f t="shared" ca="1" si="197"/>
        <v>530.21114806530079</v>
      </c>
      <c r="CZ127" s="1243">
        <f t="shared" ca="1" si="197"/>
        <v>580.40764332182232</v>
      </c>
      <c r="DA127" s="1243">
        <f t="shared" ca="1" si="197"/>
        <v>625.23323870919069</v>
      </c>
      <c r="DB127" s="1243">
        <f t="shared" ca="1" si="197"/>
        <v>586.04717457254742</v>
      </c>
      <c r="DC127" s="1243">
        <f t="shared" ca="1" si="197"/>
        <v>317.52137363047467</v>
      </c>
      <c r="DD127" s="1243">
        <f t="shared" ca="1" si="197"/>
        <v>307.78393492166663</v>
      </c>
      <c r="DE127" s="1243">
        <f t="shared" ca="1" si="197"/>
        <v>446.85746499467274</v>
      </c>
      <c r="DF127" s="1243">
        <f t="shared" ca="1" si="197"/>
        <v>796.42649436179704</v>
      </c>
      <c r="DG127" s="1243">
        <f t="shared" ca="1" si="197"/>
        <v>269.05797096468217</v>
      </c>
      <c r="DH127" s="1243">
        <f t="shared" ca="1" si="197"/>
        <v>0</v>
      </c>
      <c r="DI127" s="1243">
        <f t="shared" ca="1" si="197"/>
        <v>0</v>
      </c>
      <c r="DJ127" s="1243">
        <f t="shared" ca="1" si="197"/>
        <v>0</v>
      </c>
      <c r="DK127" s="1243">
        <f t="shared" ca="1" si="197"/>
        <v>429.37815054228497</v>
      </c>
      <c r="DL127" s="1243">
        <f t="shared" ca="1" si="197"/>
        <v>553.98496614180226</v>
      </c>
      <c r="DM127" s="1243">
        <f t="shared" ca="1" si="197"/>
        <v>600.15532939079321</v>
      </c>
      <c r="DN127" s="1243">
        <f t="shared" ca="1" si="197"/>
        <v>627.59959926650311</v>
      </c>
      <c r="DO127" s="1243">
        <f t="shared" ca="1" si="197"/>
        <v>351.01802429616964</v>
      </c>
      <c r="DP127" s="1243">
        <f t="shared" ca="1" si="197"/>
        <v>340.98846242609608</v>
      </c>
      <c r="DQ127" s="1243">
        <f t="shared" ca="1" si="197"/>
        <v>484.23419840129384</v>
      </c>
      <c r="DR127" s="1243">
        <f t="shared" ca="1" si="197"/>
        <v>844.29029864943186</v>
      </c>
      <c r="DS127" s="1243">
        <f t="shared" ca="1" si="197"/>
        <v>301.10071955040337</v>
      </c>
      <c r="DT127" s="1243">
        <f t="shared" ca="1" si="197"/>
        <v>0</v>
      </c>
      <c r="DU127" s="1243">
        <f t="shared" ca="1" si="197"/>
        <v>0</v>
      </c>
      <c r="DV127" s="1243">
        <f t="shared" ca="1" si="197"/>
        <v>0</v>
      </c>
      <c r="DW127" s="1243">
        <f t="shared" ca="1" si="197"/>
        <v>477.78523011334312</v>
      </c>
      <c r="DX127" s="1243">
        <f t="shared" ca="1" si="197"/>
        <v>594.57552458283828</v>
      </c>
      <c r="DY127" s="1243">
        <f t="shared" ca="1" si="197"/>
        <v>3553477.9052836457</v>
      </c>
    </row>
    <row r="128" spans="4:129" s="1223" customFormat="1">
      <c r="D128" s="1240" t="s">
        <v>102</v>
      </c>
      <c r="E128" s="1231">
        <f>E107*(1-E108)+E108</f>
        <v>0.68500000000000005</v>
      </c>
      <c r="F128" s="1242"/>
      <c r="G128" s="1243">
        <f ca="1">SUM(I128:DY128)</f>
        <v>7857026.2805955093</v>
      </c>
      <c r="H128" s="1243">
        <f t="shared" ref="H128" si="198">IF((H124*$E$153)&lt;0,0,H124*$E$153)</f>
        <v>0</v>
      </c>
      <c r="I128" s="1243"/>
      <c r="J128" s="1243">
        <f ca="1">IF((J124*$E$128)&lt;0,0,J124*$E$128)</f>
        <v>0</v>
      </c>
      <c r="K128" s="1243">
        <f t="shared" ref="K128:BV128" ca="1" si="199">IF((K124*$E$128)&lt;0,0,K124*$E$128)</f>
        <v>0</v>
      </c>
      <c r="L128" s="1243">
        <f t="shared" ca="1" si="199"/>
        <v>0</v>
      </c>
      <c r="M128" s="1243">
        <f t="shared" ca="1" si="199"/>
        <v>0</v>
      </c>
      <c r="N128" s="1243">
        <f t="shared" ca="1" si="199"/>
        <v>0</v>
      </c>
      <c r="O128" s="1243">
        <f t="shared" ca="1" si="199"/>
        <v>0</v>
      </c>
      <c r="P128" s="1243">
        <f t="shared" ca="1" si="199"/>
        <v>0</v>
      </c>
      <c r="Q128" s="1243">
        <f t="shared" ca="1" si="199"/>
        <v>0</v>
      </c>
      <c r="R128" s="1243">
        <f t="shared" ca="1" si="199"/>
        <v>0</v>
      </c>
      <c r="S128" s="1243">
        <f t="shared" ca="1" si="199"/>
        <v>0</v>
      </c>
      <c r="T128" s="1243">
        <f t="shared" ca="1" si="199"/>
        <v>0</v>
      </c>
      <c r="U128" s="1243">
        <f t="shared" ca="1" si="199"/>
        <v>0</v>
      </c>
      <c r="V128" s="1243">
        <f t="shared" ca="1" si="199"/>
        <v>0</v>
      </c>
      <c r="W128" s="1243">
        <f t="shared" ca="1" si="199"/>
        <v>0</v>
      </c>
      <c r="X128" s="1243">
        <f t="shared" ca="1" si="199"/>
        <v>0</v>
      </c>
      <c r="Y128" s="1243">
        <f t="shared" ca="1" si="199"/>
        <v>0</v>
      </c>
      <c r="Z128" s="1243">
        <f t="shared" ca="1" si="199"/>
        <v>0</v>
      </c>
      <c r="AA128" s="1243">
        <f t="shared" ca="1" si="199"/>
        <v>0</v>
      </c>
      <c r="AB128" s="1243">
        <f t="shared" ca="1" si="199"/>
        <v>0</v>
      </c>
      <c r="AC128" s="1243">
        <f t="shared" ca="1" si="199"/>
        <v>0</v>
      </c>
      <c r="AD128" s="1243">
        <f t="shared" ca="1" si="199"/>
        <v>0</v>
      </c>
      <c r="AE128" s="1243">
        <f t="shared" ca="1" si="199"/>
        <v>0</v>
      </c>
      <c r="AF128" s="1243">
        <f t="shared" ca="1" si="199"/>
        <v>0</v>
      </c>
      <c r="AG128" s="1243">
        <f t="shared" ca="1" si="199"/>
        <v>0</v>
      </c>
      <c r="AH128" s="1243">
        <f t="shared" ca="1" si="199"/>
        <v>0</v>
      </c>
      <c r="AI128" s="1243">
        <f t="shared" ca="1" si="199"/>
        <v>63039.954831748611</v>
      </c>
      <c r="AJ128" s="1243">
        <f t="shared" ca="1" si="199"/>
        <v>0</v>
      </c>
      <c r="AK128" s="1243">
        <f t="shared" ca="1" si="199"/>
        <v>59.821241456949089</v>
      </c>
      <c r="AL128" s="1243">
        <f t="shared" ca="1" si="199"/>
        <v>830.78777599795967</v>
      </c>
      <c r="AM128" s="1243">
        <f t="shared" ca="1" si="199"/>
        <v>49.674154097754922</v>
      </c>
      <c r="AN128" s="1243">
        <f t="shared" ca="1" si="199"/>
        <v>0</v>
      </c>
      <c r="AO128" s="1243">
        <f t="shared" ca="1" si="199"/>
        <v>0</v>
      </c>
      <c r="AP128" s="1243">
        <f t="shared" ca="1" si="199"/>
        <v>0</v>
      </c>
      <c r="AQ128" s="1243">
        <f t="shared" ca="1" si="199"/>
        <v>0</v>
      </c>
      <c r="AR128" s="1243">
        <f t="shared" ca="1" si="199"/>
        <v>448.09221607134788</v>
      </c>
      <c r="AS128" s="1243">
        <f t="shared" ca="1" si="199"/>
        <v>1063.9700974930979</v>
      </c>
      <c r="AT128" s="1243">
        <f t="shared" ca="1" si="199"/>
        <v>1216.0246174799759</v>
      </c>
      <c r="AU128" s="1243">
        <f t="shared" ca="1" si="199"/>
        <v>683.1702498242588</v>
      </c>
      <c r="AV128" s="1243">
        <f t="shared" ca="1" si="199"/>
        <v>663.58078037143423</v>
      </c>
      <c r="AW128" s="1243">
        <f t="shared" ca="1" si="199"/>
        <v>939.63240927018228</v>
      </c>
      <c r="AX128" s="1243">
        <f t="shared" ca="1" si="199"/>
        <v>1634.8099974606746</v>
      </c>
      <c r="AY128" s="1243">
        <f t="shared" ca="1" si="199"/>
        <v>585.61434790601481</v>
      </c>
      <c r="AZ128" s="1243">
        <f t="shared" ca="1" si="199"/>
        <v>0</v>
      </c>
      <c r="BA128" s="1243">
        <f t="shared" ca="1" si="199"/>
        <v>0</v>
      </c>
      <c r="BB128" s="1243">
        <f t="shared" ca="1" si="199"/>
        <v>0</v>
      </c>
      <c r="BC128" s="1243">
        <f t="shared" ca="1" si="199"/>
        <v>725.66989063882374</v>
      </c>
      <c r="BD128" s="1243">
        <f t="shared" ca="1" si="199"/>
        <v>1069.9813815109146</v>
      </c>
      <c r="BE128" s="1243">
        <f t="shared" ca="1" si="199"/>
        <v>1160.7592339644725</v>
      </c>
      <c r="BF128" s="1243">
        <f t="shared" ca="1" si="199"/>
        <v>1224.4299730352982</v>
      </c>
      <c r="BG128" s="1243">
        <f t="shared" ca="1" si="199"/>
        <v>683.09484554885023</v>
      </c>
      <c r="BH128" s="1243">
        <f t="shared" ca="1" si="199"/>
        <v>663.25853762014401</v>
      </c>
      <c r="BI128" s="1243">
        <f t="shared" ca="1" si="199"/>
        <v>943.68464766806017</v>
      </c>
      <c r="BJ128" s="1243">
        <f t="shared" ca="1" si="199"/>
        <v>1649.5605052892056</v>
      </c>
      <c r="BK128" s="1243">
        <f t="shared" ca="1" si="199"/>
        <v>584.32379440189754</v>
      </c>
      <c r="BL128" s="1243">
        <f t="shared" ca="1" si="199"/>
        <v>0</v>
      </c>
      <c r="BM128" s="1243">
        <f t="shared" ca="1" si="199"/>
        <v>0</v>
      </c>
      <c r="BN128" s="1243">
        <f t="shared" ca="1" si="199"/>
        <v>0</v>
      </c>
      <c r="BO128" s="1243">
        <f t="shared" ca="1" si="199"/>
        <v>876.38969912283858</v>
      </c>
      <c r="BP128" s="1243">
        <f t="shared" ca="1" si="199"/>
        <v>1097.0945598485332</v>
      </c>
      <c r="BQ128" s="1243">
        <f t="shared" ca="1" si="199"/>
        <v>1189.1640421045656</v>
      </c>
      <c r="BR128" s="1243">
        <f t="shared" ca="1" si="199"/>
        <v>1253.9687836055136</v>
      </c>
      <c r="BS128" s="1243">
        <f t="shared" ca="1" si="199"/>
        <v>704.12361962938564</v>
      </c>
      <c r="BT128" s="1243">
        <f t="shared" ca="1" si="199"/>
        <v>684.04329343874974</v>
      </c>
      <c r="BU128" s="1243">
        <f t="shared" ca="1" si="199"/>
        <v>968.85790703877592</v>
      </c>
      <c r="BV128" s="1243">
        <f t="shared" ca="1" si="199"/>
        <v>1685.448270427044</v>
      </c>
      <c r="BW128" s="1243">
        <f t="shared" ref="BW128:DY128" ca="1" si="200">IF((BW124*$E$128)&lt;0,0,BW124*$E$128)</f>
        <v>604.15231061172665</v>
      </c>
      <c r="BX128" s="1243">
        <f t="shared" ca="1" si="200"/>
        <v>0</v>
      </c>
      <c r="BY128" s="1243">
        <f t="shared" ca="1" si="200"/>
        <v>0</v>
      </c>
      <c r="BZ128" s="1243">
        <f t="shared" ca="1" si="200"/>
        <v>0</v>
      </c>
      <c r="CA128" s="1243">
        <f t="shared" ca="1" si="200"/>
        <v>811.38243549073786</v>
      </c>
      <c r="CB128" s="1243">
        <f t="shared" ca="1" si="200"/>
        <v>1123.1218830154135</v>
      </c>
      <c r="CC128" s="1243">
        <f t="shared" ca="1" si="200"/>
        <v>1216.4787927948626</v>
      </c>
      <c r="CD128" s="1243">
        <f t="shared" ca="1" si="200"/>
        <v>1282.4273876884122</v>
      </c>
      <c r="CE128" s="1243">
        <f t="shared" ca="1" si="200"/>
        <v>724.04878664795751</v>
      </c>
      <c r="CF128" s="1243">
        <f t="shared" ca="1" si="200"/>
        <v>703.72765377681287</v>
      </c>
      <c r="CG128" s="1243">
        <f t="shared" ca="1" si="200"/>
        <v>992.94169764303342</v>
      </c>
      <c r="CH128" s="1243">
        <f t="shared" ca="1" si="200"/>
        <v>1720.2541488725892</v>
      </c>
      <c r="CI128" s="1243">
        <f t="shared" ca="1" si="200"/>
        <v>622.89409823338292</v>
      </c>
      <c r="CJ128" s="1243">
        <f t="shared" ca="1" si="200"/>
        <v>0</v>
      </c>
      <c r="CK128" s="1243">
        <f t="shared" ca="1" si="200"/>
        <v>0</v>
      </c>
      <c r="CL128" s="1243">
        <f t="shared" ca="1" si="200"/>
        <v>0</v>
      </c>
      <c r="CM128" s="1243">
        <f t="shared" ca="1" si="200"/>
        <v>858.58853145245291</v>
      </c>
      <c r="CN128" s="1243">
        <f t="shared" ca="1" si="200"/>
        <v>1147.972912322638</v>
      </c>
      <c r="CO128" s="1243">
        <f t="shared" ca="1" si="200"/>
        <v>1242.611632742879</v>
      </c>
      <c r="CP128" s="1243">
        <f t="shared" ca="1" si="200"/>
        <v>1329.8481292056454</v>
      </c>
      <c r="CQ128" s="1243">
        <f t="shared" ca="1" si="200"/>
        <v>762.91894552458393</v>
      </c>
      <c r="CR128" s="1243">
        <f t="shared" ca="1" si="200"/>
        <v>742.36062986567231</v>
      </c>
      <c r="CS128" s="1243">
        <f t="shared" ca="1" si="200"/>
        <v>1035.981736661819</v>
      </c>
      <c r="CT128" s="1243">
        <f t="shared" ca="1" si="200"/>
        <v>1774.0146696760908</v>
      </c>
      <c r="CU128" s="1243">
        <f t="shared" ca="1" si="200"/>
        <v>660.59984912739583</v>
      </c>
      <c r="CV128" s="1243">
        <f t="shared" ca="1" si="200"/>
        <v>0</v>
      </c>
      <c r="CW128" s="1243">
        <f t="shared" ca="1" si="200"/>
        <v>0</v>
      </c>
      <c r="CX128" s="1243">
        <f t="shared" ca="1" si="200"/>
        <v>0</v>
      </c>
      <c r="CY128" s="1243">
        <f t="shared" ca="1" si="200"/>
        <v>1152.9988457927971</v>
      </c>
      <c r="CZ128" s="1243">
        <f t="shared" ca="1" si="200"/>
        <v>1262.1563037315821</v>
      </c>
      <c r="DA128" s="1243">
        <f t="shared" ca="1" si="200"/>
        <v>1359.6341857644306</v>
      </c>
      <c r="DB128" s="1243">
        <f t="shared" ca="1" si="200"/>
        <v>1274.4200462926826</v>
      </c>
      <c r="DC128" s="1243">
        <f t="shared" ca="1" si="200"/>
        <v>690.48298710119104</v>
      </c>
      <c r="DD128" s="1243">
        <f t="shared" ca="1" si="200"/>
        <v>669.30792197251321</v>
      </c>
      <c r="DE128" s="1243">
        <f t="shared" ca="1" si="200"/>
        <v>971.73766197254236</v>
      </c>
      <c r="DF128" s="1243">
        <f t="shared" ca="1" si="200"/>
        <v>1731.9115829772413</v>
      </c>
      <c r="DG128" s="1243">
        <f t="shared" ca="1" si="200"/>
        <v>585.09431781208662</v>
      </c>
      <c r="DH128" s="1243">
        <f t="shared" ca="1" si="200"/>
        <v>0</v>
      </c>
      <c r="DI128" s="1243">
        <f t="shared" ca="1" si="200"/>
        <v>0</v>
      </c>
      <c r="DJ128" s="1243">
        <f t="shared" ca="1" si="200"/>
        <v>0</v>
      </c>
      <c r="DK128" s="1243">
        <f t="shared" ca="1" si="200"/>
        <v>933.72708927449276</v>
      </c>
      <c r="DL128" s="1243">
        <f t="shared" ca="1" si="200"/>
        <v>1204.6974660543954</v>
      </c>
      <c r="DM128" s="1243">
        <f t="shared" ca="1" si="200"/>
        <v>1305.099684548233</v>
      </c>
      <c r="DN128" s="1243">
        <f t="shared" ca="1" si="200"/>
        <v>1364.780080944618</v>
      </c>
      <c r="DO128" s="1243">
        <f t="shared" ca="1" si="200"/>
        <v>763.32490997738489</v>
      </c>
      <c r="DP128" s="1243">
        <f t="shared" ca="1" si="200"/>
        <v>741.51459289484387</v>
      </c>
      <c r="DQ128" s="1243">
        <f t="shared" ca="1" si="200"/>
        <v>1053.0172250948772</v>
      </c>
      <c r="DR128" s="1243">
        <f t="shared" ca="1" si="200"/>
        <v>1835.9963637297171</v>
      </c>
      <c r="DS128" s="1243">
        <f t="shared" ca="1" si="200"/>
        <v>654.77458060960737</v>
      </c>
      <c r="DT128" s="1243">
        <f t="shared" ca="1" si="200"/>
        <v>0</v>
      </c>
      <c r="DU128" s="1243">
        <f t="shared" ca="1" si="200"/>
        <v>0</v>
      </c>
      <c r="DV128" s="1243">
        <f t="shared" ca="1" si="200"/>
        <v>0</v>
      </c>
      <c r="DW128" s="1243">
        <f t="shared" ca="1" si="200"/>
        <v>1038.9932781829843</v>
      </c>
      <c r="DX128" s="1243">
        <f t="shared" ca="1" si="200"/>
        <v>1292.9658232991883</v>
      </c>
      <c r="DY128" s="1243">
        <f t="shared" ca="1" si="200"/>
        <v>7727404.3337120563</v>
      </c>
    </row>
    <row r="129" spans="2:129" s="1223" customFormat="1">
      <c r="D129" s="1242"/>
      <c r="E129" s="1244">
        <f>1-SUM(E127:E128)</f>
        <v>0</v>
      </c>
      <c r="F129" s="1242"/>
      <c r="G129" s="1243"/>
      <c r="H129" s="1243"/>
      <c r="I129" s="1243"/>
      <c r="J129" s="1243"/>
      <c r="K129" s="1243"/>
      <c r="L129" s="1243"/>
      <c r="M129" s="1243"/>
      <c r="N129" s="1243"/>
      <c r="O129" s="1243"/>
      <c r="P129" s="1243"/>
      <c r="Q129" s="1243"/>
      <c r="R129" s="1243"/>
      <c r="S129" s="1243"/>
      <c r="T129" s="1243"/>
      <c r="U129" s="1243"/>
      <c r="V129" s="1243"/>
      <c r="W129" s="1243"/>
      <c r="X129" s="1243"/>
      <c r="Y129" s="1243"/>
      <c r="Z129" s="1243"/>
      <c r="AA129" s="1243"/>
      <c r="AB129" s="1243"/>
      <c r="AC129" s="1243"/>
      <c r="AD129" s="1243"/>
      <c r="AE129" s="1243"/>
      <c r="AF129" s="1243"/>
      <c r="AG129" s="1243"/>
      <c r="AH129" s="1243"/>
      <c r="AI129" s="1243"/>
      <c r="AJ129" s="1243"/>
      <c r="AK129" s="1243"/>
      <c r="AL129" s="1243"/>
      <c r="AM129" s="1243"/>
      <c r="AN129" s="1243"/>
      <c r="AO129" s="1243"/>
      <c r="AP129" s="1243"/>
      <c r="AQ129" s="1243"/>
      <c r="AR129" s="1243"/>
      <c r="AS129" s="1243"/>
      <c r="AT129" s="1243"/>
      <c r="AU129" s="1243"/>
      <c r="AV129" s="1243"/>
      <c r="AW129" s="1243"/>
      <c r="AX129" s="1243"/>
      <c r="AY129" s="1243"/>
      <c r="AZ129" s="1243"/>
      <c r="BA129" s="1243"/>
      <c r="BB129" s="1243"/>
      <c r="BC129" s="1243"/>
      <c r="BD129" s="1243"/>
      <c r="BE129" s="1243"/>
      <c r="BF129" s="1243"/>
      <c r="BG129" s="1243"/>
      <c r="BH129" s="1243"/>
      <c r="BI129" s="1243"/>
      <c r="BJ129" s="1243"/>
      <c r="BK129" s="1243"/>
      <c r="BL129" s="1243"/>
      <c r="BM129" s="1243"/>
      <c r="BN129" s="1243"/>
      <c r="BO129" s="1243"/>
      <c r="BP129" s="1243"/>
      <c r="BQ129" s="1243"/>
      <c r="BR129" s="1243"/>
      <c r="BS129" s="1243"/>
      <c r="BT129" s="1243"/>
      <c r="BU129" s="1243"/>
      <c r="BV129" s="1243"/>
      <c r="BW129" s="1243"/>
      <c r="BX129" s="1243"/>
      <c r="BY129" s="1243"/>
      <c r="BZ129" s="1243"/>
      <c r="CA129" s="1243"/>
      <c r="CB129" s="1243"/>
      <c r="CC129" s="1243"/>
      <c r="CD129" s="1243"/>
      <c r="CE129" s="1243"/>
      <c r="CF129" s="1243"/>
      <c r="CG129" s="1243"/>
      <c r="CH129" s="1243"/>
      <c r="CI129" s="1243"/>
      <c r="CJ129" s="1243"/>
      <c r="CK129" s="1243"/>
      <c r="CL129" s="1243"/>
      <c r="CM129" s="1243"/>
      <c r="CN129" s="1243"/>
      <c r="CO129" s="1243"/>
      <c r="CP129" s="1243"/>
      <c r="CQ129" s="1243"/>
      <c r="CR129" s="1243"/>
      <c r="CS129" s="1243"/>
      <c r="CT129" s="1243"/>
      <c r="CU129" s="1243"/>
      <c r="CV129" s="1243"/>
      <c r="CW129" s="1243"/>
      <c r="CX129" s="1243"/>
      <c r="CY129" s="1243"/>
      <c r="CZ129" s="1243"/>
      <c r="DA129" s="1243"/>
      <c r="DB129" s="1243"/>
      <c r="DC129" s="1243"/>
      <c r="DD129" s="1243"/>
      <c r="DE129" s="1243"/>
      <c r="DF129" s="1243"/>
      <c r="DG129" s="1243"/>
      <c r="DH129" s="1243"/>
      <c r="DI129" s="1243"/>
      <c r="DJ129" s="1243"/>
      <c r="DK129" s="1243"/>
      <c r="DL129" s="1243"/>
      <c r="DM129" s="1243"/>
      <c r="DN129" s="1243"/>
      <c r="DO129" s="1243"/>
      <c r="DP129" s="1243"/>
      <c r="DQ129" s="1243"/>
      <c r="DR129" s="1243"/>
      <c r="DS129" s="1243"/>
      <c r="DT129" s="1243"/>
      <c r="DU129" s="1243"/>
      <c r="DV129" s="1243"/>
      <c r="DW129" s="1243"/>
      <c r="DX129" s="1243"/>
      <c r="DY129" s="1243"/>
    </row>
    <row r="130" spans="2:129" s="1223" customFormat="1">
      <c r="D130" s="1241" t="s">
        <v>677</v>
      </c>
      <c r="E130" s="1242"/>
      <c r="F130" s="1242"/>
      <c r="G130" s="1243"/>
      <c r="H130" s="1243"/>
      <c r="I130" s="1243"/>
      <c r="J130" s="1243"/>
      <c r="K130" s="1243"/>
      <c r="L130" s="1243"/>
      <c r="M130" s="1243"/>
      <c r="N130" s="1243"/>
      <c r="O130" s="1243"/>
      <c r="P130" s="1243"/>
      <c r="Q130" s="1243"/>
      <c r="R130" s="1243"/>
      <c r="S130" s="1243"/>
      <c r="T130" s="1243"/>
      <c r="U130" s="1243"/>
      <c r="V130" s="1243"/>
      <c r="W130" s="1243"/>
      <c r="X130" s="1243"/>
      <c r="Y130" s="1243"/>
      <c r="Z130" s="1243"/>
      <c r="AA130" s="1243"/>
      <c r="AB130" s="1243"/>
      <c r="AC130" s="1243"/>
      <c r="AD130" s="1243"/>
      <c r="AE130" s="1243"/>
      <c r="AF130" s="1243"/>
      <c r="AG130" s="1243"/>
      <c r="AH130" s="1243"/>
      <c r="AI130" s="1243"/>
      <c r="AJ130" s="1243"/>
      <c r="AK130" s="1243"/>
      <c r="AL130" s="1243"/>
      <c r="AM130" s="1243"/>
      <c r="AN130" s="1243"/>
      <c r="AO130" s="1243"/>
      <c r="AP130" s="1243"/>
      <c r="AQ130" s="1243"/>
      <c r="AR130" s="1243"/>
      <c r="AS130" s="1243"/>
      <c r="AT130" s="1243"/>
      <c r="AU130" s="1243"/>
      <c r="AV130" s="1243"/>
      <c r="AW130" s="1243"/>
      <c r="AX130" s="1243"/>
      <c r="AY130" s="1243"/>
      <c r="AZ130" s="1243"/>
      <c r="BA130" s="1243"/>
      <c r="BB130" s="1243"/>
      <c r="BC130" s="1243"/>
      <c r="BD130" s="1243"/>
      <c r="BE130" s="1243"/>
      <c r="BF130" s="1243"/>
      <c r="BG130" s="1243"/>
      <c r="BH130" s="1243"/>
      <c r="BI130" s="1243"/>
      <c r="BJ130" s="1243"/>
      <c r="BK130" s="1243"/>
      <c r="BL130" s="1243"/>
      <c r="BM130" s="1243"/>
      <c r="BN130" s="1243"/>
      <c r="BO130" s="1243"/>
      <c r="BP130" s="1243"/>
      <c r="BQ130" s="1243"/>
      <c r="BR130" s="1243"/>
      <c r="BS130" s="1243"/>
      <c r="BT130" s="1243"/>
      <c r="BU130" s="1243"/>
      <c r="BV130" s="1243"/>
      <c r="BW130" s="1243"/>
      <c r="BX130" s="1243"/>
      <c r="BY130" s="1243"/>
      <c r="BZ130" s="1243"/>
      <c r="CA130" s="1243"/>
      <c r="CB130" s="1243"/>
      <c r="CC130" s="1243"/>
      <c r="CD130" s="1243"/>
      <c r="CE130" s="1243"/>
      <c r="CF130" s="1243"/>
      <c r="CG130" s="1243"/>
      <c r="CH130" s="1243"/>
      <c r="CI130" s="1243"/>
      <c r="CJ130" s="1243"/>
      <c r="CK130" s="1243"/>
      <c r="CL130" s="1243"/>
      <c r="CM130" s="1243"/>
      <c r="CN130" s="1243"/>
      <c r="CO130" s="1243"/>
      <c r="CP130" s="1243"/>
      <c r="CQ130" s="1243"/>
      <c r="CR130" s="1243"/>
      <c r="CS130" s="1243"/>
      <c r="CT130" s="1243"/>
      <c r="CU130" s="1243"/>
      <c r="CV130" s="1243"/>
      <c r="CW130" s="1243"/>
      <c r="CX130" s="1243"/>
      <c r="CY130" s="1243"/>
      <c r="CZ130" s="1243"/>
      <c r="DA130" s="1243"/>
      <c r="DB130" s="1243"/>
      <c r="DC130" s="1243"/>
      <c r="DD130" s="1243"/>
      <c r="DE130" s="1243"/>
      <c r="DF130" s="1243"/>
      <c r="DG130" s="1243"/>
      <c r="DH130" s="1243"/>
      <c r="DI130" s="1243"/>
      <c r="DJ130" s="1243"/>
      <c r="DK130" s="1243"/>
      <c r="DL130" s="1243"/>
      <c r="DM130" s="1243"/>
      <c r="DN130" s="1243"/>
      <c r="DO130" s="1243"/>
      <c r="DP130" s="1243"/>
      <c r="DQ130" s="1243"/>
      <c r="DR130" s="1243"/>
      <c r="DS130" s="1243"/>
      <c r="DT130" s="1243"/>
      <c r="DU130" s="1243"/>
      <c r="DV130" s="1243"/>
      <c r="DW130" s="1243"/>
      <c r="DX130" s="1243"/>
      <c r="DY130" s="1243"/>
    </row>
    <row r="131" spans="2:129" s="1223" customFormat="1">
      <c r="D131" s="1240" t="s">
        <v>676</v>
      </c>
      <c r="E131" s="1243"/>
      <c r="F131" s="1242"/>
      <c r="G131" s="1243">
        <f t="shared" ref="G131:G132" ca="1" si="201">SUM(I131:DY131)</f>
        <v>5424703.0288037788</v>
      </c>
      <c r="H131" s="1243">
        <f t="shared" ref="H131:BS132" si="202">IF(H106&lt;0,H106,H121+H127)</f>
        <v>0</v>
      </c>
      <c r="I131" s="1243"/>
      <c r="J131" s="1243">
        <f t="shared" ca="1" si="202"/>
        <v>-467999.99999999988</v>
      </c>
      <c r="K131" s="1243">
        <f t="shared" ca="1" si="202"/>
        <v>-35203.770643660479</v>
      </c>
      <c r="L131" s="1243">
        <f t="shared" ca="1" si="202"/>
        <v>-247566.35995460665</v>
      </c>
      <c r="M131" s="1243">
        <f t="shared" ca="1" si="202"/>
        <v>-247566.35995460665</v>
      </c>
      <c r="N131" s="1243">
        <f t="shared" ca="1" si="202"/>
        <v>-247566.35995460665</v>
      </c>
      <c r="O131" s="1243">
        <f t="shared" ca="1" si="202"/>
        <v>-247566.35995460665</v>
      </c>
      <c r="P131" s="1243">
        <f t="shared" ca="1" si="202"/>
        <v>-247566.35995460665</v>
      </c>
      <c r="Q131" s="1243">
        <f t="shared" ca="1" si="202"/>
        <v>-238397.62021068746</v>
      </c>
      <c r="R131" s="1243">
        <f t="shared" ca="1" si="202"/>
        <v>0</v>
      </c>
      <c r="S131" s="1243">
        <f t="shared" ca="1" si="202"/>
        <v>0</v>
      </c>
      <c r="T131" s="1243">
        <f t="shared" ca="1" si="202"/>
        <v>0</v>
      </c>
      <c r="U131" s="1243">
        <f t="shared" ca="1" si="202"/>
        <v>0</v>
      </c>
      <c r="V131" s="1243">
        <f t="shared" ca="1" si="202"/>
        <v>0</v>
      </c>
      <c r="W131" s="1243">
        <f t="shared" ca="1" si="202"/>
        <v>0</v>
      </c>
      <c r="X131" s="1243">
        <f t="shared" ca="1" si="202"/>
        <v>0</v>
      </c>
      <c r="Y131" s="1243">
        <f t="shared" ca="1" si="202"/>
        <v>0</v>
      </c>
      <c r="Z131" s="1243">
        <f t="shared" ca="1" si="202"/>
        <v>0</v>
      </c>
      <c r="AA131" s="1243">
        <f t="shared" ca="1" si="202"/>
        <v>0</v>
      </c>
      <c r="AB131" s="1243">
        <f t="shared" ca="1" si="202"/>
        <v>0</v>
      </c>
      <c r="AC131" s="1243">
        <f t="shared" ca="1" si="202"/>
        <v>0</v>
      </c>
      <c r="AD131" s="1243">
        <f t="shared" ca="1" si="202"/>
        <v>0</v>
      </c>
      <c r="AE131" s="1243">
        <f t="shared" ca="1" si="202"/>
        <v>0</v>
      </c>
      <c r="AF131" s="1243">
        <f t="shared" ca="1" si="202"/>
        <v>0</v>
      </c>
      <c r="AG131" s="1243">
        <f t="shared" ca="1" si="202"/>
        <v>0</v>
      </c>
      <c r="AH131" s="1243">
        <f t="shared" ca="1" si="202"/>
        <v>0</v>
      </c>
      <c r="AI131" s="1243">
        <f t="shared" ca="1" si="202"/>
        <v>774425.13855352462</v>
      </c>
      <c r="AJ131" s="1243">
        <f t="shared" ca="1" si="202"/>
        <v>0</v>
      </c>
      <c r="AK131" s="1243">
        <f t="shared" ca="1" si="202"/>
        <v>734.88430198573201</v>
      </c>
      <c r="AL131" s="1243">
        <f t="shared" ca="1" si="202"/>
        <v>10205.954941639169</v>
      </c>
      <c r="AM131" s="1243">
        <f t="shared" ca="1" si="202"/>
        <v>610.23066676293058</v>
      </c>
      <c r="AN131" s="1243">
        <f t="shared" ca="1" si="202"/>
        <v>0</v>
      </c>
      <c r="AO131" s="1243">
        <f t="shared" ca="1" si="202"/>
        <v>0</v>
      </c>
      <c r="AP131" s="1243">
        <f t="shared" ca="1" si="202"/>
        <v>0</v>
      </c>
      <c r="AQ131" s="1243">
        <f t="shared" ca="1" si="202"/>
        <v>0</v>
      </c>
      <c r="AR131" s="1243">
        <f t="shared" ca="1" si="202"/>
        <v>5504.6656908618861</v>
      </c>
      <c r="AS131" s="1243">
        <f t="shared" ca="1" si="202"/>
        <v>13070.523168473601</v>
      </c>
      <c r="AT131" s="1243">
        <f t="shared" ca="1" si="202"/>
        <v>14938.463001597083</v>
      </c>
      <c r="AU131" s="1243">
        <f t="shared" ca="1" si="202"/>
        <v>8392.5221201038512</v>
      </c>
      <c r="AV131" s="1243">
        <f t="shared" ca="1" si="202"/>
        <v>8151.8719223731659</v>
      </c>
      <c r="AW131" s="1243">
        <f t="shared" ca="1" si="202"/>
        <v>11543.075509501579</v>
      </c>
      <c r="AX131" s="1243">
        <f t="shared" ca="1" si="202"/>
        <v>20083.10383741837</v>
      </c>
      <c r="AY131" s="1243">
        <f t="shared" ca="1" si="202"/>
        <v>7194.0799089476122</v>
      </c>
      <c r="AZ131" s="1243">
        <f t="shared" ca="1" si="202"/>
        <v>0</v>
      </c>
      <c r="BA131" s="1243">
        <f t="shared" ca="1" si="202"/>
        <v>0</v>
      </c>
      <c r="BB131" s="1243">
        <f t="shared" ca="1" si="202"/>
        <v>0</v>
      </c>
      <c r="BC131" s="1243">
        <f t="shared" ca="1" si="202"/>
        <v>8914.6162477747566</v>
      </c>
      <c r="BD131" s="1243">
        <f t="shared" ca="1" si="202"/>
        <v>13144.369818123141</v>
      </c>
      <c r="BE131" s="1243">
        <f t="shared" ca="1" si="202"/>
        <v>14259.545917972313</v>
      </c>
      <c r="BF131" s="1243">
        <f t="shared" ca="1" si="202"/>
        <v>15041.720033710995</v>
      </c>
      <c r="BG131" s="1243">
        <f t="shared" ca="1" si="202"/>
        <v>8391.5958033482893</v>
      </c>
      <c r="BH131" s="1243">
        <f t="shared" ca="1" si="202"/>
        <v>8147.9132760197281</v>
      </c>
      <c r="BI131" s="1243">
        <f t="shared" ca="1" si="202"/>
        <v>11592.855927192299</v>
      </c>
      <c r="BJ131" s="1243">
        <f t="shared" ca="1" si="202"/>
        <v>20264.308981034548</v>
      </c>
      <c r="BK131" s="1243">
        <f t="shared" ca="1" si="202"/>
        <v>7178.2258830539677</v>
      </c>
      <c r="BL131" s="1243">
        <f t="shared" ca="1" si="202"/>
        <v>0</v>
      </c>
      <c r="BM131" s="1243">
        <f t="shared" ca="1" si="202"/>
        <v>0</v>
      </c>
      <c r="BN131" s="1243">
        <f t="shared" ca="1" si="202"/>
        <v>0</v>
      </c>
      <c r="BO131" s="1243">
        <f t="shared" ca="1" si="202"/>
        <v>10766.159588494429</v>
      </c>
      <c r="BP131" s="1243">
        <f t="shared" ca="1" si="202"/>
        <v>13477.446308212277</v>
      </c>
      <c r="BQ131" s="1243">
        <f t="shared" ca="1" si="202"/>
        <v>14608.489655926893</v>
      </c>
      <c r="BR131" s="1243">
        <f t="shared" ca="1" si="202"/>
        <v>15404.594619037096</v>
      </c>
      <c r="BS131" s="1243">
        <f t="shared" ca="1" si="202"/>
        <v>8649.927385666113</v>
      </c>
      <c r="BT131" s="1243">
        <f t="shared" ref="BT131:DY132" ca="1" si="203">IF(BT106&lt;0,BT106,BT121+BT127)</f>
        <v>8403.2471741417212</v>
      </c>
      <c r="BU131" s="1243">
        <f t="shared" ca="1" si="203"/>
        <v>11902.101149972699</v>
      </c>
      <c r="BV131" s="1243">
        <f t="shared" ca="1" si="203"/>
        <v>20705.178387800828</v>
      </c>
      <c r="BW131" s="1243">
        <f t="shared" ca="1" si="203"/>
        <v>7421.8126916754427</v>
      </c>
      <c r="BX131" s="1243">
        <f t="shared" ca="1" si="203"/>
        <v>0</v>
      </c>
      <c r="BY131" s="1243">
        <f t="shared" ca="1" si="203"/>
        <v>0</v>
      </c>
      <c r="BZ131" s="1243">
        <f t="shared" ca="1" si="203"/>
        <v>0</v>
      </c>
      <c r="CA131" s="1243">
        <f t="shared" ca="1" si="203"/>
        <v>9967.5667075249075</v>
      </c>
      <c r="CB131" s="1243">
        <f t="shared" ca="1" si="203"/>
        <v>13797.183424196646</v>
      </c>
      <c r="CC131" s="1243">
        <f t="shared" ca="1" si="203"/>
        <v>14944.042396158797</v>
      </c>
      <c r="CD131" s="1243">
        <f t="shared" ca="1" si="203"/>
        <v>15754.199222478814</v>
      </c>
      <c r="CE131" s="1243">
        <f t="shared" ca="1" si="203"/>
        <v>8894.7015177263766</v>
      </c>
      <c r="CF131" s="1243">
        <f t="shared" ca="1" si="203"/>
        <v>8645.0630752290326</v>
      </c>
      <c r="CG131" s="1243">
        <f t="shared" ca="1" si="203"/>
        <v>12197.962606811865</v>
      </c>
      <c r="CH131" s="1243">
        <f t="shared" ca="1" si="203"/>
        <v>21132.757171916543</v>
      </c>
      <c r="CI131" s="1243">
        <f t="shared" ca="1" si="203"/>
        <v>7652.0493965458691</v>
      </c>
      <c r="CJ131" s="1243">
        <f t="shared" ca="1" si="203"/>
        <v>0</v>
      </c>
      <c r="CK131" s="1243">
        <f t="shared" ca="1" si="203"/>
        <v>0</v>
      </c>
      <c r="CL131" s="1243">
        <f t="shared" ca="1" si="203"/>
        <v>0</v>
      </c>
      <c r="CM131" s="1243">
        <f t="shared" ca="1" si="203"/>
        <v>10547.478090762621</v>
      </c>
      <c r="CN131" s="1243">
        <f t="shared" ca="1" si="203"/>
        <v>14102.470156489049</v>
      </c>
      <c r="CO131" s="1243">
        <f t="shared" ca="1" si="203"/>
        <v>15265.07575114063</v>
      </c>
      <c r="CP131" s="1243">
        <f t="shared" ca="1" si="203"/>
        <v>16336.747455862051</v>
      </c>
      <c r="CQ131" s="1243">
        <f t="shared" ca="1" si="203"/>
        <v>9372.2086519552922</v>
      </c>
      <c r="CR131" s="1243">
        <f t="shared" ca="1" si="203"/>
        <v>9119.6564968169787</v>
      </c>
      <c r="CS131" s="1243">
        <f t="shared" ca="1" si="203"/>
        <v>12726.695348918547</v>
      </c>
      <c r="CT131" s="1243">
        <f t="shared" ca="1" si="203"/>
        <v>21793.18751142234</v>
      </c>
      <c r="CU131" s="1243">
        <f t="shared" ca="1" si="203"/>
        <v>8115.2521611781576</v>
      </c>
      <c r="CV131" s="1243">
        <f t="shared" ca="1" si="203"/>
        <v>0</v>
      </c>
      <c r="CW131" s="1243">
        <f t="shared" ca="1" si="203"/>
        <v>0</v>
      </c>
      <c r="CX131" s="1243">
        <f t="shared" ca="1" si="203"/>
        <v>0</v>
      </c>
      <c r="CY131" s="1243">
        <f t="shared" ca="1" si="203"/>
        <v>14164.212098315893</v>
      </c>
      <c r="CZ131" s="1243">
        <f t="shared" ca="1" si="203"/>
        <v>15505.175614454391</v>
      </c>
      <c r="DA131" s="1243">
        <f t="shared" ca="1" si="203"/>
        <v>16702.659376945514</v>
      </c>
      <c r="DB131" s="1243">
        <f t="shared" ca="1" si="203"/>
        <v>15655.831663580906</v>
      </c>
      <c r="DC131" s="1243">
        <f t="shared" ca="1" si="203"/>
        <v>8482.3566955569731</v>
      </c>
      <c r="DD131" s="1243">
        <f t="shared" ca="1" si="203"/>
        <v>8222.2279757645229</v>
      </c>
      <c r="DE131" s="1243">
        <f t="shared" ca="1" si="203"/>
        <v>11937.47799342912</v>
      </c>
      <c r="DF131" s="1243">
        <f t="shared" ca="1" si="203"/>
        <v>21275.964920808015</v>
      </c>
      <c r="DG131" s="1243">
        <f t="shared" ca="1" si="203"/>
        <v>7187.6915100565084</v>
      </c>
      <c r="DH131" s="1243">
        <f t="shared" ca="1" si="203"/>
        <v>0</v>
      </c>
      <c r="DI131" s="1243">
        <f t="shared" ca="1" si="203"/>
        <v>0</v>
      </c>
      <c r="DJ131" s="1243">
        <f t="shared" ca="1" si="203"/>
        <v>0</v>
      </c>
      <c r="DK131" s="1243">
        <f t="shared" ca="1" si="203"/>
        <v>11470.530593058187</v>
      </c>
      <c r="DL131" s="1243">
        <f t="shared" ca="1" si="203"/>
        <v>14799.312666931008</v>
      </c>
      <c r="DM131" s="1243">
        <f t="shared" ca="1" si="203"/>
        <v>16032.720942296897</v>
      </c>
      <c r="DN131" s="1243">
        <f t="shared" ca="1" si="203"/>
        <v>16765.875008976604</v>
      </c>
      <c r="DO131" s="1243">
        <f t="shared" ca="1" si="203"/>
        <v>9377.1957919119595</v>
      </c>
      <c r="DP131" s="1243">
        <f t="shared" ca="1" si="203"/>
        <v>9109.2632105257053</v>
      </c>
      <c r="DQ131" s="1243">
        <f t="shared" ca="1" si="203"/>
        <v>12935.970728720276</v>
      </c>
      <c r="DR131" s="1243">
        <f t="shared" ca="1" si="203"/>
        <v>22554.612263920557</v>
      </c>
      <c r="DS131" s="1243">
        <f t="shared" ca="1" si="203"/>
        <v>8043.690650846489</v>
      </c>
      <c r="DT131" s="1243">
        <f t="shared" ca="1" si="203"/>
        <v>0</v>
      </c>
      <c r="DU131" s="1243">
        <f t="shared" ca="1" si="203"/>
        <v>0</v>
      </c>
      <c r="DV131" s="1243">
        <f t="shared" ca="1" si="203"/>
        <v>0</v>
      </c>
      <c r="DW131" s="1243">
        <f t="shared" ca="1" si="203"/>
        <v>12763.691147313592</v>
      </c>
      <c r="DX131" s="1243">
        <f t="shared" ca="1" si="203"/>
        <v>15883.660442427243</v>
      </c>
      <c r="DY131" s="1243">
        <f t="shared" ca="1" si="203"/>
        <v>5811773.1785198376</v>
      </c>
    </row>
    <row r="132" spans="2:129" s="1223" customFormat="1">
      <c r="D132" s="1240" t="s">
        <v>102</v>
      </c>
      <c r="E132" s="1243"/>
      <c r="F132" s="1242"/>
      <c r="G132" s="1243">
        <f t="shared" ca="1" si="201"/>
        <v>8058317.164025031</v>
      </c>
      <c r="H132" s="1243">
        <f t="shared" si="202"/>
        <v>0</v>
      </c>
      <c r="I132" s="1243"/>
      <c r="J132" s="1243">
        <f t="shared" ca="1" si="202"/>
        <v>-51999.999999999978</v>
      </c>
      <c r="K132" s="1243">
        <f t="shared" ca="1" si="202"/>
        <v>-3911.53007151783</v>
      </c>
      <c r="L132" s="1243">
        <f t="shared" ca="1" si="202"/>
        <v>-27507.373328289621</v>
      </c>
      <c r="M132" s="1243">
        <f t="shared" ca="1" si="202"/>
        <v>-27507.373328289621</v>
      </c>
      <c r="N132" s="1243">
        <f t="shared" ca="1" si="202"/>
        <v>-27507.373328289621</v>
      </c>
      <c r="O132" s="1243">
        <f t="shared" ca="1" si="202"/>
        <v>-27507.373328289621</v>
      </c>
      <c r="P132" s="1243">
        <f t="shared" ca="1" si="202"/>
        <v>-27507.373328289621</v>
      </c>
      <c r="Q132" s="1243">
        <f t="shared" ca="1" si="202"/>
        <v>-26488.624467854155</v>
      </c>
      <c r="R132" s="1243">
        <f t="shared" ca="1" si="202"/>
        <v>0</v>
      </c>
      <c r="S132" s="1243">
        <f t="shared" ca="1" si="202"/>
        <v>0</v>
      </c>
      <c r="T132" s="1243">
        <f t="shared" ca="1" si="202"/>
        <v>0</v>
      </c>
      <c r="U132" s="1243">
        <f t="shared" ca="1" si="202"/>
        <v>0</v>
      </c>
      <c r="V132" s="1243">
        <f t="shared" ca="1" si="202"/>
        <v>0</v>
      </c>
      <c r="W132" s="1243">
        <f t="shared" ca="1" si="202"/>
        <v>0</v>
      </c>
      <c r="X132" s="1243">
        <f t="shared" ca="1" si="202"/>
        <v>0</v>
      </c>
      <c r="Y132" s="1243">
        <f t="shared" ca="1" si="202"/>
        <v>0</v>
      </c>
      <c r="Z132" s="1243">
        <f t="shared" ca="1" si="202"/>
        <v>0</v>
      </c>
      <c r="AA132" s="1243">
        <f t="shared" ca="1" si="202"/>
        <v>0</v>
      </c>
      <c r="AB132" s="1243">
        <f t="shared" ca="1" si="202"/>
        <v>0</v>
      </c>
      <c r="AC132" s="1243">
        <f t="shared" ca="1" si="202"/>
        <v>0</v>
      </c>
      <c r="AD132" s="1243">
        <f t="shared" ca="1" si="202"/>
        <v>0</v>
      </c>
      <c r="AE132" s="1243">
        <f t="shared" ca="1" si="202"/>
        <v>0</v>
      </c>
      <c r="AF132" s="1243">
        <f t="shared" ca="1" si="202"/>
        <v>0</v>
      </c>
      <c r="AG132" s="1243">
        <f t="shared" ca="1" si="202"/>
        <v>0</v>
      </c>
      <c r="AH132" s="1243">
        <f t="shared" ca="1" si="202"/>
        <v>0</v>
      </c>
      <c r="AI132" s="1243">
        <f t="shared" ca="1" si="202"/>
        <v>145866.17285886352</v>
      </c>
      <c r="AJ132" s="1243">
        <f t="shared" ca="1" si="202"/>
        <v>0</v>
      </c>
      <c r="AK132" s="1243">
        <f t="shared" ca="1" si="202"/>
        <v>138.41849300622522</v>
      </c>
      <c r="AL132" s="1243">
        <f t="shared" ca="1" si="202"/>
        <v>1922.3337590609722</v>
      </c>
      <c r="AM132" s="1243">
        <f t="shared" ca="1" si="202"/>
        <v>114.93946605100952</v>
      </c>
      <c r="AN132" s="1243">
        <f t="shared" ca="1" si="202"/>
        <v>0</v>
      </c>
      <c r="AO132" s="1243">
        <f t="shared" ca="1" si="202"/>
        <v>0</v>
      </c>
      <c r="AP132" s="1243">
        <f t="shared" ca="1" si="202"/>
        <v>0</v>
      </c>
      <c r="AQ132" s="1243">
        <f t="shared" ca="1" si="202"/>
        <v>0</v>
      </c>
      <c r="AR132" s="1243">
        <f t="shared" ca="1" si="202"/>
        <v>1036.82651455925</v>
      </c>
      <c r="AS132" s="1243">
        <f t="shared" ca="1" si="202"/>
        <v>2461.8870139073861</v>
      </c>
      <c r="AT132" s="1243">
        <f t="shared" ca="1" si="202"/>
        <v>2813.7211951908935</v>
      </c>
      <c r="AU132" s="1243">
        <f t="shared" ca="1" si="202"/>
        <v>1580.7661984984675</v>
      </c>
      <c r="AV132" s="1243">
        <f t="shared" ca="1" si="202"/>
        <v>1535.4387399835373</v>
      </c>
      <c r="AW132" s="1243">
        <f t="shared" ca="1" si="202"/>
        <v>2174.1859396981581</v>
      </c>
      <c r="AX132" s="1243">
        <f t="shared" ca="1" si="202"/>
        <v>3782.7355415695902</v>
      </c>
      <c r="AY132" s="1243">
        <f t="shared" ca="1" si="202"/>
        <v>1355.0346590234062</v>
      </c>
      <c r="AZ132" s="1243">
        <f t="shared" ca="1" si="202"/>
        <v>0</v>
      </c>
      <c r="BA132" s="1243">
        <f t="shared" ca="1" si="202"/>
        <v>0</v>
      </c>
      <c r="BB132" s="1243">
        <f t="shared" ca="1" si="202"/>
        <v>0</v>
      </c>
      <c r="BC132" s="1243">
        <f t="shared" ca="1" si="202"/>
        <v>1679.1047834489577</v>
      </c>
      <c r="BD132" s="1243">
        <f t="shared" ca="1" si="202"/>
        <v>2475.7963353208761</v>
      </c>
      <c r="BE132" s="1243">
        <f t="shared" ca="1" si="202"/>
        <v>2685.844358881297</v>
      </c>
      <c r="BF132" s="1243">
        <f t="shared" ca="1" si="202"/>
        <v>2833.1700835926231</v>
      </c>
      <c r="BG132" s="1243">
        <f t="shared" ca="1" si="202"/>
        <v>1580.5917229123036</v>
      </c>
      <c r="BH132" s="1243">
        <f t="shared" ca="1" si="202"/>
        <v>1534.6931125955157</v>
      </c>
      <c r="BI132" s="1243">
        <f t="shared" ca="1" si="202"/>
        <v>2183.5622869399635</v>
      </c>
      <c r="BJ132" s="1243">
        <f t="shared" ca="1" si="202"/>
        <v>3816.8662786618843</v>
      </c>
      <c r="BK132" s="1243">
        <f t="shared" ca="1" si="202"/>
        <v>1352.0484877766532</v>
      </c>
      <c r="BL132" s="1243">
        <f t="shared" ca="1" si="202"/>
        <v>0</v>
      </c>
      <c r="BM132" s="1243">
        <f t="shared" ca="1" si="202"/>
        <v>0</v>
      </c>
      <c r="BN132" s="1243">
        <f t="shared" ca="1" si="202"/>
        <v>0</v>
      </c>
      <c r="BO132" s="1243">
        <f t="shared" ca="1" si="202"/>
        <v>2027.8506176783922</v>
      </c>
      <c r="BP132" s="1243">
        <f t="shared" ca="1" si="202"/>
        <v>2538.5326676787226</v>
      </c>
      <c r="BQ132" s="1243">
        <f t="shared" ca="1" si="202"/>
        <v>2751.569352898885</v>
      </c>
      <c r="BR132" s="1243">
        <f t="shared" ca="1" si="202"/>
        <v>2901.5190102404968</v>
      </c>
      <c r="BS132" s="1243">
        <f t="shared" ca="1" si="202"/>
        <v>1629.2495432300393</v>
      </c>
      <c r="BT132" s="1243">
        <f t="shared" ca="1" si="203"/>
        <v>1582.7863067159387</v>
      </c>
      <c r="BU132" s="1243">
        <f t="shared" ca="1" si="203"/>
        <v>2241.809901688262</v>
      </c>
      <c r="BV132" s="1243">
        <f t="shared" ca="1" si="203"/>
        <v>3899.9058520100202</v>
      </c>
      <c r="BW132" s="1243">
        <f t="shared" ca="1" si="203"/>
        <v>1397.9290690796884</v>
      </c>
      <c r="BX132" s="1243">
        <f t="shared" ca="1" si="203"/>
        <v>0</v>
      </c>
      <c r="BY132" s="1243">
        <f t="shared" ca="1" si="203"/>
        <v>0</v>
      </c>
      <c r="BZ132" s="1243">
        <f t="shared" ca="1" si="203"/>
        <v>0</v>
      </c>
      <c r="CA132" s="1243">
        <f t="shared" ca="1" si="203"/>
        <v>1877.4323507340432</v>
      </c>
      <c r="CB132" s="1243">
        <f t="shared" ca="1" si="203"/>
        <v>2598.7564738385836</v>
      </c>
      <c r="CC132" s="1243">
        <f t="shared" ca="1" si="203"/>
        <v>2814.7720971968724</v>
      </c>
      <c r="CD132" s="1243">
        <f t="shared" ca="1" si="203"/>
        <v>2967.3684810016539</v>
      </c>
      <c r="CE132" s="1243">
        <f t="shared" ca="1" si="203"/>
        <v>1675.3537618058585</v>
      </c>
      <c r="CF132" s="1243">
        <f t="shared" ca="1" si="203"/>
        <v>1628.3333302718961</v>
      </c>
      <c r="CG132" s="1243">
        <f t="shared" ca="1" si="203"/>
        <v>2297.5366288528585</v>
      </c>
      <c r="CH132" s="1243">
        <f t="shared" ca="1" si="203"/>
        <v>3980.4420816978873</v>
      </c>
      <c r="CI132" s="1243">
        <f t="shared" ca="1" si="203"/>
        <v>1441.2951032115504</v>
      </c>
      <c r="CJ132" s="1243">
        <f t="shared" ca="1" si="203"/>
        <v>0</v>
      </c>
      <c r="CK132" s="1243">
        <f t="shared" ca="1" si="203"/>
        <v>0</v>
      </c>
      <c r="CL132" s="1243">
        <f t="shared" ca="1" si="203"/>
        <v>0</v>
      </c>
      <c r="CM132" s="1243">
        <f t="shared" ca="1" si="203"/>
        <v>1986.661054528669</v>
      </c>
      <c r="CN132" s="1243">
        <f t="shared" ca="1" si="203"/>
        <v>2656.2584905567605</v>
      </c>
      <c r="CO132" s="1243">
        <f t="shared" ca="1" si="203"/>
        <v>2875.2400553247644</v>
      </c>
      <c r="CP132" s="1243">
        <f t="shared" ca="1" si="203"/>
        <v>3077.0938464101428</v>
      </c>
      <c r="CQ132" s="1243">
        <f t="shared" ca="1" si="203"/>
        <v>1765.2942024181978</v>
      </c>
      <c r="CR132" s="1243">
        <f t="shared" ca="1" si="203"/>
        <v>1717.7249610760441</v>
      </c>
      <c r="CS132" s="1243">
        <f t="shared" ca="1" si="203"/>
        <v>2397.1256242466898</v>
      </c>
      <c r="CT132" s="1243">
        <f t="shared" ca="1" si="203"/>
        <v>4104.8368634110993</v>
      </c>
      <c r="CU132" s="1243">
        <f t="shared" ca="1" si="203"/>
        <v>1528.5412567400328</v>
      </c>
      <c r="CV132" s="1243">
        <f t="shared" ca="1" si="203"/>
        <v>0</v>
      </c>
      <c r="CW132" s="1243">
        <f t="shared" ca="1" si="203"/>
        <v>0</v>
      </c>
      <c r="CX132" s="1243">
        <f t="shared" ca="1" si="203"/>
        <v>0</v>
      </c>
      <c r="CY132" s="1243">
        <f t="shared" ca="1" si="203"/>
        <v>2667.8878402650844</v>
      </c>
      <c r="CZ132" s="1243">
        <f t="shared" ca="1" si="203"/>
        <v>2920.4638560796448</v>
      </c>
      <c r="DA132" s="1243">
        <f t="shared" ca="1" si="203"/>
        <v>3146.0148677906882</v>
      </c>
      <c r="DB132" s="1243">
        <f t="shared" ca="1" si="203"/>
        <v>2948.8405450713885</v>
      </c>
      <c r="DC132" s="1243">
        <f t="shared" ca="1" si="203"/>
        <v>1597.6869117596907</v>
      </c>
      <c r="DD132" s="1243">
        <f t="shared" ca="1" si="203"/>
        <v>1548.6905931772749</v>
      </c>
      <c r="DE132" s="1243">
        <f t="shared" ca="1" si="203"/>
        <v>2248.4732762430363</v>
      </c>
      <c r="DF132" s="1243">
        <f t="shared" ca="1" si="203"/>
        <v>4007.4158525823764</v>
      </c>
      <c r="DG132" s="1243">
        <f t="shared" ca="1" si="203"/>
        <v>1353.8313777111784</v>
      </c>
      <c r="DH132" s="1243">
        <f t="shared" ca="1" si="203"/>
        <v>0</v>
      </c>
      <c r="DI132" s="1243">
        <f t="shared" ca="1" si="203"/>
        <v>0</v>
      </c>
      <c r="DJ132" s="1243">
        <f t="shared" ca="1" si="203"/>
        <v>0</v>
      </c>
      <c r="DK132" s="1243">
        <f t="shared" ca="1" si="203"/>
        <v>2160.5218051095926</v>
      </c>
      <c r="DL132" s="1243">
        <f t="shared" ca="1" si="203"/>
        <v>2787.5116550309731</v>
      </c>
      <c r="DM132" s="1243">
        <f t="shared" ca="1" si="203"/>
        <v>3019.8291970933551</v>
      </c>
      <c r="DN132" s="1243">
        <f t="shared" ca="1" si="203"/>
        <v>3157.9217931346284</v>
      </c>
      <c r="DO132" s="1243">
        <f t="shared" ca="1" si="203"/>
        <v>1766.2335508235838</v>
      </c>
      <c r="DP132" s="1243">
        <f t="shared" ca="1" si="203"/>
        <v>1715.7673426836891</v>
      </c>
      <c r="DQ132" s="1243">
        <f t="shared" ca="1" si="203"/>
        <v>2436.5435062414304</v>
      </c>
      <c r="DR132" s="1243">
        <f t="shared" ca="1" si="203"/>
        <v>4248.2543598709526</v>
      </c>
      <c r="DS132" s="1243">
        <f t="shared" ca="1" si="203"/>
        <v>1515.0623507536166</v>
      </c>
      <c r="DT132" s="1243">
        <f t="shared" ca="1" si="203"/>
        <v>0</v>
      </c>
      <c r="DU132" s="1243">
        <f t="shared" ca="1" si="203"/>
        <v>0</v>
      </c>
      <c r="DV132" s="1243">
        <f t="shared" ca="1" si="203"/>
        <v>0</v>
      </c>
      <c r="DW132" s="1243">
        <f t="shared" ca="1" si="203"/>
        <v>2404.0939356496783</v>
      </c>
      <c r="DX132" s="1243">
        <f t="shared" ca="1" si="203"/>
        <v>2991.7530363930109</v>
      </c>
      <c r="DY132" s="1243">
        <f t="shared" ca="1" si="203"/>
        <v>7978326.0307382997</v>
      </c>
    </row>
    <row r="133" spans="2:129" s="1223" customFormat="1" ht="13.5" thickBot="1">
      <c r="D133" s="1242"/>
      <c r="E133" s="1243"/>
      <c r="F133" s="1242"/>
      <c r="G133" s="1243">
        <f ca="1">SUM(G131:G132)</f>
        <v>13483020.19282881</v>
      </c>
      <c r="H133" s="1243"/>
      <c r="I133" s="1243"/>
      <c r="J133" s="1243"/>
      <c r="K133" s="1243"/>
      <c r="L133" s="1243"/>
      <c r="M133" s="1243"/>
      <c r="N133" s="1243"/>
      <c r="O133" s="1243"/>
      <c r="P133" s="1243"/>
      <c r="Q133" s="1243"/>
      <c r="R133" s="1243"/>
      <c r="S133" s="1243"/>
      <c r="T133" s="1243"/>
      <c r="U133" s="1243"/>
      <c r="V133" s="1243"/>
      <c r="W133" s="1243"/>
      <c r="X133" s="1243"/>
      <c r="Y133" s="1243"/>
      <c r="Z133" s="1243"/>
      <c r="AA133" s="1243"/>
      <c r="AB133" s="1243"/>
      <c r="AC133" s="1243"/>
      <c r="AD133" s="1243"/>
      <c r="AE133" s="1243"/>
      <c r="AF133" s="1243"/>
      <c r="AG133" s="1243"/>
      <c r="AH133" s="1243"/>
      <c r="AI133" s="1243"/>
      <c r="AJ133" s="1243"/>
      <c r="AK133" s="1243"/>
      <c r="AL133" s="1243"/>
      <c r="AM133" s="1243"/>
      <c r="AN133" s="1243"/>
      <c r="AO133" s="1243"/>
      <c r="AP133" s="1243"/>
      <c r="AQ133" s="1242"/>
      <c r="AR133" s="1242"/>
    </row>
    <row r="134" spans="2:129" s="1223" customFormat="1">
      <c r="D134" s="1245" t="s">
        <v>18</v>
      </c>
      <c r="E134" s="1246" t="s">
        <v>18</v>
      </c>
      <c r="F134" s="1242"/>
      <c r="G134" s="1247">
        <f ca="1">G133-G105</f>
        <v>0</v>
      </c>
      <c r="H134" s="1242"/>
      <c r="I134" s="1242"/>
      <c r="J134" s="1242"/>
      <c r="K134" s="1242"/>
      <c r="L134" s="1242"/>
      <c r="M134" s="1242"/>
      <c r="N134" s="1242"/>
      <c r="O134" s="1242"/>
      <c r="P134" s="1242"/>
      <c r="Q134" s="1242"/>
      <c r="R134" s="1242"/>
      <c r="S134" s="1242"/>
      <c r="T134" s="1242"/>
      <c r="U134" s="1242"/>
      <c r="V134" s="1242"/>
      <c r="W134" s="1242"/>
      <c r="X134" s="1242"/>
      <c r="Y134" s="1242"/>
      <c r="Z134" s="1242"/>
      <c r="AA134" s="1242"/>
      <c r="AB134" s="1242"/>
      <c r="AC134" s="1242"/>
      <c r="AD134" s="1242"/>
      <c r="AE134" s="1242"/>
      <c r="AF134" s="1242"/>
      <c r="AG134" s="1242"/>
      <c r="AH134" s="1242"/>
      <c r="AI134" s="1242"/>
      <c r="AJ134" s="1242"/>
      <c r="AK134" s="1242"/>
      <c r="AL134" s="1242"/>
      <c r="AM134" s="1242"/>
      <c r="AN134" s="1242"/>
      <c r="AO134" s="1242"/>
      <c r="AP134" s="1242"/>
      <c r="AQ134" s="1242"/>
      <c r="AR134" s="1242"/>
    </row>
    <row r="135" spans="2:129" s="1223" customFormat="1">
      <c r="D135" s="1248" t="s">
        <v>676</v>
      </c>
      <c r="E135" s="1249">
        <f ca="1">XIRR(J131:DY131,$J$14:$DY$14)</f>
        <v>0.18785300850868228</v>
      </c>
      <c r="F135" s="1242"/>
      <c r="G135" s="1242"/>
      <c r="H135" s="1242"/>
      <c r="I135" s="1242"/>
      <c r="J135" s="1242"/>
      <c r="K135" s="1242"/>
      <c r="L135" s="1242"/>
      <c r="M135" s="1242"/>
      <c r="N135" s="1242"/>
      <c r="O135" s="1242"/>
      <c r="P135" s="1242"/>
      <c r="Q135" s="1242"/>
      <c r="R135" s="1242"/>
      <c r="S135" s="1242"/>
      <c r="T135" s="1242"/>
      <c r="U135" s="1242"/>
      <c r="V135" s="1242"/>
      <c r="W135" s="1242"/>
      <c r="X135" s="1242"/>
      <c r="Y135" s="1242"/>
      <c r="Z135" s="1242"/>
      <c r="AA135" s="1242"/>
      <c r="AB135" s="1242"/>
      <c r="AC135" s="1242"/>
      <c r="AD135" s="1242"/>
      <c r="AE135" s="1242"/>
      <c r="AF135" s="1242"/>
      <c r="AG135" s="1242"/>
      <c r="AH135" s="1242"/>
      <c r="AI135" s="1242"/>
      <c r="AJ135" s="1242"/>
      <c r="AK135" s="1242"/>
      <c r="AL135" s="1242"/>
      <c r="AM135" s="1242"/>
      <c r="AN135" s="1242"/>
      <c r="AO135" s="1242"/>
      <c r="AP135" s="1242"/>
      <c r="AQ135" s="1242"/>
      <c r="AR135" s="1242"/>
    </row>
    <row r="136" spans="2:129" s="1223" customFormat="1" ht="13.5" thickBot="1">
      <c r="D136" s="1250" t="s">
        <v>102</v>
      </c>
      <c r="E136" s="1251">
        <f ca="1">XIRR(J132:DY132,$J$14:$DY$14)</f>
        <v>0.52604944109916696</v>
      </c>
      <c r="F136" s="1242"/>
      <c r="G136" s="1242"/>
      <c r="H136" s="1242"/>
      <c r="I136" s="1242"/>
      <c r="J136" s="1242"/>
      <c r="K136" s="1242"/>
      <c r="L136" s="1242"/>
      <c r="M136" s="1242"/>
      <c r="N136" s="1242"/>
      <c r="O136" s="1242"/>
      <c r="P136" s="1242"/>
      <c r="Q136" s="1242"/>
      <c r="R136" s="1242"/>
      <c r="S136" s="1242"/>
      <c r="T136" s="1242"/>
      <c r="U136" s="1242"/>
      <c r="V136" s="1242"/>
      <c r="W136" s="1242"/>
      <c r="X136" s="1242"/>
      <c r="Y136" s="1242"/>
      <c r="Z136" s="1242"/>
      <c r="AA136" s="1242"/>
      <c r="AB136" s="1242"/>
      <c r="AC136" s="1242"/>
      <c r="AD136" s="1242"/>
      <c r="AE136" s="1242"/>
      <c r="AF136" s="1242"/>
      <c r="AG136" s="1242"/>
      <c r="AH136" s="1242"/>
      <c r="AI136" s="1242"/>
      <c r="AJ136" s="1242"/>
      <c r="AK136" s="1242"/>
      <c r="AL136" s="1242"/>
      <c r="AM136" s="1242"/>
      <c r="AN136" s="1242"/>
      <c r="AO136" s="1242"/>
      <c r="AP136" s="1242"/>
      <c r="AQ136" s="1242"/>
      <c r="AR136" s="1242"/>
    </row>
    <row r="137" spans="2:129" s="1223" customFormat="1">
      <c r="D137" s="1245" t="s">
        <v>678</v>
      </c>
      <c r="E137" s="1246" t="s">
        <v>678</v>
      </c>
      <c r="F137" s="1242"/>
      <c r="G137" s="1242"/>
      <c r="H137" s="1242"/>
      <c r="I137" s="1242"/>
      <c r="J137" s="1242"/>
      <c r="K137" s="1242"/>
      <c r="L137" s="1242"/>
      <c r="M137" s="1242"/>
      <c r="N137" s="1242"/>
      <c r="O137" s="1242"/>
      <c r="P137" s="1242"/>
      <c r="Q137" s="1242"/>
      <c r="R137" s="1242"/>
      <c r="S137" s="1242"/>
      <c r="T137" s="1242"/>
      <c r="U137" s="1242"/>
      <c r="V137" s="1242"/>
      <c r="W137" s="1242"/>
      <c r="X137" s="1242"/>
      <c r="Y137" s="1242"/>
      <c r="Z137" s="1242"/>
      <c r="AA137" s="1242"/>
      <c r="AB137" s="1242"/>
      <c r="AC137" s="1242"/>
      <c r="AD137" s="1242"/>
      <c r="AE137" s="1242"/>
      <c r="AF137" s="1242"/>
      <c r="AG137" s="1242"/>
      <c r="AH137" s="1242"/>
      <c r="AI137" s="1242"/>
      <c r="AJ137" s="1242"/>
      <c r="AK137" s="1242"/>
      <c r="AL137" s="1242"/>
      <c r="AM137" s="1242"/>
      <c r="AN137" s="1242"/>
      <c r="AO137" s="1242"/>
      <c r="AP137" s="1242"/>
      <c r="AQ137" s="1242"/>
      <c r="AR137" s="1242"/>
    </row>
    <row r="138" spans="2:129" s="1223" customFormat="1">
      <c r="D138" s="1252" t="s">
        <v>676</v>
      </c>
      <c r="E138" s="1253">
        <f ca="1">(-D141+E141)/-D141</f>
        <v>4.7405335297446536</v>
      </c>
      <c r="F138" s="1242"/>
      <c r="G138" s="1242"/>
      <c r="H138" s="1242"/>
      <c r="I138" s="1242"/>
      <c r="J138" s="1242"/>
      <c r="K138" s="1242"/>
      <c r="L138" s="1242"/>
      <c r="M138" s="1242"/>
      <c r="N138" s="1242"/>
      <c r="O138" s="1242"/>
      <c r="P138" s="1242"/>
      <c r="Q138" s="1242"/>
      <c r="R138" s="1242"/>
      <c r="S138" s="1242"/>
      <c r="T138" s="1242"/>
      <c r="U138" s="1242"/>
      <c r="V138" s="1242"/>
      <c r="W138" s="1242"/>
      <c r="X138" s="1242"/>
      <c r="Y138" s="1242"/>
      <c r="Z138" s="1242"/>
      <c r="AA138" s="1242"/>
      <c r="AB138" s="1242"/>
      <c r="AC138" s="1242"/>
      <c r="AD138" s="1242"/>
      <c r="AE138" s="1242"/>
      <c r="AF138" s="1242"/>
      <c r="AG138" s="1242"/>
      <c r="AH138" s="1242"/>
      <c r="AI138" s="1242"/>
      <c r="AJ138" s="1242"/>
      <c r="AK138" s="1242"/>
      <c r="AL138" s="1242"/>
      <c r="AM138" s="1242"/>
      <c r="AN138" s="1242"/>
      <c r="AO138" s="1242"/>
      <c r="AP138" s="1242"/>
      <c r="AQ138" s="1242"/>
      <c r="AR138" s="1242"/>
    </row>
    <row r="139" spans="2:129" s="1223" customFormat="1" ht="13.5" thickBot="1">
      <c r="D139" s="1254" t="s">
        <v>102</v>
      </c>
      <c r="E139" s="1255">
        <f ca="1">(-D142+E142)/-D142</f>
        <v>38.639202989841017</v>
      </c>
      <c r="F139" s="1242"/>
      <c r="G139" s="1242"/>
      <c r="H139" s="1242"/>
      <c r="I139" s="1242"/>
      <c r="J139" s="1242"/>
      <c r="K139" s="1242"/>
      <c r="L139" s="1242"/>
      <c r="M139" s="1242"/>
      <c r="N139" s="1242"/>
      <c r="O139" s="1242"/>
      <c r="P139" s="1242"/>
      <c r="Q139" s="1242"/>
      <c r="R139" s="1242"/>
      <c r="S139" s="1242"/>
      <c r="T139" s="1242"/>
      <c r="U139" s="1242"/>
      <c r="V139" s="1242"/>
      <c r="W139" s="1242"/>
      <c r="X139" s="1242"/>
      <c r="Y139" s="1242"/>
      <c r="Z139" s="1242"/>
      <c r="AA139" s="1242"/>
      <c r="AB139" s="1242"/>
      <c r="AC139" s="1242"/>
      <c r="AD139" s="1242"/>
      <c r="AE139" s="1242"/>
      <c r="AF139" s="1242"/>
      <c r="AG139" s="1242"/>
      <c r="AH139" s="1242"/>
      <c r="AI139" s="1242"/>
      <c r="AJ139" s="1242"/>
      <c r="AK139" s="1242"/>
      <c r="AL139" s="1242"/>
      <c r="AM139" s="1242"/>
      <c r="AN139" s="1242"/>
      <c r="AO139" s="1242"/>
      <c r="AP139" s="1242"/>
      <c r="AQ139" s="1242"/>
      <c r="AR139" s="1242"/>
    </row>
    <row r="140" spans="2:129" s="1223" customFormat="1">
      <c r="D140" s="1242"/>
      <c r="E140" s="1242"/>
      <c r="F140" s="1242"/>
      <c r="G140" s="1242"/>
      <c r="H140" s="1242"/>
      <c r="I140" s="1242"/>
      <c r="J140" s="1242"/>
      <c r="K140" s="1242"/>
      <c r="L140" s="1242"/>
      <c r="M140" s="1242"/>
      <c r="N140" s="1242"/>
      <c r="O140" s="1242"/>
      <c r="P140" s="1242"/>
      <c r="Q140" s="1242"/>
      <c r="R140" s="1242"/>
      <c r="S140" s="1242"/>
      <c r="T140" s="1242"/>
      <c r="U140" s="1242"/>
      <c r="V140" s="1242"/>
      <c r="W140" s="1242"/>
      <c r="X140" s="1242"/>
      <c r="Y140" s="1242"/>
      <c r="Z140" s="1242"/>
      <c r="AA140" s="1242"/>
      <c r="AB140" s="1242"/>
      <c r="AC140" s="1242"/>
      <c r="AD140" s="1242"/>
      <c r="AE140" s="1242"/>
      <c r="AF140" s="1242"/>
      <c r="AG140" s="1242"/>
      <c r="AH140" s="1242"/>
      <c r="AI140" s="1242"/>
      <c r="AJ140" s="1242"/>
      <c r="AK140" s="1242"/>
      <c r="AL140" s="1242"/>
      <c r="AM140" s="1242"/>
      <c r="AN140" s="1242"/>
      <c r="AO140" s="1242"/>
      <c r="AP140" s="1242"/>
      <c r="AQ140" s="1242"/>
      <c r="AR140" s="1242"/>
    </row>
    <row r="141" spans="2:129" s="1223" customFormat="1">
      <c r="B141" s="1256"/>
      <c r="C141" s="1256" t="s">
        <v>679</v>
      </c>
      <c r="D141" s="1242">
        <f ca="1">SUMIFS(J131:DY131,J131:DY131,"&lt;"&amp;0)</f>
        <v>-1979433.1906273812</v>
      </c>
      <c r="E141" s="1242">
        <f ca="1">SUMIFS(J131:DY131,J131:DY131,"&gt;"&amp;0)</f>
        <v>7404136.21943116</v>
      </c>
      <c r="F141" s="1242"/>
      <c r="G141" s="1242"/>
      <c r="H141" s="1242"/>
      <c r="I141" s="1242"/>
      <c r="J141" s="1242"/>
      <c r="K141" s="1242"/>
      <c r="L141" s="1242"/>
      <c r="M141" s="1242"/>
      <c r="N141" s="1242"/>
      <c r="O141" s="1242"/>
      <c r="P141" s="1242"/>
      <c r="Q141" s="1242"/>
      <c r="R141" s="1242"/>
      <c r="S141" s="1242"/>
      <c r="T141" s="1242"/>
      <c r="U141" s="1242"/>
      <c r="V141" s="1242"/>
      <c r="W141" s="1242"/>
      <c r="X141" s="1242"/>
      <c r="Y141" s="1242"/>
      <c r="Z141" s="1242"/>
      <c r="AA141" s="1242"/>
      <c r="AB141" s="1242"/>
      <c r="AC141" s="1242"/>
      <c r="AD141" s="1242"/>
      <c r="AE141" s="1242"/>
      <c r="AF141" s="1242"/>
      <c r="AG141" s="1242"/>
      <c r="AH141" s="1242"/>
      <c r="AI141" s="1242"/>
      <c r="AJ141" s="1242"/>
      <c r="AK141" s="1242"/>
      <c r="AL141" s="1242"/>
      <c r="AM141" s="1242"/>
      <c r="AN141" s="1242"/>
      <c r="AO141" s="1242"/>
      <c r="AP141" s="1242"/>
      <c r="AQ141" s="1242"/>
      <c r="AR141" s="1242"/>
    </row>
    <row r="142" spans="2:129" s="1223" customFormat="1">
      <c r="B142" s="1256"/>
      <c r="C142" s="1256" t="s">
        <v>679</v>
      </c>
      <c r="D142" s="1242">
        <f ca="1">SUMIFS(J132:DY132,J132:DY132,"&lt;"&amp;0)</f>
        <v>-219937.0211808201</v>
      </c>
      <c r="E142" s="1242">
        <f ca="1">SUMIFS(J132:DY132,J132:DY132,"&gt;"&amp;0)</f>
        <v>8278254.1852058508</v>
      </c>
      <c r="F142" s="1242"/>
      <c r="G142" s="1242"/>
      <c r="H142" s="1242"/>
      <c r="I142" s="1242"/>
      <c r="J142" s="1242"/>
      <c r="K142" s="1242"/>
      <c r="L142" s="1242"/>
      <c r="M142" s="1242"/>
      <c r="N142" s="1242"/>
      <c r="O142" s="1242"/>
      <c r="P142" s="1242"/>
      <c r="Q142" s="1242"/>
      <c r="R142" s="1242"/>
      <c r="S142" s="1242"/>
      <c r="T142" s="1242"/>
      <c r="U142" s="1242"/>
      <c r="V142" s="1242"/>
      <c r="W142" s="1242"/>
      <c r="X142" s="1242"/>
      <c r="Y142" s="1242"/>
      <c r="Z142" s="1242"/>
      <c r="AA142" s="1242"/>
      <c r="AB142" s="1242"/>
      <c r="AC142" s="1242"/>
      <c r="AD142" s="1242"/>
      <c r="AE142" s="1242"/>
      <c r="AF142" s="1242"/>
      <c r="AG142" s="1242"/>
      <c r="AH142" s="1242"/>
      <c r="AI142" s="1242"/>
      <c r="AJ142" s="1242"/>
      <c r="AK142" s="1242"/>
      <c r="AL142" s="1242"/>
      <c r="AM142" s="1242"/>
      <c r="AN142" s="1242"/>
      <c r="AO142" s="1242"/>
      <c r="AP142" s="1242"/>
      <c r="AQ142" s="1242"/>
      <c r="AR142" s="1242"/>
    </row>
  </sheetData>
  <mergeCells count="4">
    <mergeCell ref="I65:J65"/>
    <mergeCell ref="L65:M65"/>
    <mergeCell ref="I66:J66"/>
    <mergeCell ref="I67:J67"/>
  </mergeCells>
  <pageMargins left="0.7" right="0.7" top="0.75" bottom="0.75" header="0.3" footer="0.3"/>
  <pageSetup scale="10" orientation="portrait" r:id="rId1"/>
  <customProperties>
    <customPr name="Guid" r:id="rId2"/>
  </customPropertie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8A82-A2DC-4D47-A150-A366DF6ECC7E}">
  <sheetPr>
    <tabColor rgb="FF1C476E"/>
  </sheetPr>
  <dimension ref="A2:N93"/>
  <sheetViews>
    <sheetView showGridLines="0" zoomScaleNormal="100" zoomScaleSheetLayoutView="100" workbookViewId="0">
      <selection activeCell="F74" sqref="F74"/>
    </sheetView>
  </sheetViews>
  <sheetFormatPr defaultColWidth="12.42578125" defaultRowHeight="12.75" outlineLevelRow="1"/>
  <cols>
    <col min="1" max="1" width="2.7109375" style="1487" customWidth="1"/>
    <col min="2" max="2" width="40.7109375" style="1485" customWidth="1"/>
    <col min="3" max="3" width="2.42578125" style="1485" customWidth="1"/>
    <col min="4" max="13" width="12.42578125" style="1485" customWidth="1"/>
    <col min="14" max="14" width="2.42578125" style="1485" customWidth="1"/>
    <col min="15" max="16384" width="12.42578125" style="1485"/>
  </cols>
  <sheetData>
    <row r="2" spans="1:14" ht="16.5" thickBot="1">
      <c r="B2" s="1482" t="str">
        <f>'Assumptions MH'!$B$2</f>
        <v>1425 4th Ave (Nashville, TN) | Mint House Management Agreement Model</v>
      </c>
      <c r="C2" s="1483"/>
      <c r="D2" s="1483"/>
      <c r="E2" s="1483"/>
      <c r="F2" s="1483"/>
      <c r="G2" s="1483"/>
      <c r="H2" s="1483"/>
      <c r="I2" s="1483"/>
      <c r="J2" s="1483"/>
      <c r="K2" s="1483"/>
      <c r="L2" s="1483"/>
      <c r="M2" s="1483"/>
      <c r="N2" s="1483"/>
    </row>
    <row r="3" spans="1:14" ht="15" thickTop="1">
      <c r="B3" s="1486" t="s">
        <v>1141</v>
      </c>
    </row>
    <row r="5" spans="1:14" ht="15.75">
      <c r="B5" s="1706" t="str">
        <f>LEFT(B2,FIND("|",B2))&amp;" Management Agreement Annual Proforma"</f>
        <v>1425 4th Ave (Nashville, TN) | Management Agreement Annual Proforma</v>
      </c>
      <c r="C5" s="1707"/>
      <c r="D5" s="1708"/>
      <c r="E5" s="1707"/>
      <c r="F5" s="1707"/>
      <c r="G5" s="1707"/>
      <c r="H5" s="1708"/>
      <c r="I5" s="1707"/>
      <c r="J5" s="1707"/>
      <c r="K5" s="1707"/>
      <c r="L5" s="1707"/>
      <c r="M5" s="1707"/>
    </row>
    <row r="6" spans="1:14" ht="14.25">
      <c r="B6" s="1709" t="str">
        <f>TEXT('Assumptions MH'!$G$20,"mmmm-yyyy")&amp;"  -  "&amp;TEXT(MAX('Pro Forma MH'!$D$10:$M$10),"mmmm-yyyyy")</f>
        <v>January-2025  -  December-2034</v>
      </c>
      <c r="C6" s="1710"/>
      <c r="D6" s="1708"/>
      <c r="E6" s="1710"/>
      <c r="F6" s="1710"/>
      <c r="G6" s="1710"/>
      <c r="H6" s="1708"/>
      <c r="I6" s="1710"/>
      <c r="J6" s="1710"/>
      <c r="K6" s="1710"/>
      <c r="L6" s="1710"/>
      <c r="M6" s="1710"/>
    </row>
    <row r="7" spans="1:14">
      <c r="B7" s="1711"/>
      <c r="C7" s="1711"/>
      <c r="D7" s="1711"/>
      <c r="E7" s="1711"/>
      <c r="F7" s="1711"/>
      <c r="G7" s="1711"/>
      <c r="H7" s="1711"/>
      <c r="I7" s="1711"/>
      <c r="J7" s="1711"/>
      <c r="K7" s="1711"/>
      <c r="L7" s="1711"/>
      <c r="M7" s="1711"/>
    </row>
    <row r="8" spans="1:14">
      <c r="B8" s="1506"/>
      <c r="C8" s="1506"/>
      <c r="D8" s="1712"/>
      <c r="E8" s="1506"/>
      <c r="F8" s="1506"/>
      <c r="G8" s="1506"/>
      <c r="H8" s="1506"/>
      <c r="I8" s="1506"/>
      <c r="J8" s="1506"/>
      <c r="K8" s="1506"/>
      <c r="L8" s="1506"/>
      <c r="M8" s="1506"/>
    </row>
    <row r="9" spans="1:14">
      <c r="A9" s="1487" t="s">
        <v>65</v>
      </c>
      <c r="B9" s="1503" t="s">
        <v>949</v>
      </c>
      <c r="D9" s="1713">
        <v>1</v>
      </c>
      <c r="E9" s="1713">
        <v>2</v>
      </c>
      <c r="F9" s="1713">
        <v>3</v>
      </c>
      <c r="G9" s="1713">
        <v>4</v>
      </c>
      <c r="H9" s="1713">
        <v>5</v>
      </c>
      <c r="I9" s="1713">
        <v>6</v>
      </c>
      <c r="J9" s="1713">
        <v>7</v>
      </c>
      <c r="K9" s="1713">
        <v>8</v>
      </c>
      <c r="L9" s="1713">
        <v>9</v>
      </c>
      <c r="M9" s="1713">
        <v>10</v>
      </c>
    </row>
    <row r="10" spans="1:14">
      <c r="B10" s="1503" t="s">
        <v>1073</v>
      </c>
      <c r="D10" s="1714">
        <f>+EOMONTH('Assumptions MH'!$G$20,11)</f>
        <v>46022</v>
      </c>
      <c r="E10" s="1714">
        <f>EOMONTH(D10,12)</f>
        <v>46387</v>
      </c>
      <c r="F10" s="1714">
        <f t="shared" ref="F10:M10" si="0">EOMONTH(E10,12)</f>
        <v>46752</v>
      </c>
      <c r="G10" s="1714">
        <f t="shared" si="0"/>
        <v>47118</v>
      </c>
      <c r="H10" s="1714">
        <f t="shared" si="0"/>
        <v>47483</v>
      </c>
      <c r="I10" s="1714">
        <f t="shared" si="0"/>
        <v>47848</v>
      </c>
      <c r="J10" s="1714">
        <f t="shared" si="0"/>
        <v>48213</v>
      </c>
      <c r="K10" s="1714">
        <f t="shared" si="0"/>
        <v>48579</v>
      </c>
      <c r="L10" s="1714">
        <f t="shared" si="0"/>
        <v>48944</v>
      </c>
      <c r="M10" s="1714">
        <f t="shared" si="0"/>
        <v>49309</v>
      </c>
    </row>
    <row r="11" spans="1:14">
      <c r="B11" s="1578"/>
      <c r="C11" s="1578"/>
      <c r="D11" s="1715"/>
      <c r="E11" s="1715"/>
      <c r="F11" s="1715"/>
      <c r="G11" s="1715"/>
      <c r="H11" s="1715"/>
      <c r="I11" s="1715"/>
      <c r="J11" s="1715"/>
      <c r="K11" s="1715"/>
      <c r="L11" s="1715"/>
      <c r="M11" s="1715"/>
    </row>
    <row r="12" spans="1:14">
      <c r="D12" s="1716"/>
      <c r="E12" s="1716"/>
      <c r="F12" s="1716"/>
      <c r="G12" s="1716"/>
      <c r="H12" s="1716"/>
      <c r="I12" s="1716"/>
      <c r="J12" s="1716"/>
      <c r="K12" s="1716"/>
      <c r="L12" s="1716"/>
      <c r="M12" s="1716"/>
    </row>
    <row r="13" spans="1:14">
      <c r="A13" s="1487" t="s">
        <v>65</v>
      </c>
      <c r="B13" s="1717" t="s">
        <v>143</v>
      </c>
      <c r="D13" s="1718">
        <f>AVERAGEIF('Cash Flow MH'!$D$5:$DS$5,'Pro Forma MH'!D$9,'Cash Flow MH'!$D27:$DS27)</f>
        <v>131</v>
      </c>
      <c r="E13" s="1718">
        <f>AVERAGEIF('Cash Flow MH'!$D$5:$DS$5,'Pro Forma MH'!E$9,'Cash Flow MH'!$D27:$DS27)</f>
        <v>131</v>
      </c>
      <c r="F13" s="1718">
        <f>AVERAGEIF('Cash Flow MH'!$D$5:$DS$5,'Pro Forma MH'!F$9,'Cash Flow MH'!$D27:$DS27)</f>
        <v>131</v>
      </c>
      <c r="G13" s="1718">
        <f>AVERAGEIF('Cash Flow MH'!$D$5:$DS$5,'Pro Forma MH'!G$9,'Cash Flow MH'!$D27:$DS27)</f>
        <v>131</v>
      </c>
      <c r="H13" s="1718">
        <f>AVERAGEIF('Cash Flow MH'!$D$5:$DS$5,'Pro Forma MH'!H$9,'Cash Flow MH'!$D27:$DS27)</f>
        <v>131</v>
      </c>
      <c r="I13" s="1718">
        <f>AVERAGEIF('Cash Flow MH'!$D$5:$DS$5,'Pro Forma MH'!I$9,'Cash Flow MH'!$D27:$DS27)</f>
        <v>131</v>
      </c>
      <c r="J13" s="1718">
        <f>AVERAGEIF('Cash Flow MH'!$D$5:$DS$5,'Pro Forma MH'!J$9,'Cash Flow MH'!$D27:$DS27)</f>
        <v>131</v>
      </c>
      <c r="K13" s="1718">
        <f>AVERAGEIF('Cash Flow MH'!$D$5:$DS$5,'Pro Forma MH'!K$9,'Cash Flow MH'!$D27:$DS27)</f>
        <v>131</v>
      </c>
      <c r="L13" s="1718">
        <f>AVERAGEIF('Cash Flow MH'!$D$5:$DS$5,'Pro Forma MH'!L$9,'Cash Flow MH'!$D27:$DS27)</f>
        <v>131</v>
      </c>
      <c r="M13" s="1718">
        <f>AVERAGEIF('Cash Flow MH'!$D$5:$DS$5,'Pro Forma MH'!M$9,'Cash Flow MH'!$D27:$DS27)</f>
        <v>131</v>
      </c>
    </row>
    <row r="14" spans="1:14">
      <c r="B14" s="1717" t="s">
        <v>1074</v>
      </c>
      <c r="D14" s="1719">
        <f>SUMIF('Cash Flow MH'!$D$5:$DS$5,'Pro Forma MH'!D$9,'Cash Flow MH'!$D29:$DS29)</f>
        <v>47815</v>
      </c>
      <c r="E14" s="1719">
        <f>SUMIF('Cash Flow MH'!$D$5:$DS$5,'Pro Forma MH'!E$9,'Cash Flow MH'!$D29:$DS29)</f>
        <v>47815</v>
      </c>
      <c r="F14" s="1719">
        <f>SUMIF('Cash Flow MH'!$D$5:$DS$5,'Pro Forma MH'!F$9,'Cash Flow MH'!$D29:$DS29)</f>
        <v>47815</v>
      </c>
      <c r="G14" s="1719">
        <f>SUMIF('Cash Flow MH'!$D$5:$DS$5,'Pro Forma MH'!G$9,'Cash Flow MH'!$D29:$DS29)</f>
        <v>47946</v>
      </c>
      <c r="H14" s="1719">
        <f>SUMIF('Cash Flow MH'!$D$5:$DS$5,'Pro Forma MH'!H$9,'Cash Flow MH'!$D29:$DS29)</f>
        <v>47815</v>
      </c>
      <c r="I14" s="1719">
        <f>SUMIF('Cash Flow MH'!$D$5:$DS$5,'Pro Forma MH'!I$9,'Cash Flow MH'!$D29:$DS29)</f>
        <v>47815</v>
      </c>
      <c r="J14" s="1719">
        <f>SUMIF('Cash Flow MH'!$D$5:$DS$5,'Pro Forma MH'!J$9,'Cash Flow MH'!$D29:$DS29)</f>
        <v>47815</v>
      </c>
      <c r="K14" s="1719">
        <f>SUMIF('Cash Flow MH'!$D$5:$DS$5,'Pro Forma MH'!K$9,'Cash Flow MH'!$D29:$DS29)</f>
        <v>47946</v>
      </c>
      <c r="L14" s="1719">
        <f>SUMIF('Cash Flow MH'!$D$5:$DS$5,'Pro Forma MH'!L$9,'Cash Flow MH'!$D29:$DS29)</f>
        <v>47815</v>
      </c>
      <c r="M14" s="1719">
        <f>SUMIF('Cash Flow MH'!$D$5:$DS$5,'Pro Forma MH'!M$9,'Cash Flow MH'!$D29:$DS29)</f>
        <v>47815</v>
      </c>
    </row>
    <row r="15" spans="1:14">
      <c r="B15" s="1717" t="s">
        <v>1075</v>
      </c>
      <c r="D15" s="1719">
        <f>SUMIF('Cash Flow MH'!$D$5:$DS$5,'Pro Forma MH'!D$9,'Cash Flow MH'!$D30:$DS30)</f>
        <v>22233.608970588233</v>
      </c>
      <c r="E15" s="1719">
        <f>SUMIF('Cash Flow MH'!$D$5:$DS$5,'Pro Forma MH'!E$9,'Cash Flow MH'!$D30:$DS30)</f>
        <v>32640.826769063176</v>
      </c>
      <c r="F15" s="1719">
        <f>SUMIF('Cash Flow MH'!$D$5:$DS$5,'Pro Forma MH'!F$9,'Cash Flow MH'!$D30:$DS30)</f>
        <v>33468.70196078431</v>
      </c>
      <c r="G15" s="1719">
        <f>SUMIF('Cash Flow MH'!$D$5:$DS$5,'Pro Forma MH'!G$9,'Cash Flow MH'!$D30:$DS30)</f>
        <v>33556.183032167115</v>
      </c>
      <c r="H15" s="1719">
        <f>SUMIF('Cash Flow MH'!$D$5:$DS$5,'Pro Forma MH'!H$9,'Cash Flow MH'!$D30:$DS30)</f>
        <v>33468.70196078431</v>
      </c>
      <c r="I15" s="1719">
        <f>SUMIF('Cash Flow MH'!$D$5:$DS$5,'Pro Forma MH'!I$9,'Cash Flow MH'!$D30:$DS30)</f>
        <v>33468.70196078431</v>
      </c>
      <c r="J15" s="1719">
        <f>SUMIF('Cash Flow MH'!$D$5:$DS$5,'Pro Forma MH'!J$9,'Cash Flow MH'!$D30:$DS30)</f>
        <v>33468.70196078431</v>
      </c>
      <c r="K15" s="1719">
        <f>SUMIF('Cash Flow MH'!$D$5:$DS$5,'Pro Forma MH'!K$9,'Cash Flow MH'!$D30:$DS30)</f>
        <v>33556.183032167115</v>
      </c>
      <c r="L15" s="1719">
        <f>SUMIF('Cash Flow MH'!$D$5:$DS$5,'Pro Forma MH'!L$9,'Cash Flow MH'!$D30:$DS30)</f>
        <v>33468.70196078431</v>
      </c>
      <c r="M15" s="1719">
        <f>SUMIF('Cash Flow MH'!$D$5:$DS$5,'Pro Forma MH'!M$9,'Cash Flow MH'!$D30:$DS30)</f>
        <v>33468.70196078431</v>
      </c>
    </row>
    <row r="16" spans="1:14">
      <c r="B16" s="1717" t="s">
        <v>91</v>
      </c>
      <c r="D16" s="1720">
        <f>+D15/D14</f>
        <v>0.46499234488315871</v>
      </c>
      <c r="E16" s="1720">
        <f t="shared" ref="E16:M16" si="1">+E15/E14</f>
        <v>0.68264826454173744</v>
      </c>
      <c r="F16" s="1720">
        <f t="shared" si="1"/>
        <v>0.69996239591727094</v>
      </c>
      <c r="G16" s="1720">
        <f t="shared" si="1"/>
        <v>0.69987450532196882</v>
      </c>
      <c r="H16" s="1720">
        <f t="shared" si="1"/>
        <v>0.69996239591727094</v>
      </c>
      <c r="I16" s="1720">
        <f t="shared" si="1"/>
        <v>0.69996239591727094</v>
      </c>
      <c r="J16" s="1720">
        <f t="shared" si="1"/>
        <v>0.69996239591727094</v>
      </c>
      <c r="K16" s="1720">
        <f t="shared" si="1"/>
        <v>0.69987450532196882</v>
      </c>
      <c r="L16" s="1720">
        <f t="shared" si="1"/>
        <v>0.69996239591727094</v>
      </c>
      <c r="M16" s="1720">
        <f t="shared" si="1"/>
        <v>0.69996239591727094</v>
      </c>
    </row>
    <row r="17" spans="1:13">
      <c r="B17" s="1717" t="s">
        <v>938</v>
      </c>
      <c r="D17" s="1721">
        <f>+D22/D15</f>
        <v>273.49087204236838</v>
      </c>
      <c r="E17" s="1721">
        <f t="shared" ref="E17:M17" si="2">+E22/E15</f>
        <v>280.76125862974442</v>
      </c>
      <c r="F17" s="1721">
        <f t="shared" si="2"/>
        <v>288.91144585264016</v>
      </c>
      <c r="G17" s="1721">
        <f t="shared" si="2"/>
        <v>297.54539218879324</v>
      </c>
      <c r="H17" s="1721">
        <f t="shared" si="2"/>
        <v>306.5061529050659</v>
      </c>
      <c r="I17" s="1721">
        <f t="shared" si="2"/>
        <v>315.70133749221793</v>
      </c>
      <c r="J17" s="1721">
        <f t="shared" si="2"/>
        <v>325.17237761698442</v>
      </c>
      <c r="K17" s="1721">
        <f t="shared" si="2"/>
        <v>334.88996028339199</v>
      </c>
      <c r="L17" s="1721">
        <f t="shared" si="2"/>
        <v>344.97537541385873</v>
      </c>
      <c r="M17" s="1721">
        <f t="shared" si="2"/>
        <v>355.32463667627451</v>
      </c>
    </row>
    <row r="18" spans="1:13">
      <c r="B18" s="1717" t="s">
        <v>960</v>
      </c>
      <c r="D18" s="1721">
        <f>D22/D14</f>
        <v>127.17116189512078</v>
      </c>
      <c r="E18" s="1721">
        <f t="shared" ref="E18:M18" si="3">E22/E14</f>
        <v>191.66118595414892</v>
      </c>
      <c r="F18" s="1721">
        <f t="shared" si="3"/>
        <v>202.2271478469369</v>
      </c>
      <c r="G18" s="1721">
        <f t="shared" si="3"/>
        <v>208.24443416896287</v>
      </c>
      <c r="H18" s="1721">
        <f t="shared" si="3"/>
        <v>214.5427811508153</v>
      </c>
      <c r="I18" s="1721">
        <f t="shared" si="3"/>
        <v>220.97906458533981</v>
      </c>
      <c r="J18" s="1721">
        <f t="shared" si="3"/>
        <v>227.60843652289998</v>
      </c>
      <c r="K18" s="1721">
        <f t="shared" si="3"/>
        <v>234.38094529063272</v>
      </c>
      <c r="L18" s="1721">
        <f t="shared" si="3"/>
        <v>241.46979030714456</v>
      </c>
      <c r="M18" s="1721">
        <f t="shared" si="3"/>
        <v>248.71388401635892</v>
      </c>
    </row>
    <row r="19" spans="1:13">
      <c r="B19" s="1578"/>
      <c r="C19" s="1578"/>
      <c r="D19" s="1722"/>
      <c r="E19" s="1722"/>
      <c r="F19" s="1722"/>
      <c r="G19" s="1722"/>
      <c r="H19" s="1722"/>
      <c r="I19" s="1722"/>
      <c r="J19" s="1722"/>
      <c r="K19" s="1722"/>
      <c r="L19" s="1722"/>
      <c r="M19" s="1722"/>
    </row>
    <row r="20" spans="1:13">
      <c r="D20" s="1723"/>
      <c r="E20" s="1723"/>
      <c r="F20" s="1723"/>
      <c r="G20" s="1723"/>
      <c r="H20" s="1723"/>
      <c r="I20" s="1723"/>
      <c r="J20" s="1723"/>
      <c r="K20" s="1723"/>
      <c r="L20" s="1723"/>
      <c r="M20" s="1723"/>
    </row>
    <row r="21" spans="1:13">
      <c r="A21" s="1487" t="s">
        <v>65</v>
      </c>
      <c r="B21" s="1503" t="s">
        <v>6</v>
      </c>
      <c r="D21" s="1723"/>
      <c r="E21" s="1850"/>
      <c r="F21" s="1850"/>
      <c r="G21" s="1850"/>
      <c r="H21" s="1850"/>
      <c r="I21" s="1850"/>
      <c r="J21" s="1850"/>
      <c r="K21" s="1850"/>
      <c r="L21" s="1850"/>
      <c r="M21" s="1850"/>
    </row>
    <row r="22" spans="1:13">
      <c r="B22" s="1724" t="s">
        <v>1076</v>
      </c>
      <c r="D22" s="1725">
        <f>SUMIF('Cash Flow MH'!$D$5:$DS$5,'Pro Forma MH'!D$9,'Cash Flow MH'!$D36:$DS36)</f>
        <v>6080689.1060151998</v>
      </c>
      <c r="E22" s="1725">
        <f>SUMIF('Cash Flow MH'!$D$5:$DS$5,'Pro Forma MH'!E$9,'Cash Flow MH'!$D36:$DS36)</f>
        <v>9164279.6063976306</v>
      </c>
      <c r="F22" s="1725">
        <f>SUMIF('Cash Flow MH'!$D$5:$DS$5,'Pro Forma MH'!F$9,'Cash Flow MH'!$D36:$DS36)</f>
        <v>9669491.0743012875</v>
      </c>
      <c r="G22" s="1725">
        <f>SUMIF('Cash Flow MH'!$D$5:$DS$5,'Pro Forma MH'!G$9,'Cash Flow MH'!$D36:$DS36)</f>
        <v>9984487.6406650934</v>
      </c>
      <c r="H22" s="1725">
        <f>SUMIF('Cash Flow MH'!$D$5:$DS$5,'Pro Forma MH'!H$9,'Cash Flow MH'!$D36:$DS36)</f>
        <v>10258363.080726234</v>
      </c>
      <c r="I22" s="1725">
        <f>SUMIF('Cash Flow MH'!$D$5:$DS$5,'Pro Forma MH'!I$9,'Cash Flow MH'!$D36:$DS36)</f>
        <v>10566113.973148024</v>
      </c>
      <c r="J22" s="1725">
        <f>SUMIF('Cash Flow MH'!$D$5:$DS$5,'Pro Forma MH'!J$9,'Cash Flow MH'!$D36:$DS36)</f>
        <v>10883097.392342463</v>
      </c>
      <c r="K22" s="1725">
        <f>SUMIF('Cash Flow MH'!$D$5:$DS$5,'Pro Forma MH'!K$9,'Cash Flow MH'!$D36:$DS36)</f>
        <v>11237628.802904677</v>
      </c>
      <c r="L22" s="1725">
        <f>SUMIF('Cash Flow MH'!$D$5:$DS$5,'Pro Forma MH'!L$9,'Cash Flow MH'!$D36:$DS36)</f>
        <v>11545878.023536118</v>
      </c>
      <c r="M22" s="1725">
        <f>SUMIF('Cash Flow MH'!$D$5:$DS$5,'Pro Forma MH'!M$9,'Cash Flow MH'!$D36:$DS36)</f>
        <v>11892254.364242202</v>
      </c>
    </row>
    <row r="23" spans="1:13">
      <c r="B23" s="1724" t="s">
        <v>1077</v>
      </c>
      <c r="D23" s="1726">
        <f>SUMIF('Cash Flow MH'!$D$5:$DS$5,'Pro Forma MH'!D$9,'Cash Flow MH'!$D37:$DS37)</f>
        <v>266803.3076470588</v>
      </c>
      <c r="E23" s="1726">
        <f>SUMIF('Cash Flow MH'!$D$5:$DS$5,'Pro Forma MH'!E$9,'Cash Flow MH'!$D37:$DS37)</f>
        <v>403440.61886562093</v>
      </c>
      <c r="F23" s="1726">
        <f>SUMIF('Cash Flow MH'!$D$5:$DS$5,'Pro Forma MH'!F$9,'Cash Flow MH'!$D37:$DS37)</f>
        <v>426083.35092235287</v>
      </c>
      <c r="G23" s="1726">
        <f>SUMIF('Cash Flow MH'!$D$5:$DS$5,'Pro Forma MH'!G$9,'Cash Flow MH'!$D37:$DS37)</f>
        <v>440012.96659429057</v>
      </c>
      <c r="H23" s="1726">
        <f>SUMIF('Cash Flow MH'!$D$5:$DS$5,'Pro Forma MH'!H$9,'Cash Flow MH'!$D37:$DS37)</f>
        <v>452031.82699352421</v>
      </c>
      <c r="I23" s="1726">
        <f>SUMIF('Cash Flow MH'!$D$5:$DS$5,'Pro Forma MH'!I$9,'Cash Flow MH'!$D37:$DS37)</f>
        <v>465592.78180332988</v>
      </c>
      <c r="J23" s="1726">
        <f>SUMIF('Cash Flow MH'!$D$5:$DS$5,'Pro Forma MH'!J$9,'Cash Flow MH'!$D37:$DS37)</f>
        <v>479560.5652574299</v>
      </c>
      <c r="K23" s="1726">
        <f>SUMIF('Cash Flow MH'!$D$5:$DS$5,'Pro Forma MH'!K$9,'Cash Flow MH'!$D37:$DS37)</f>
        <v>495238.47041610966</v>
      </c>
      <c r="L23" s="1726">
        <f>SUMIF('Cash Flow MH'!$D$5:$DS$5,'Pro Forma MH'!L$9,'Cash Flow MH'!$D37:$DS37)</f>
        <v>508765.8036816073</v>
      </c>
      <c r="M23" s="1726">
        <f>SUMIF('Cash Flow MH'!$D$5:$DS$5,'Pro Forma MH'!M$9,'Cash Flow MH'!$D37:$DS37)</f>
        <v>524028.77779205551</v>
      </c>
    </row>
    <row r="24" spans="1:13">
      <c r="B24" s="1727" t="s">
        <v>1078</v>
      </c>
      <c r="C24" s="1728"/>
      <c r="D24" s="1729">
        <f t="shared" ref="D24:M24" si="4">SUM(D22:D23)</f>
        <v>6347492.4136622585</v>
      </c>
      <c r="E24" s="1729">
        <f t="shared" si="4"/>
        <v>9567720.225263251</v>
      </c>
      <c r="F24" s="1729">
        <f t="shared" si="4"/>
        <v>10095574.425223641</v>
      </c>
      <c r="G24" s="1729">
        <f t="shared" si="4"/>
        <v>10424500.607259383</v>
      </c>
      <c r="H24" s="1729">
        <f t="shared" si="4"/>
        <v>10710394.907719759</v>
      </c>
      <c r="I24" s="1729">
        <f t="shared" si="4"/>
        <v>11031706.754951354</v>
      </c>
      <c r="J24" s="1729">
        <f t="shared" si="4"/>
        <v>11362657.957599893</v>
      </c>
      <c r="K24" s="1729">
        <f t="shared" si="4"/>
        <v>11732867.273320787</v>
      </c>
      <c r="L24" s="1729">
        <f t="shared" si="4"/>
        <v>12054643.827217724</v>
      </c>
      <c r="M24" s="1729">
        <f t="shared" si="4"/>
        <v>12416283.142034257</v>
      </c>
    </row>
    <row r="25" spans="1:13">
      <c r="B25" s="1724"/>
      <c r="D25" s="1730"/>
      <c r="E25" s="1730"/>
      <c r="F25" s="1730"/>
      <c r="G25" s="1730"/>
      <c r="H25" s="1730"/>
      <c r="I25" s="1730"/>
      <c r="J25" s="1730"/>
      <c r="K25" s="1730"/>
      <c r="L25" s="1730"/>
      <c r="M25" s="1730"/>
    </row>
    <row r="26" spans="1:13">
      <c r="A26" s="1487" t="s">
        <v>65</v>
      </c>
      <c r="B26" s="1717" t="s">
        <v>1079</v>
      </c>
      <c r="D26" s="1730"/>
      <c r="E26" s="1730"/>
      <c r="F26" s="1730"/>
      <c r="G26" s="1730"/>
      <c r="H26" s="1730"/>
      <c r="I26" s="1730"/>
      <c r="J26" s="1730"/>
      <c r="K26" s="1730"/>
      <c r="L26" s="1730"/>
      <c r="M26" s="1730"/>
    </row>
    <row r="27" spans="1:13">
      <c r="B27" s="1724" t="s">
        <v>1080</v>
      </c>
      <c r="D27" s="1725">
        <f>SUMIF('Cash Flow MH'!$D$5:$DS$5,'Pro Forma MH'!D$9,'Cash Flow MH'!$D41:$DS41)</f>
        <v>240864.09718137249</v>
      </c>
      <c r="E27" s="1725">
        <f>SUMIF('Cash Flow MH'!$D$5:$DS$5,'Pro Forma MH'!E$9,'Cash Flow MH'!$D41:$DS41)</f>
        <v>364217.22536479658</v>
      </c>
      <c r="F27" s="1725">
        <f>SUMIF('Cash Flow MH'!$D$5:$DS$5,'Pro Forma MH'!F$9,'Cash Flow MH'!$D41:$DS41)</f>
        <v>384658.58069379086</v>
      </c>
      <c r="G27" s="1725">
        <f>SUMIF('Cash Flow MH'!$D$5:$DS$5,'Pro Forma MH'!G$9,'Cash Flow MH'!$D41:$DS41)</f>
        <v>397233.92817540118</v>
      </c>
      <c r="H27" s="1725">
        <f>SUMIF('Cash Flow MH'!$D$5:$DS$5,'Pro Forma MH'!H$9,'Cash Flow MH'!$D41:$DS41)</f>
        <v>408084.28825804265</v>
      </c>
      <c r="I27" s="1725">
        <f>SUMIF('Cash Flow MH'!$D$5:$DS$5,'Pro Forma MH'!I$9,'Cash Flow MH'!$D41:$DS41)</f>
        <v>420326.8169057839</v>
      </c>
      <c r="J27" s="1725">
        <f>SUMIF('Cash Flow MH'!$D$5:$DS$5,'Pro Forma MH'!J$9,'Cash Flow MH'!$D41:$DS41)</f>
        <v>432936.62141295749</v>
      </c>
      <c r="K27" s="1725">
        <f>SUMIF('Cash Flow MH'!$D$5:$DS$5,'Pro Forma MH'!K$9,'Cash Flow MH'!$D41:$DS41)</f>
        <v>447090.28579232114</v>
      </c>
      <c r="L27" s="1725">
        <f>SUMIF('Cash Flow MH'!$D$5:$DS$5,'Pro Forma MH'!L$9,'Cash Flow MH'!$D41:$DS41)</f>
        <v>459302.46165700647</v>
      </c>
      <c r="M27" s="1725">
        <f>SUMIF('Cash Flow MH'!$D$5:$DS$5,'Pro Forma MH'!M$9,'Cash Flow MH'!$D41:$DS41)</f>
        <v>473081.5355067167</v>
      </c>
    </row>
    <row r="28" spans="1:13">
      <c r="B28" s="1724" t="s">
        <v>1081</v>
      </c>
      <c r="D28" s="1726">
        <f>SUMIF('Cash Flow MH'!$D$5:$DS$5,'Pro Forma MH'!D$9,'Cash Flow MH'!$D42:$DS42)</f>
        <v>37056.014950980389</v>
      </c>
      <c r="E28" s="1726">
        <f>SUMIF('Cash Flow MH'!$D$5:$DS$5,'Pro Forma MH'!E$9,'Cash Flow MH'!$D42:$DS42)</f>
        <v>56033.419286891789</v>
      </c>
      <c r="F28" s="1726">
        <f>SUMIF('Cash Flow MH'!$D$5:$DS$5,'Pro Forma MH'!F$9,'Cash Flow MH'!$D42:$DS42)</f>
        <v>59178.243183660124</v>
      </c>
      <c r="G28" s="1726">
        <f>SUMIF('Cash Flow MH'!$D$5:$DS$5,'Pro Forma MH'!G$9,'Cash Flow MH'!$D42:$DS42)</f>
        <v>61112.912026984784</v>
      </c>
      <c r="H28" s="1726">
        <f>SUMIF('Cash Flow MH'!$D$5:$DS$5,'Pro Forma MH'!H$9,'Cash Flow MH'!$D42:$DS42)</f>
        <v>62782.198193545024</v>
      </c>
      <c r="I28" s="1726">
        <f>SUMIF('Cash Flow MH'!$D$5:$DS$5,'Pro Forma MH'!I$9,'Cash Flow MH'!$D42:$DS42)</f>
        <v>64665.664139351364</v>
      </c>
      <c r="J28" s="1726">
        <f>SUMIF('Cash Flow MH'!$D$5:$DS$5,'Pro Forma MH'!J$9,'Cash Flow MH'!$D42:$DS42)</f>
        <v>66605.634063531907</v>
      </c>
      <c r="K28" s="1726">
        <f>SUMIF('Cash Flow MH'!$D$5:$DS$5,'Pro Forma MH'!K$9,'Cash Flow MH'!$D42:$DS42)</f>
        <v>68783.120891126338</v>
      </c>
      <c r="L28" s="1726">
        <f>SUMIF('Cash Flow MH'!$D$5:$DS$5,'Pro Forma MH'!L$9,'Cash Flow MH'!$D42:$DS42)</f>
        <v>70661.917178001007</v>
      </c>
      <c r="M28" s="1726">
        <f>SUMIF('Cash Flow MH'!$D$5:$DS$5,'Pro Forma MH'!M$9,'Cash Flow MH'!$D42:$DS42)</f>
        <v>72781.774693341038</v>
      </c>
    </row>
    <row r="29" spans="1:13">
      <c r="B29" s="1724" t="s">
        <v>1082</v>
      </c>
      <c r="D29" s="1726">
        <f>SUMIF('Cash Flow MH'!$D$5:$DS$5,'Pro Forma MH'!D$9,'Cash Flow MH'!$D43:$DS43)</f>
        <v>74112.029901960777</v>
      </c>
      <c r="E29" s="1726">
        <f>SUMIF('Cash Flow MH'!$D$5:$DS$5,'Pro Forma MH'!E$9,'Cash Flow MH'!$D43:$DS43)</f>
        <v>112066.83857378358</v>
      </c>
      <c r="F29" s="1726">
        <f>SUMIF('Cash Flow MH'!$D$5:$DS$5,'Pro Forma MH'!F$9,'Cash Flow MH'!$D43:$DS43)</f>
        <v>118356.48636732025</v>
      </c>
      <c r="G29" s="1726">
        <f>SUMIF('Cash Flow MH'!$D$5:$DS$5,'Pro Forma MH'!G$9,'Cash Flow MH'!$D43:$DS43)</f>
        <v>122225.82405396957</v>
      </c>
      <c r="H29" s="1726">
        <f>SUMIF('Cash Flow MH'!$D$5:$DS$5,'Pro Forma MH'!H$9,'Cash Flow MH'!$D43:$DS43)</f>
        <v>125564.39638709005</v>
      </c>
      <c r="I29" s="1726">
        <f>SUMIF('Cash Flow MH'!$D$5:$DS$5,'Pro Forma MH'!I$9,'Cash Flow MH'!$D43:$DS43)</f>
        <v>129331.32827870273</v>
      </c>
      <c r="J29" s="1726">
        <f>SUMIF('Cash Flow MH'!$D$5:$DS$5,'Pro Forma MH'!J$9,'Cash Flow MH'!$D43:$DS43)</f>
        <v>133211.26812706381</v>
      </c>
      <c r="K29" s="1726">
        <f>SUMIF('Cash Flow MH'!$D$5:$DS$5,'Pro Forma MH'!K$9,'Cash Flow MH'!$D43:$DS43)</f>
        <v>137566.24178225268</v>
      </c>
      <c r="L29" s="1726">
        <f>SUMIF('Cash Flow MH'!$D$5:$DS$5,'Pro Forma MH'!L$9,'Cash Flow MH'!$D43:$DS43)</f>
        <v>141323.83435600201</v>
      </c>
      <c r="M29" s="1726">
        <f>SUMIF('Cash Flow MH'!$D$5:$DS$5,'Pro Forma MH'!M$9,'Cash Flow MH'!$D43:$DS43)</f>
        <v>145563.54938668208</v>
      </c>
    </row>
    <row r="30" spans="1:13">
      <c r="B30" s="1724" t="s">
        <v>857</v>
      </c>
      <c r="D30" s="1726">
        <f ca="1">SUMIF('Cash Flow MH'!$D$5:$DS$5,'Pro Forma MH'!D$9,'Cash Flow MH'!$D44:$DS44)</f>
        <v>469943.65968000004</v>
      </c>
      <c r="E30" s="1726">
        <f ca="1">SUMIF('Cash Flow MH'!$D$5:$DS$5,'Pro Forma MH'!E$9,'Cash Flow MH'!$D44:$DS44)</f>
        <v>484041.96947040013</v>
      </c>
      <c r="F30" s="1726">
        <f ca="1">SUMIF('Cash Flow MH'!$D$5:$DS$5,'Pro Forma MH'!F$9,'Cash Flow MH'!$D44:$DS44)</f>
        <v>498563.22855451214</v>
      </c>
      <c r="G30" s="1726">
        <f ca="1">SUMIF('Cash Flow MH'!$D$5:$DS$5,'Pro Forma MH'!G$9,'Cash Flow MH'!$D44:$DS44)</f>
        <v>513520.12541114748</v>
      </c>
      <c r="H30" s="1726">
        <f ca="1">SUMIF('Cash Flow MH'!$D$5:$DS$5,'Pro Forma MH'!H$9,'Cash Flow MH'!$D44:$DS44)</f>
        <v>528925.7291734817</v>
      </c>
      <c r="I30" s="1726">
        <f ca="1">SUMIF('Cash Flow MH'!$D$5:$DS$5,'Pro Forma MH'!I$9,'Cash Flow MH'!$D44:$DS44)</f>
        <v>544793.50104868622</v>
      </c>
      <c r="J30" s="1726">
        <f ca="1">SUMIF('Cash Flow MH'!$D$5:$DS$5,'Pro Forma MH'!J$9,'Cash Flow MH'!$D44:$DS44)</f>
        <v>561137.30608014693</v>
      </c>
      <c r="K30" s="1726">
        <f ca="1">SUMIF('Cash Flow MH'!$D$5:$DS$5,'Pro Forma MH'!K$9,'Cash Flow MH'!$D44:$DS44)</f>
        <v>577971.42526255117</v>
      </c>
      <c r="L30" s="1726">
        <f ca="1">SUMIF('Cash Flow MH'!$D$5:$DS$5,'Pro Forma MH'!L$9,'Cash Flow MH'!$D44:$DS44)</f>
        <v>595310.56802042772</v>
      </c>
      <c r="M30" s="1726">
        <f ca="1">SUMIF('Cash Flow MH'!$D$5:$DS$5,'Pro Forma MH'!M$9,'Cash Flow MH'!$D44:$DS44)</f>
        <v>613169.88506104064</v>
      </c>
    </row>
    <row r="31" spans="1:13">
      <c r="B31" s="1724" t="s">
        <v>1083</v>
      </c>
      <c r="D31" s="1731">
        <f>SUMIF('Cash Flow MH'!$D$5:$DS$5,'Pro Forma MH'!D$9,'Cash Flow MH'!$D45:$DS45)</f>
        <v>40020.496147058824</v>
      </c>
      <c r="E31" s="1731">
        <f>SUMIF('Cash Flow MH'!$D$5:$DS$5,'Pro Forma MH'!E$9,'Cash Flow MH'!$D45:$DS45)</f>
        <v>60516.092829843146</v>
      </c>
      <c r="F31" s="1731">
        <f>SUMIF('Cash Flow MH'!$D$5:$DS$5,'Pro Forma MH'!F$9,'Cash Flow MH'!$D45:$DS45)</f>
        <v>63912.502638352955</v>
      </c>
      <c r="G31" s="1731">
        <f>SUMIF('Cash Flow MH'!$D$5:$DS$5,'Pro Forma MH'!G$9,'Cash Flow MH'!$D45:$DS45)</f>
        <v>66001.94498914358</v>
      </c>
      <c r="H31" s="1731">
        <f>SUMIF('Cash Flow MH'!$D$5:$DS$5,'Pro Forma MH'!H$9,'Cash Flow MH'!$D45:$DS45)</f>
        <v>67804.774049028638</v>
      </c>
      <c r="I31" s="1731">
        <f>SUMIF('Cash Flow MH'!$D$5:$DS$5,'Pro Forma MH'!I$9,'Cash Flow MH'!$D45:$DS45)</f>
        <v>69838.9172704995</v>
      </c>
      <c r="J31" s="1731">
        <f>SUMIF('Cash Flow MH'!$D$5:$DS$5,'Pro Forma MH'!J$9,'Cash Flow MH'!$D45:$DS45)</f>
        <v>71934.084788614477</v>
      </c>
      <c r="K31" s="1731">
        <f>SUMIF('Cash Flow MH'!$D$5:$DS$5,'Pro Forma MH'!K$9,'Cash Flow MH'!$D45:$DS45)</f>
        <v>74285.770562416452</v>
      </c>
      <c r="L31" s="1731">
        <f>SUMIF('Cash Flow MH'!$D$5:$DS$5,'Pro Forma MH'!L$9,'Cash Flow MH'!$D45:$DS45)</f>
        <v>76314.870552241104</v>
      </c>
      <c r="M31" s="1731">
        <f>SUMIF('Cash Flow MH'!$D$5:$DS$5,'Pro Forma MH'!M$9,'Cash Flow MH'!$D45:$DS45)</f>
        <v>78604.316668808344</v>
      </c>
    </row>
    <row r="32" spans="1:13">
      <c r="B32" s="1727" t="s">
        <v>1084</v>
      </c>
      <c r="C32" s="1728"/>
      <c r="D32" s="1729">
        <f t="shared" ref="D32:M32" ca="1" si="5">SUM(D27:D31)</f>
        <v>861996.29786137247</v>
      </c>
      <c r="E32" s="1729">
        <f t="shared" ca="1" si="5"/>
        <v>1076875.5455257152</v>
      </c>
      <c r="F32" s="1729">
        <f t="shared" ca="1" si="5"/>
        <v>1124669.0414376366</v>
      </c>
      <c r="G32" s="1729">
        <f t="shared" ca="1" si="5"/>
        <v>1160094.7346566466</v>
      </c>
      <c r="H32" s="1729">
        <f t="shared" ca="1" si="5"/>
        <v>1193161.3860611883</v>
      </c>
      <c r="I32" s="1729">
        <f t="shared" ca="1" si="5"/>
        <v>1228956.2276430237</v>
      </c>
      <c r="J32" s="1729">
        <f t="shared" ca="1" si="5"/>
        <v>1265824.9144723145</v>
      </c>
      <c r="K32" s="1729">
        <f t="shared" ca="1" si="5"/>
        <v>1305696.8442906677</v>
      </c>
      <c r="L32" s="1729">
        <f t="shared" ca="1" si="5"/>
        <v>1342913.6517636783</v>
      </c>
      <c r="M32" s="1729">
        <f t="shared" ca="1" si="5"/>
        <v>1383201.0613165889</v>
      </c>
    </row>
    <row r="33" spans="1:13">
      <c r="B33" s="1724"/>
      <c r="D33" s="1730"/>
      <c r="E33" s="1730"/>
      <c r="F33" s="1730"/>
      <c r="G33" s="1730"/>
      <c r="H33" s="1730"/>
      <c r="I33" s="1730"/>
      <c r="J33" s="1730"/>
      <c r="K33" s="1730"/>
      <c r="L33" s="1730"/>
      <c r="M33" s="1730"/>
    </row>
    <row r="34" spans="1:13">
      <c r="A34" s="1487" t="s">
        <v>65</v>
      </c>
      <c r="B34" s="1727" t="s">
        <v>1085</v>
      </c>
      <c r="C34" s="1728"/>
      <c r="D34" s="1729">
        <f t="shared" ref="D34:M34" ca="1" si="6">+D24-D32</f>
        <v>5485496.1158008864</v>
      </c>
      <c r="E34" s="1729">
        <f t="shared" ca="1" si="6"/>
        <v>8490844.6797375362</v>
      </c>
      <c r="F34" s="1729">
        <f t="shared" ca="1" si="6"/>
        <v>8970905.383786004</v>
      </c>
      <c r="G34" s="1729">
        <f t="shared" ca="1" si="6"/>
        <v>9264405.8726027366</v>
      </c>
      <c r="H34" s="1729">
        <f t="shared" ca="1" si="6"/>
        <v>9517233.5216585714</v>
      </c>
      <c r="I34" s="1729">
        <f t="shared" ca="1" si="6"/>
        <v>9802750.5273083299</v>
      </c>
      <c r="J34" s="1729">
        <f t="shared" ca="1" si="6"/>
        <v>10096833.043127578</v>
      </c>
      <c r="K34" s="1729">
        <f t="shared" ca="1" si="6"/>
        <v>10427170.429030119</v>
      </c>
      <c r="L34" s="1729">
        <f t="shared" ca="1" si="6"/>
        <v>10711730.175454047</v>
      </c>
      <c r="M34" s="1729">
        <f t="shared" ca="1" si="6"/>
        <v>11033082.080717668</v>
      </c>
    </row>
    <row r="35" spans="1:13">
      <c r="B35" s="1732" t="s">
        <v>1086</v>
      </c>
      <c r="C35" s="1733"/>
      <c r="D35" s="1734">
        <f ca="1">D34/D$24</f>
        <v>0.86419892428606571</v>
      </c>
      <c r="E35" s="1734">
        <f t="shared" ref="E35:M35" ca="1" si="7">E34/E$24</f>
        <v>0.8874470072105306</v>
      </c>
      <c r="F35" s="1734">
        <f t="shared" ca="1" si="7"/>
        <v>0.88859781582832287</v>
      </c>
      <c r="G35" s="1734">
        <f t="shared" ca="1" si="7"/>
        <v>0.88871459858242197</v>
      </c>
      <c r="H35" s="1734">
        <f t="shared" ca="1" si="7"/>
        <v>0.88859781582832298</v>
      </c>
      <c r="I35" s="1734">
        <f t="shared" ca="1" si="7"/>
        <v>0.88859781582832298</v>
      </c>
      <c r="J35" s="1734">
        <f t="shared" ca="1" si="7"/>
        <v>0.88859781582832287</v>
      </c>
      <c r="K35" s="1734">
        <f t="shared" ca="1" si="7"/>
        <v>0.88871459858242197</v>
      </c>
      <c r="L35" s="1734">
        <f t="shared" ca="1" si="7"/>
        <v>0.88859781582832309</v>
      </c>
      <c r="M35" s="1734">
        <f t="shared" ca="1" si="7"/>
        <v>0.88859781582832298</v>
      </c>
    </row>
    <row r="36" spans="1:13">
      <c r="B36" s="1724"/>
      <c r="D36" s="1730"/>
      <c r="E36" s="1730"/>
      <c r="F36" s="1730"/>
      <c r="G36" s="1730"/>
      <c r="H36" s="1730"/>
      <c r="I36" s="1730"/>
      <c r="J36" s="1730"/>
      <c r="K36" s="1730"/>
      <c r="L36" s="1730"/>
      <c r="M36" s="1730"/>
    </row>
    <row r="37" spans="1:13">
      <c r="A37" s="1487" t="s">
        <v>65</v>
      </c>
      <c r="B37" s="1717" t="s">
        <v>1087</v>
      </c>
      <c r="D37" s="1735"/>
      <c r="E37" s="1736"/>
      <c r="F37" s="1736"/>
      <c r="G37" s="1736"/>
      <c r="H37" s="1736"/>
      <c r="I37" s="1736"/>
      <c r="J37" s="1736"/>
      <c r="K37" s="1735"/>
      <c r="L37" s="1735"/>
      <c r="M37" s="1735"/>
    </row>
    <row r="38" spans="1:13" outlineLevel="1">
      <c r="B38" s="1737" t="s">
        <v>1088</v>
      </c>
      <c r="D38" s="1726">
        <f ca="1">SUMIF('Cash Flow MH'!$D$5:$DS$5,'Pro Forma MH'!D$9,'Cash Flow MH'!$D52:$DS52)</f>
        <v>446137.55656132085</v>
      </c>
      <c r="E38" s="1726">
        <f ca="1">SUMIF('Cash Flow MH'!$D$5:$DS$5,'Pro Forma MH'!E$9,'Cash Flow MH'!$D52:$DS52)</f>
        <v>459521.68325816042</v>
      </c>
      <c r="F38" s="1726">
        <f ca="1">SUMIF('Cash Flow MH'!$D$5:$DS$5,'Pro Forma MH'!F$9,'Cash Flow MH'!$D52:$DS52)</f>
        <v>473307.33375590527</v>
      </c>
      <c r="G38" s="1726">
        <f ca="1">SUMIF('Cash Flow MH'!$D$5:$DS$5,'Pro Forma MH'!G$9,'Cash Flow MH'!$D52:$DS52)</f>
        <v>487506.55376858258</v>
      </c>
      <c r="H38" s="1726">
        <f ca="1">SUMIF('Cash Flow MH'!$D$5:$DS$5,'Pro Forma MH'!H$9,'Cash Flow MH'!$D52:$DS52)</f>
        <v>502131.75038163993</v>
      </c>
      <c r="I38" s="1726">
        <f ca="1">SUMIF('Cash Flow MH'!$D$5:$DS$5,'Pro Forma MH'!I$9,'Cash Flow MH'!$D52:$DS52)</f>
        <v>517195.70289308921</v>
      </c>
      <c r="J38" s="1726">
        <f ca="1">SUMIF('Cash Flow MH'!$D$5:$DS$5,'Pro Forma MH'!J$9,'Cash Flow MH'!$D52:$DS52)</f>
        <v>532711.57397988171</v>
      </c>
      <c r="K38" s="1726">
        <f ca="1">SUMIF('Cash Flow MH'!$D$5:$DS$5,'Pro Forma MH'!K$9,'Cash Flow MH'!$D52:$DS52)</f>
        <v>548692.92119927832</v>
      </c>
      <c r="L38" s="1726">
        <f ca="1">SUMIF('Cash Flow MH'!$D$5:$DS$5,'Pro Forma MH'!L$9,'Cash Flow MH'!$D52:$DS52)</f>
        <v>565153.70883525652</v>
      </c>
      <c r="M38" s="1726">
        <f ca="1">SUMIF('Cash Flow MH'!$D$5:$DS$5,'Pro Forma MH'!M$9,'Cash Flow MH'!$D52:$DS52)</f>
        <v>582108.3201003141</v>
      </c>
    </row>
    <row r="39" spans="1:13" outlineLevel="1">
      <c r="B39" s="1737" t="s">
        <v>979</v>
      </c>
      <c r="D39" s="1726">
        <f>SUMIF('Cash Flow MH'!$D$5:$DS$5,'Pro Forma MH'!D$9,'Cash Flow MH'!$D53:$DS53)</f>
        <v>7860</v>
      </c>
      <c r="E39" s="1726">
        <f>SUMIF('Cash Flow MH'!$D$5:$DS$5,'Pro Forma MH'!E$9,'Cash Flow MH'!$D53:$DS53)</f>
        <v>8095.7999999999984</v>
      </c>
      <c r="F39" s="1726">
        <f>SUMIF('Cash Flow MH'!$D$5:$DS$5,'Pro Forma MH'!F$9,'Cash Flow MH'!$D53:$DS53)</f>
        <v>8338.6740000000009</v>
      </c>
      <c r="G39" s="1726">
        <f>SUMIF('Cash Flow MH'!$D$5:$DS$5,'Pro Forma MH'!G$9,'Cash Flow MH'!$D53:$DS53)</f>
        <v>8588.8342199999988</v>
      </c>
      <c r="H39" s="1726">
        <f>SUMIF('Cash Flow MH'!$D$5:$DS$5,'Pro Forma MH'!H$9,'Cash Flow MH'!$D53:$DS53)</f>
        <v>8846.4992465999985</v>
      </c>
      <c r="I39" s="1726">
        <f>SUMIF('Cash Flow MH'!$D$5:$DS$5,'Pro Forma MH'!I$9,'Cash Flow MH'!$D53:$DS53)</f>
        <v>9111.8942239979988</v>
      </c>
      <c r="J39" s="1726">
        <f>SUMIF('Cash Flow MH'!$D$5:$DS$5,'Pro Forma MH'!J$9,'Cash Flow MH'!$D53:$DS53)</f>
        <v>9385.2510507179395</v>
      </c>
      <c r="K39" s="1726">
        <f>SUMIF('Cash Flow MH'!$D$5:$DS$5,'Pro Forma MH'!K$9,'Cash Flow MH'!$D53:$DS53)</f>
        <v>9666.8085822394769</v>
      </c>
      <c r="L39" s="1726">
        <f>SUMIF('Cash Flow MH'!$D$5:$DS$5,'Pro Forma MH'!L$9,'Cash Flow MH'!$D53:$DS53)</f>
        <v>9956.8128397066612</v>
      </c>
      <c r="M39" s="1726">
        <f>SUMIF('Cash Flow MH'!$D$5:$DS$5,'Pro Forma MH'!M$9,'Cash Flow MH'!$D53:$DS53)</f>
        <v>10255.517224897863</v>
      </c>
    </row>
    <row r="40" spans="1:13" outlineLevel="1">
      <c r="B40" s="1737" t="s">
        <v>1089</v>
      </c>
      <c r="D40" s="1726">
        <f>SUMIF('Cash Flow MH'!$D$5:$DS$5,'Pro Forma MH'!D$9,'Cash Flow MH'!$D54:$DS54)</f>
        <v>235800</v>
      </c>
      <c r="E40" s="1726">
        <f>SUMIF('Cash Flow MH'!$D$5:$DS$5,'Pro Forma MH'!E$9,'Cash Flow MH'!$D54:$DS54)</f>
        <v>242874</v>
      </c>
      <c r="F40" s="1726">
        <f>SUMIF('Cash Flow MH'!$D$5:$DS$5,'Pro Forma MH'!F$9,'Cash Flow MH'!$D54:$DS54)</f>
        <v>250160.21999999997</v>
      </c>
      <c r="G40" s="1726">
        <f>SUMIF('Cash Flow MH'!$D$5:$DS$5,'Pro Forma MH'!G$9,'Cash Flow MH'!$D54:$DS54)</f>
        <v>257665.02659999995</v>
      </c>
      <c r="H40" s="1726">
        <f>SUMIF('Cash Flow MH'!$D$5:$DS$5,'Pro Forma MH'!H$9,'Cash Flow MH'!$D54:$DS54)</f>
        <v>265394.97739800002</v>
      </c>
      <c r="I40" s="1726">
        <f>SUMIF('Cash Flow MH'!$D$5:$DS$5,'Pro Forma MH'!I$9,'Cash Flow MH'!$D54:$DS54)</f>
        <v>273356.82671994</v>
      </c>
      <c r="J40" s="1726">
        <f>SUMIF('Cash Flow MH'!$D$5:$DS$5,'Pro Forma MH'!J$9,'Cash Flow MH'!$D54:$DS54)</f>
        <v>281557.53152153821</v>
      </c>
      <c r="K40" s="1726">
        <f>SUMIF('Cash Flow MH'!$D$5:$DS$5,'Pro Forma MH'!K$9,'Cash Flow MH'!$D54:$DS54)</f>
        <v>290004.25746718439</v>
      </c>
      <c r="L40" s="1726">
        <f>SUMIF('Cash Flow MH'!$D$5:$DS$5,'Pro Forma MH'!L$9,'Cash Flow MH'!$D54:$DS54)</f>
        <v>298704.38519119984</v>
      </c>
      <c r="M40" s="1726">
        <f>SUMIF('Cash Flow MH'!$D$5:$DS$5,'Pro Forma MH'!M$9,'Cash Flow MH'!$D54:$DS54)</f>
        <v>307665.51674693584</v>
      </c>
    </row>
    <row r="41" spans="1:13" outlineLevel="1">
      <c r="B41" s="1738" t="s">
        <v>1090</v>
      </c>
      <c r="C41" s="1578"/>
      <c r="D41" s="1739">
        <f>SUMIF('Cash Flow MH'!$D$5:$DS$5,'Pro Forma MH'!D$9,'Cash Flow MH'!$D55:$DS55)</f>
        <v>62880</v>
      </c>
      <c r="E41" s="1739">
        <f>SUMIF('Cash Flow MH'!$D$5:$DS$5,'Pro Forma MH'!E$9,'Cash Flow MH'!$D55:$DS55)</f>
        <v>64766.399999999987</v>
      </c>
      <c r="F41" s="1739">
        <f>SUMIF('Cash Flow MH'!$D$5:$DS$5,'Pro Forma MH'!F$9,'Cash Flow MH'!$D55:$DS55)</f>
        <v>66709.392000000007</v>
      </c>
      <c r="G41" s="1739">
        <f>SUMIF('Cash Flow MH'!$D$5:$DS$5,'Pro Forma MH'!G$9,'Cash Flow MH'!$D55:$DS55)</f>
        <v>68710.673759999991</v>
      </c>
      <c r="H41" s="1739">
        <f>SUMIF('Cash Flow MH'!$D$5:$DS$5,'Pro Forma MH'!H$9,'Cash Flow MH'!$D55:$DS55)</f>
        <v>70771.993972799988</v>
      </c>
      <c r="I41" s="1739">
        <f>SUMIF('Cash Flow MH'!$D$5:$DS$5,'Pro Forma MH'!I$9,'Cash Flow MH'!$D55:$DS55)</f>
        <v>72895.15379198399</v>
      </c>
      <c r="J41" s="1739">
        <f>SUMIF('Cash Flow MH'!$D$5:$DS$5,'Pro Forma MH'!J$9,'Cash Flow MH'!$D55:$DS55)</f>
        <v>75082.008405743516</v>
      </c>
      <c r="K41" s="1739">
        <f>SUMIF('Cash Flow MH'!$D$5:$DS$5,'Pro Forma MH'!K$9,'Cash Flow MH'!$D55:$DS55)</f>
        <v>77334.468657915815</v>
      </c>
      <c r="L41" s="1739">
        <f>SUMIF('Cash Flow MH'!$D$5:$DS$5,'Pro Forma MH'!L$9,'Cash Flow MH'!$D55:$DS55)</f>
        <v>79654.502717653289</v>
      </c>
      <c r="M41" s="1739">
        <f>SUMIF('Cash Flow MH'!$D$5:$DS$5,'Pro Forma MH'!M$9,'Cash Flow MH'!$D55:$DS55)</f>
        <v>82044.137799182907</v>
      </c>
    </row>
    <row r="42" spans="1:13" s="1503" customFormat="1">
      <c r="A42" s="1740"/>
      <c r="B42" s="1724" t="s">
        <v>1091</v>
      </c>
      <c r="C42" s="1485"/>
      <c r="D42" s="1664">
        <f ca="1">SUM(D38:D41)</f>
        <v>752677.55656132079</v>
      </c>
      <c r="E42" s="1664">
        <f t="shared" ref="E42:M42" ca="1" si="8">SUM(E38:E41)</f>
        <v>775257.88325816044</v>
      </c>
      <c r="F42" s="1664">
        <f t="shared" ca="1" si="8"/>
        <v>798515.61975590524</v>
      </c>
      <c r="G42" s="1664">
        <f t="shared" ca="1" si="8"/>
        <v>822471.08834858262</v>
      </c>
      <c r="H42" s="1664">
        <f t="shared" ca="1" si="8"/>
        <v>847145.22099903994</v>
      </c>
      <c r="I42" s="1664">
        <f t="shared" ca="1" si="8"/>
        <v>872559.57762901124</v>
      </c>
      <c r="J42" s="1664">
        <f t="shared" ca="1" si="8"/>
        <v>898736.36495788128</v>
      </c>
      <c r="K42" s="1664">
        <f t="shared" ca="1" si="8"/>
        <v>925698.45590661804</v>
      </c>
      <c r="L42" s="1664">
        <f t="shared" ca="1" si="8"/>
        <v>953469.4095838163</v>
      </c>
      <c r="M42" s="1664">
        <f t="shared" ca="1" si="8"/>
        <v>982073.49187133065</v>
      </c>
    </row>
    <row r="43" spans="1:13">
      <c r="B43" s="1724" t="s">
        <v>981</v>
      </c>
      <c r="D43" s="1726">
        <f>SUMIF('Cash Flow MH'!$D$5:$DS$5,'Pro Forma MH'!D$9,'Cash Flow MH'!$D56:$DS56)</f>
        <v>190424.77240986773</v>
      </c>
      <c r="E43" s="1726">
        <f>SUMIF('Cash Flow MH'!$D$5:$DS$5,'Pro Forma MH'!E$9,'Cash Flow MH'!$D56:$DS56)</f>
        <v>287031.60675789753</v>
      </c>
      <c r="F43" s="1726">
        <f>SUMIF('Cash Flow MH'!$D$5:$DS$5,'Pro Forma MH'!F$9,'Cash Flow MH'!$D56:$DS56)</f>
        <v>302867.23275670916</v>
      </c>
      <c r="G43" s="1726">
        <f>SUMIF('Cash Flow MH'!$D$5:$DS$5,'Pro Forma MH'!G$9,'Cash Flow MH'!$D56:$DS56)</f>
        <v>312735.0182177815</v>
      </c>
      <c r="H43" s="1726">
        <f>SUMIF('Cash Flow MH'!$D$5:$DS$5,'Pro Forma MH'!H$9,'Cash Flow MH'!$D56:$DS56)</f>
        <v>321311.84723159281</v>
      </c>
      <c r="I43" s="1726">
        <f>SUMIF('Cash Flow MH'!$D$5:$DS$5,'Pro Forma MH'!I$9,'Cash Flow MH'!$D56:$DS56)</f>
        <v>330951.20264854055</v>
      </c>
      <c r="J43" s="1726">
        <f>SUMIF('Cash Flow MH'!$D$5:$DS$5,'Pro Forma MH'!J$9,'Cash Flow MH'!$D56:$DS56)</f>
        <v>340879.73872799677</v>
      </c>
      <c r="K43" s="1726">
        <f>SUMIF('Cash Flow MH'!$D$5:$DS$5,'Pro Forma MH'!K$9,'Cash Flow MH'!$D56:$DS56)</f>
        <v>351986.01819962356</v>
      </c>
      <c r="L43" s="1726">
        <f>SUMIF('Cash Flow MH'!$D$5:$DS$5,'Pro Forma MH'!L$9,'Cash Flow MH'!$D56:$DS56)</f>
        <v>361639.31481653167</v>
      </c>
      <c r="M43" s="1726">
        <f>SUMIF('Cash Flow MH'!$D$5:$DS$5,'Pro Forma MH'!M$9,'Cash Flow MH'!$D56:$DS56)</f>
        <v>372488.49426102766</v>
      </c>
    </row>
    <row r="44" spans="1:13" outlineLevel="1">
      <c r="B44" s="1741" t="s">
        <v>874</v>
      </c>
      <c r="D44" s="1726">
        <f ca="1">SUMIF('Cash Flow MH'!$D$5:$DS$5,'Pro Forma MH'!D$9,'Cash Flow MH'!$D57:$DS57)</f>
        <v>153199.875</v>
      </c>
      <c r="E44" s="1726">
        <f ca="1">SUMIF('Cash Flow MH'!$D$5:$DS$5,'Pro Forma MH'!E$9,'Cash Flow MH'!$D57:$DS57)</f>
        <v>157795.87125000005</v>
      </c>
      <c r="F44" s="1726">
        <f ca="1">SUMIF('Cash Flow MH'!$D$5:$DS$5,'Pro Forma MH'!F$9,'Cash Flow MH'!$D57:$DS57)</f>
        <v>162529.74738749993</v>
      </c>
      <c r="G44" s="1726">
        <f ca="1">SUMIF('Cash Flow MH'!$D$5:$DS$5,'Pro Forma MH'!G$9,'Cash Flow MH'!$D57:$DS57)</f>
        <v>167405.63980912499</v>
      </c>
      <c r="H44" s="1726">
        <f ca="1">SUMIF('Cash Flow MH'!$D$5:$DS$5,'Pro Forma MH'!H$9,'Cash Flow MH'!$D57:$DS57)</f>
        <v>172427.80900339875</v>
      </c>
      <c r="I44" s="1726">
        <f ca="1">SUMIF('Cash Flow MH'!$D$5:$DS$5,'Pro Forma MH'!I$9,'Cash Flow MH'!$D57:$DS57)</f>
        <v>177600.6432735007</v>
      </c>
      <c r="J44" s="1726">
        <f ca="1">SUMIF('Cash Flow MH'!$D$5:$DS$5,'Pro Forma MH'!J$9,'Cash Flow MH'!$D57:$DS57)</f>
        <v>182928.66257170573</v>
      </c>
      <c r="K44" s="1726">
        <f ca="1">SUMIF('Cash Flow MH'!$D$5:$DS$5,'Pro Forma MH'!K$9,'Cash Flow MH'!$D57:$DS57)</f>
        <v>188416.52244885694</v>
      </c>
      <c r="L44" s="1726">
        <f ca="1">SUMIF('Cash Flow MH'!$D$5:$DS$5,'Pro Forma MH'!L$9,'Cash Flow MH'!$D57:$DS57)</f>
        <v>194069.01812232262</v>
      </c>
      <c r="M44" s="1726">
        <f ca="1">SUMIF('Cash Flow MH'!$D$5:$DS$5,'Pro Forma MH'!M$9,'Cash Flow MH'!$D57:$DS57)</f>
        <v>199891.08866599234</v>
      </c>
    </row>
    <row r="45" spans="1:13" outlineLevel="1">
      <c r="B45" s="1741" t="s">
        <v>991</v>
      </c>
      <c r="D45" s="1726">
        <f>SUMIF('Cash Flow MH'!$D$5:$DS$5,'Pro Forma MH'!D$9,'Cash Flow MH'!$D58:$DS58)</f>
        <v>31737.462068311288</v>
      </c>
      <c r="E45" s="1726">
        <f>SUMIF('Cash Flow MH'!$D$5:$DS$5,'Pro Forma MH'!E$9,'Cash Flow MH'!$D58:$DS58)</f>
        <v>47838.601126316258</v>
      </c>
      <c r="F45" s="1726">
        <f>SUMIF('Cash Flow MH'!$D$5:$DS$5,'Pro Forma MH'!F$9,'Cash Flow MH'!$D58:$DS58)</f>
        <v>50477.872126118207</v>
      </c>
      <c r="G45" s="1726">
        <f>SUMIF('Cash Flow MH'!$D$5:$DS$5,'Pro Forma MH'!G$9,'Cash Flow MH'!$D58:$DS58)</f>
        <v>52122.503036296919</v>
      </c>
      <c r="H45" s="1726">
        <f>SUMIF('Cash Flow MH'!$D$5:$DS$5,'Pro Forma MH'!H$9,'Cash Flow MH'!$D58:$DS58)</f>
        <v>53551.974538598792</v>
      </c>
      <c r="I45" s="1726">
        <f>SUMIF('Cash Flow MH'!$D$5:$DS$5,'Pro Forma MH'!I$9,'Cash Flow MH'!$D58:$DS58)</f>
        <v>55158.533774756754</v>
      </c>
      <c r="J45" s="1726">
        <f>SUMIF('Cash Flow MH'!$D$5:$DS$5,'Pro Forma MH'!J$9,'Cash Flow MH'!$D58:$DS58)</f>
        <v>56813.289787999471</v>
      </c>
      <c r="K45" s="1726">
        <f>SUMIF('Cash Flow MH'!$D$5:$DS$5,'Pro Forma MH'!K$9,'Cash Flow MH'!$D58:$DS58)</f>
        <v>58664.336366603937</v>
      </c>
      <c r="L45" s="1726">
        <f>SUMIF('Cash Flow MH'!$D$5:$DS$5,'Pro Forma MH'!L$9,'Cash Flow MH'!$D58:$DS58)</f>
        <v>60273.219136088628</v>
      </c>
      <c r="M45" s="1726">
        <f>SUMIF('Cash Flow MH'!$D$5:$DS$5,'Pro Forma MH'!M$9,'Cash Flow MH'!$D58:$DS58)</f>
        <v>62081.415710171284</v>
      </c>
    </row>
    <row r="46" spans="1:13">
      <c r="B46" s="1724" t="s">
        <v>1092</v>
      </c>
      <c r="D46" s="1731">
        <f ca="1">SUM(D44:D45)</f>
        <v>184937.33706831129</v>
      </c>
      <c r="E46" s="1731">
        <f t="shared" ref="E46:M46" ca="1" si="9">SUM(E44:E45)</f>
        <v>205634.47237631632</v>
      </c>
      <c r="F46" s="1731">
        <f t="shared" ca="1" si="9"/>
        <v>213007.61951361812</v>
      </c>
      <c r="G46" s="1731">
        <f t="shared" ca="1" si="9"/>
        <v>219528.14284542191</v>
      </c>
      <c r="H46" s="1731">
        <f t="shared" ca="1" si="9"/>
        <v>225979.78354199755</v>
      </c>
      <c r="I46" s="1731">
        <f t="shared" ca="1" si="9"/>
        <v>232759.17704825744</v>
      </c>
      <c r="J46" s="1731">
        <f t="shared" ca="1" si="9"/>
        <v>239741.9523597052</v>
      </c>
      <c r="K46" s="1731">
        <f t="shared" ca="1" si="9"/>
        <v>247080.85881546087</v>
      </c>
      <c r="L46" s="1731">
        <f t="shared" ca="1" si="9"/>
        <v>254342.23725841125</v>
      </c>
      <c r="M46" s="1731">
        <f t="shared" ca="1" si="9"/>
        <v>261972.50437616362</v>
      </c>
    </row>
    <row r="47" spans="1:13">
      <c r="B47" s="1724" t="s">
        <v>1093</v>
      </c>
      <c r="D47" s="1726">
        <f>SUMIF('Cash Flow MH'!$D$5:$DS$5,'Pro Forma MH'!D$9,'Cash Flow MH'!$D59:$DS59)</f>
        <v>444324.46895635809</v>
      </c>
      <c r="E47" s="1726">
        <f>SUMIF('Cash Flow MH'!$D$5:$DS$5,'Pro Forma MH'!E$9,'Cash Flow MH'!$D59:$DS59)</f>
        <v>669740.41576842777</v>
      </c>
      <c r="F47" s="1726">
        <f>SUMIF('Cash Flow MH'!$D$5:$DS$5,'Pro Forma MH'!F$9,'Cash Flow MH'!$D59:$DS59)</f>
        <v>706690.20976565487</v>
      </c>
      <c r="G47" s="1726">
        <f>SUMIF('Cash Flow MH'!$D$5:$DS$5,'Pro Forma MH'!G$9,'Cash Flow MH'!$D59:$DS59)</f>
        <v>729715.04250815697</v>
      </c>
      <c r="H47" s="1726">
        <f>SUMIF('Cash Flow MH'!$D$5:$DS$5,'Pro Forma MH'!H$9,'Cash Flow MH'!$D59:$DS59)</f>
        <v>749727.64354038343</v>
      </c>
      <c r="I47" s="1726">
        <f>SUMIF('Cash Flow MH'!$D$5:$DS$5,'Pro Forma MH'!I$9,'Cash Flow MH'!$D59:$DS59)</f>
        <v>772219.47284659476</v>
      </c>
      <c r="J47" s="1726">
        <f>SUMIF('Cash Flow MH'!$D$5:$DS$5,'Pro Forma MH'!J$9,'Cash Flow MH'!$D59:$DS59)</f>
        <v>795386.05703199247</v>
      </c>
      <c r="K47" s="1726">
        <f>SUMIF('Cash Flow MH'!$D$5:$DS$5,'Pro Forma MH'!K$9,'Cash Flow MH'!$D59:$DS59)</f>
        <v>821300.70913245517</v>
      </c>
      <c r="L47" s="1726">
        <f>SUMIF('Cash Flow MH'!$D$5:$DS$5,'Pro Forma MH'!L$9,'Cash Flow MH'!$D59:$DS59)</f>
        <v>843825.06790524093</v>
      </c>
      <c r="M47" s="1726">
        <f>SUMIF('Cash Flow MH'!$D$5:$DS$5,'Pro Forma MH'!M$9,'Cash Flow MH'!$D59:$DS59)</f>
        <v>869139.81994239811</v>
      </c>
    </row>
    <row r="48" spans="1:13">
      <c r="B48" s="1724" t="str">
        <f>IF('Assumptions MH'!$G$21=1,"Property Maintenance","In-Unit Maintenance")</f>
        <v>Property Maintenance</v>
      </c>
      <c r="D48" s="1731">
        <f>IF('Assumptions MH'!$G$21=1,SUMIF('Cash Flow MH'!$D$5:$DS$5,'Pro Forma MH'!D$9,'Cash Flow MH'!$D60:$DS60)+SUMIF('Cash Flow MH'!$D$5:$DS$5,'Pro Forma MH'!D$9,'Cash Flow MH'!$D61:$DS61),SUMIF('Cash Flow MH'!$D$5:$DS$5,'Pro Forma MH'!D$9,'Cash Flow MH'!$D60:$DS60))</f>
        <v>188640</v>
      </c>
      <c r="E48" s="1731">
        <f>IF('Assumptions MH'!$G$21=1,SUMIF('Cash Flow MH'!$D$5:$DS$5,'Pro Forma MH'!E$9,'Cash Flow MH'!$D60:$DS60)+SUMIF('Cash Flow MH'!$D$5:$DS$5,'Pro Forma MH'!E$9,'Cash Flow MH'!$D61:$DS61),SUMIF('Cash Flow MH'!$D$5:$DS$5,'Pro Forma MH'!E$9,'Cash Flow MH'!$D60:$DS60))</f>
        <v>194299.2</v>
      </c>
      <c r="F48" s="1731">
        <f>IF('Assumptions MH'!$G$21=1,SUMIF('Cash Flow MH'!$D$5:$DS$5,'Pro Forma MH'!F$9,'Cash Flow MH'!$D60:$DS60)+SUMIF('Cash Flow MH'!$D$5:$DS$5,'Pro Forma MH'!F$9,'Cash Flow MH'!$D61:$DS61),SUMIF('Cash Flow MH'!$D$5:$DS$5,'Pro Forma MH'!F$9,'Cash Flow MH'!$D60:$DS60))</f>
        <v>200128.17599999998</v>
      </c>
      <c r="G48" s="1731">
        <f>IF('Assumptions MH'!$G$21=1,SUMIF('Cash Flow MH'!$D$5:$DS$5,'Pro Forma MH'!G$9,'Cash Flow MH'!$D60:$DS60)+SUMIF('Cash Flow MH'!$D$5:$DS$5,'Pro Forma MH'!G$9,'Cash Flow MH'!$D61:$DS61),SUMIF('Cash Flow MH'!$D$5:$DS$5,'Pro Forma MH'!G$9,'Cash Flow MH'!$D60:$DS60))</f>
        <v>206132.02128000002</v>
      </c>
      <c r="H48" s="1731">
        <f>IF('Assumptions MH'!$G$21=1,SUMIF('Cash Flow MH'!$D$5:$DS$5,'Pro Forma MH'!H$9,'Cash Flow MH'!$D60:$DS60)+SUMIF('Cash Flow MH'!$D$5:$DS$5,'Pro Forma MH'!H$9,'Cash Flow MH'!$D61:$DS61),SUMIF('Cash Flow MH'!$D$5:$DS$5,'Pro Forma MH'!H$9,'Cash Flow MH'!$D60:$DS60))</f>
        <v>212315.98191839998</v>
      </c>
      <c r="I48" s="1731">
        <f>IF('Assumptions MH'!$G$21=1,SUMIF('Cash Flow MH'!$D$5:$DS$5,'Pro Forma MH'!I$9,'Cash Flow MH'!$D60:$DS60)+SUMIF('Cash Flow MH'!$D$5:$DS$5,'Pro Forma MH'!I$9,'Cash Flow MH'!$D61:$DS61),SUMIF('Cash Flow MH'!$D$5:$DS$5,'Pro Forma MH'!I$9,'Cash Flow MH'!$D60:$DS60))</f>
        <v>218685.46137595191</v>
      </c>
      <c r="J48" s="1731">
        <f>IF('Assumptions MH'!$G$21=1,SUMIF('Cash Flow MH'!$D$5:$DS$5,'Pro Forma MH'!J$9,'Cash Flow MH'!$D60:$DS60)+SUMIF('Cash Flow MH'!$D$5:$DS$5,'Pro Forma MH'!J$9,'Cash Flow MH'!$D61:$DS61),SUMIF('Cash Flow MH'!$D$5:$DS$5,'Pro Forma MH'!J$9,'Cash Flow MH'!$D60:$DS60))</f>
        <v>225246.02521723049</v>
      </c>
      <c r="K48" s="1731">
        <f>IF('Assumptions MH'!$G$21=1,SUMIF('Cash Flow MH'!$D$5:$DS$5,'Pro Forma MH'!K$9,'Cash Flow MH'!$D60:$DS60)+SUMIF('Cash Flow MH'!$D$5:$DS$5,'Pro Forma MH'!K$9,'Cash Flow MH'!$D61:$DS61),SUMIF('Cash Flow MH'!$D$5:$DS$5,'Pro Forma MH'!K$9,'Cash Flow MH'!$D60:$DS60))</f>
        <v>232003.40597374743</v>
      </c>
      <c r="L48" s="1731">
        <f>IF('Assumptions MH'!$G$21=1,SUMIF('Cash Flow MH'!$D$5:$DS$5,'Pro Forma MH'!L$9,'Cash Flow MH'!$D60:$DS60)+SUMIF('Cash Flow MH'!$D$5:$DS$5,'Pro Forma MH'!L$9,'Cash Flow MH'!$D61:$DS61),SUMIF('Cash Flow MH'!$D$5:$DS$5,'Pro Forma MH'!L$9,'Cash Flow MH'!$D60:$DS60))</f>
        <v>238963.50815295987</v>
      </c>
      <c r="M48" s="1731">
        <f>IF('Assumptions MH'!$G$21=1,SUMIF('Cash Flow MH'!$D$5:$DS$5,'Pro Forma MH'!M$9,'Cash Flow MH'!$D60:$DS60)+SUMIF('Cash Flow MH'!$D$5:$DS$5,'Pro Forma MH'!M$9,'Cash Flow MH'!$D61:$DS61),SUMIF('Cash Flow MH'!$D$5:$DS$5,'Pro Forma MH'!M$9,'Cash Flow MH'!$D60:$DS60))</f>
        <v>246132.41339754869</v>
      </c>
    </row>
    <row r="49" spans="1:13">
      <c r="B49" s="1724" t="s">
        <v>1094</v>
      </c>
      <c r="D49" s="1731">
        <f>SUMIF('Cash Flow MH'!$D$5:$DS$5,'Pro Forma MH'!D$9,'Cash Flow MH'!$D62:$DS62)</f>
        <v>157200</v>
      </c>
      <c r="E49" s="1731">
        <f>SUMIF('Cash Flow MH'!$D$5:$DS$5,'Pro Forma MH'!E$9,'Cash Flow MH'!$D62:$DS62)</f>
        <v>161916</v>
      </c>
      <c r="F49" s="1731">
        <f>SUMIF('Cash Flow MH'!$D$5:$DS$5,'Pro Forma MH'!F$9,'Cash Flow MH'!$D62:$DS62)</f>
        <v>166773.47999999998</v>
      </c>
      <c r="G49" s="1731">
        <f>SUMIF('Cash Flow MH'!$D$5:$DS$5,'Pro Forma MH'!G$9,'Cash Flow MH'!$D62:$DS62)</f>
        <v>171776.6844</v>
      </c>
      <c r="H49" s="1731">
        <f>SUMIF('Cash Flow MH'!$D$5:$DS$5,'Pro Forma MH'!H$9,'Cash Flow MH'!$D62:$DS62)</f>
        <v>176929.98493199996</v>
      </c>
      <c r="I49" s="1731">
        <f>SUMIF('Cash Flow MH'!$D$5:$DS$5,'Pro Forma MH'!I$9,'Cash Flow MH'!$D62:$DS62)</f>
        <v>182237.88447995996</v>
      </c>
      <c r="J49" s="1731">
        <f>SUMIF('Cash Flow MH'!$D$5:$DS$5,'Pro Forma MH'!J$9,'Cash Flow MH'!$D62:$DS62)</f>
        <v>187705.02101435873</v>
      </c>
      <c r="K49" s="1731">
        <f>SUMIF('Cash Flow MH'!$D$5:$DS$5,'Pro Forma MH'!K$9,'Cash Flow MH'!$D62:$DS62)</f>
        <v>193336.1716447896</v>
      </c>
      <c r="L49" s="1731">
        <f>SUMIF('Cash Flow MH'!$D$5:$DS$5,'Pro Forma MH'!L$9,'Cash Flow MH'!$D62:$DS62)</f>
        <v>199136.25679413322</v>
      </c>
      <c r="M49" s="1731">
        <f>SUMIF('Cash Flow MH'!$D$5:$DS$5,'Pro Forma MH'!M$9,'Cash Flow MH'!$D62:$DS62)</f>
        <v>205110.34449795718</v>
      </c>
    </row>
    <row r="50" spans="1:13">
      <c r="B50" s="1724" t="s">
        <v>996</v>
      </c>
      <c r="D50" s="1726">
        <f>SUMIF('Cash Flow MH'!$D$5:$DS$5,'Pro Forma MH'!D$9,'Cash Flow MH'!$D63:$DS63)</f>
        <v>117900</v>
      </c>
      <c r="E50" s="1726">
        <f>SUMIF('Cash Flow MH'!$D$5:$DS$5,'Pro Forma MH'!E$9,'Cash Flow MH'!$D63:$DS63)</f>
        <v>121437</v>
      </c>
      <c r="F50" s="1726">
        <f>SUMIF('Cash Flow MH'!$D$5:$DS$5,'Pro Forma MH'!F$9,'Cash Flow MH'!$D63:$DS63)</f>
        <v>125080.10999999999</v>
      </c>
      <c r="G50" s="1726">
        <f>SUMIF('Cash Flow MH'!$D$5:$DS$5,'Pro Forma MH'!G$9,'Cash Flow MH'!$D63:$DS63)</f>
        <v>128832.51329999998</v>
      </c>
      <c r="H50" s="1726">
        <f>SUMIF('Cash Flow MH'!$D$5:$DS$5,'Pro Forma MH'!H$9,'Cash Flow MH'!$D63:$DS63)</f>
        <v>132697.48869900001</v>
      </c>
      <c r="I50" s="1726">
        <f>SUMIF('Cash Flow MH'!$D$5:$DS$5,'Pro Forma MH'!I$9,'Cash Flow MH'!$D63:$DS63)</f>
        <v>136678.41335997</v>
      </c>
      <c r="J50" s="1726">
        <f>SUMIF('Cash Flow MH'!$D$5:$DS$5,'Pro Forma MH'!J$9,'Cash Flow MH'!$D63:$DS63)</f>
        <v>140778.76576076911</v>
      </c>
      <c r="K50" s="1726">
        <f>SUMIF('Cash Flow MH'!$D$5:$DS$5,'Pro Forma MH'!K$9,'Cash Flow MH'!$D63:$DS63)</f>
        <v>145002.1287335922</v>
      </c>
      <c r="L50" s="1726">
        <f>SUMIF('Cash Flow MH'!$D$5:$DS$5,'Pro Forma MH'!L$9,'Cash Flow MH'!$D63:$DS63)</f>
        <v>149352.19259559992</v>
      </c>
      <c r="M50" s="1726">
        <f>SUMIF('Cash Flow MH'!$D$5:$DS$5,'Pro Forma MH'!M$9,'Cash Flow MH'!$D63:$DS63)</f>
        <v>153832.75837346792</v>
      </c>
    </row>
    <row r="51" spans="1:13">
      <c r="B51" s="1724" t="s">
        <v>1005</v>
      </c>
      <c r="D51" s="1731">
        <f>SUMIF('Cash Flow MH'!$D$5:$DS$5,'Pro Forma MH'!D$9,'Cash Flow MH'!$D64:$DS64)</f>
        <v>126949.84827324515</v>
      </c>
      <c r="E51" s="1731">
        <f>SUMIF('Cash Flow MH'!$D$5:$DS$5,'Pro Forma MH'!E$9,'Cash Flow MH'!$D64:$DS64)</f>
        <v>191354.40450526503</v>
      </c>
      <c r="F51" s="1731">
        <f>SUMIF('Cash Flow MH'!$D$5:$DS$5,'Pro Forma MH'!F$9,'Cash Flow MH'!$D64:$DS64)</f>
        <v>201911.48850447283</v>
      </c>
      <c r="G51" s="1731">
        <f>SUMIF('Cash Flow MH'!$D$5:$DS$5,'Pro Forma MH'!G$9,'Cash Flow MH'!$D64:$DS64)</f>
        <v>208490.01214518768</v>
      </c>
      <c r="H51" s="1731">
        <f>SUMIF('Cash Flow MH'!$D$5:$DS$5,'Pro Forma MH'!H$9,'Cash Flow MH'!$D64:$DS64)</f>
        <v>214207.89815439517</v>
      </c>
      <c r="I51" s="1731">
        <f>SUMIF('Cash Flow MH'!$D$5:$DS$5,'Pro Forma MH'!I$9,'Cash Flow MH'!$D64:$DS64)</f>
        <v>220634.13509902701</v>
      </c>
      <c r="J51" s="1731">
        <f>SUMIF('Cash Flow MH'!$D$5:$DS$5,'Pro Forma MH'!J$9,'Cash Flow MH'!$D64:$DS64)</f>
        <v>227253.15915199788</v>
      </c>
      <c r="K51" s="1731">
        <f>SUMIF('Cash Flow MH'!$D$5:$DS$5,'Pro Forma MH'!K$9,'Cash Flow MH'!$D64:$DS64)</f>
        <v>234657.34546641575</v>
      </c>
      <c r="L51" s="1731">
        <f>SUMIF('Cash Flow MH'!$D$5:$DS$5,'Pro Forma MH'!L$9,'Cash Flow MH'!$D64:$DS64)</f>
        <v>241092.87654435451</v>
      </c>
      <c r="M51" s="1731">
        <f>SUMIF('Cash Flow MH'!$D$5:$DS$5,'Pro Forma MH'!M$9,'Cash Flow MH'!$D64:$DS64)</f>
        <v>248325.66284068514</v>
      </c>
    </row>
    <row r="52" spans="1:13">
      <c r="B52" s="1727" t="s">
        <v>1095</v>
      </c>
      <c r="C52" s="1728"/>
      <c r="D52" s="1729">
        <f ca="1">SUM(D42,D43,D46,D47:D51)</f>
        <v>2163053.9832691029</v>
      </c>
      <c r="E52" s="1729">
        <f t="shared" ref="E52:M52" ca="1" si="10">SUM(E42,E43,E46,E47:E51)</f>
        <v>2606670.9826660673</v>
      </c>
      <c r="F52" s="1729">
        <f t="shared" ca="1" si="10"/>
        <v>2714973.9362963596</v>
      </c>
      <c r="G52" s="1729">
        <f t="shared" ca="1" si="10"/>
        <v>2799680.5230451305</v>
      </c>
      <c r="H52" s="1729">
        <f t="shared" ca="1" si="10"/>
        <v>2880315.8490168084</v>
      </c>
      <c r="I52" s="1729">
        <f t="shared" ca="1" si="10"/>
        <v>2966725.3244873122</v>
      </c>
      <c r="J52" s="1729">
        <f t="shared" ca="1" si="10"/>
        <v>3055727.0842219321</v>
      </c>
      <c r="K52" s="1729">
        <f t="shared" ca="1" si="10"/>
        <v>3151065.0938727027</v>
      </c>
      <c r="L52" s="1729">
        <f t="shared" ca="1" si="10"/>
        <v>3241820.8636510475</v>
      </c>
      <c r="M52" s="1729">
        <f t="shared" ca="1" si="10"/>
        <v>3339075.4895605789</v>
      </c>
    </row>
    <row r="53" spans="1:13">
      <c r="B53" s="1724"/>
      <c r="D53" s="1850">
        <f t="shared" ref="D53:J53" ca="1" si="11">D52/D24</f>
        <v>0.34077299227855307</v>
      </c>
      <c r="E53" s="1850">
        <f t="shared" ca="1" si="11"/>
        <v>0.27244431497727517</v>
      </c>
      <c r="F53" s="1850">
        <f t="shared" ca="1" si="11"/>
        <v>0.26892713796582374</v>
      </c>
      <c r="G53" s="1850">
        <f t="shared" ca="1" si="11"/>
        <v>0.26856735190705416</v>
      </c>
      <c r="H53" s="1850">
        <f t="shared" ca="1" si="11"/>
        <v>0.26892713796582379</v>
      </c>
      <c r="I53" s="1850">
        <f t="shared" ca="1" si="11"/>
        <v>0.26892713796582374</v>
      </c>
      <c r="J53" s="1850">
        <f t="shared" ca="1" si="11"/>
        <v>0.26892713796582379</v>
      </c>
      <c r="K53" s="1850">
        <f t="shared" ref="K53:M53" ca="1" si="12">K52/K24</f>
        <v>0.26856735190705416</v>
      </c>
      <c r="L53" s="1850">
        <f t="shared" ca="1" si="12"/>
        <v>0.26892713796582385</v>
      </c>
      <c r="M53" s="1850">
        <f t="shared" ca="1" si="12"/>
        <v>0.26892713796582379</v>
      </c>
    </row>
    <row r="54" spans="1:13">
      <c r="A54" s="1487" t="s">
        <v>65</v>
      </c>
      <c r="B54" s="1727" t="s">
        <v>1096</v>
      </c>
      <c r="C54" s="1742"/>
      <c r="D54" s="1729">
        <f t="shared" ref="D54:M54" ca="1" si="13">+D34-D52</f>
        <v>3322442.1325317835</v>
      </c>
      <c r="E54" s="1729">
        <f t="shared" ca="1" si="13"/>
        <v>5884173.6970714685</v>
      </c>
      <c r="F54" s="1729">
        <f t="shared" ca="1" si="13"/>
        <v>6255931.4474896444</v>
      </c>
      <c r="G54" s="1729">
        <f t="shared" ca="1" si="13"/>
        <v>6464725.3495576065</v>
      </c>
      <c r="H54" s="1729">
        <f t="shared" ca="1" si="13"/>
        <v>6636917.6726417635</v>
      </c>
      <c r="I54" s="1729">
        <f t="shared" ca="1" si="13"/>
        <v>6836025.2028210182</v>
      </c>
      <c r="J54" s="1729">
        <f t="shared" ca="1" si="13"/>
        <v>7041105.9589056456</v>
      </c>
      <c r="K54" s="1729">
        <f t="shared" ca="1" si="13"/>
        <v>7276105.3351574158</v>
      </c>
      <c r="L54" s="1729">
        <f t="shared" ca="1" si="13"/>
        <v>7469909.3118029991</v>
      </c>
      <c r="M54" s="1729">
        <f t="shared" ca="1" si="13"/>
        <v>7694006.591157089</v>
      </c>
    </row>
    <row r="55" spans="1:13">
      <c r="B55" s="1732" t="s">
        <v>1097</v>
      </c>
      <c r="C55" s="1743"/>
      <c r="D55" s="1734">
        <f ca="1">D54/D$24</f>
        <v>0.52342593200751264</v>
      </c>
      <c r="E55" s="1734">
        <f t="shared" ref="E55:M55" ca="1" si="14">E54/E$24</f>
        <v>0.61500269223325543</v>
      </c>
      <c r="F55" s="1734">
        <f t="shared" ca="1" si="14"/>
        <v>0.61967067786249919</v>
      </c>
      <c r="G55" s="1734">
        <f t="shared" ca="1" si="14"/>
        <v>0.6201472466753678</v>
      </c>
      <c r="H55" s="1734">
        <f t="shared" ca="1" si="14"/>
        <v>0.6196706778624993</v>
      </c>
      <c r="I55" s="1734">
        <f t="shared" ca="1" si="14"/>
        <v>0.6196706778624993</v>
      </c>
      <c r="J55" s="1734">
        <f t="shared" ca="1" si="14"/>
        <v>0.61967067786249908</v>
      </c>
      <c r="K55" s="1734">
        <f t="shared" ca="1" si="14"/>
        <v>0.6201472466753678</v>
      </c>
      <c r="L55" s="1734">
        <f t="shared" ca="1" si="14"/>
        <v>0.61967067786249919</v>
      </c>
      <c r="M55" s="1734">
        <f t="shared" ca="1" si="14"/>
        <v>0.61967067786249919</v>
      </c>
    </row>
    <row r="56" spans="1:13">
      <c r="B56" s="1744"/>
      <c r="D56" s="1719">
        <f ca="1">SUMIFS('Cash Flow MH'!$D$68:$DS$68,'Cash Flow MH'!$D$5:$DS$5,D9)-D54</f>
        <v>0</v>
      </c>
      <c r="E56" s="1719">
        <f ca="1">SUMIFS('Cash Flow MH'!$D$68:$DS$68,'Cash Flow MH'!$D$5:$DS$5,E9)-E54</f>
        <v>0</v>
      </c>
      <c r="F56" s="1719">
        <f ca="1">SUMIFS('Cash Flow MH'!$D$68:$DS$68,'Cash Flow MH'!$D$5:$DS$5,F9)-F54</f>
        <v>0</v>
      </c>
      <c r="G56" s="1719">
        <f ca="1">SUMIFS('Cash Flow MH'!$D$68:$DS$68,'Cash Flow MH'!$D$5:$DS$5,G9)-G54</f>
        <v>0</v>
      </c>
      <c r="H56" s="1719">
        <f ca="1">SUMIFS('Cash Flow MH'!$D$68:$DS$68,'Cash Flow MH'!$D$5:$DS$5,H9)-H54</f>
        <v>0</v>
      </c>
      <c r="I56" s="1719">
        <f ca="1">SUMIFS('Cash Flow MH'!$D$68:$DS$68,'Cash Flow MH'!$D$5:$DS$5,I9)-I54</f>
        <v>0</v>
      </c>
      <c r="J56" s="1719">
        <f ca="1">SUMIFS('Cash Flow MH'!$D$68:$DS$68,'Cash Flow MH'!$D$5:$DS$5,J9)-J54</f>
        <v>0</v>
      </c>
      <c r="K56" s="1719">
        <f ca="1">SUMIFS('Cash Flow MH'!$D$68:$DS$68,'Cash Flow MH'!$D$5:$DS$5,K9)-K54</f>
        <v>0</v>
      </c>
      <c r="L56" s="1719">
        <f ca="1">SUMIFS('Cash Flow MH'!$D$68:$DS$68,'Cash Flow MH'!$D$5:$DS$5,L9)-L54</f>
        <v>0</v>
      </c>
      <c r="M56" s="1719">
        <f ca="1">SUMIFS('Cash Flow MH'!$D$68:$DS$68,'Cash Flow MH'!$D$5:$DS$5,M9)-M54</f>
        <v>0</v>
      </c>
    </row>
    <row r="57" spans="1:13">
      <c r="A57" s="1487" t="s">
        <v>65</v>
      </c>
      <c r="B57" s="1717" t="s">
        <v>1098</v>
      </c>
      <c r="C57" s="1503"/>
      <c r="D57" s="1745">
        <f>SUMIF('Cash Flow MH'!$D$5:$DS$5,'Pro Forma MH'!D$9,'Cash Flow MH'!$D71:$DS71)</f>
        <v>317374.62068311288</v>
      </c>
      <c r="E57" s="1745">
        <f>SUMIF('Cash Flow MH'!$D$5:$DS$5,'Pro Forma MH'!E$9,'Cash Flow MH'!$D71:$DS71)</f>
        <v>478386.0112631626</v>
      </c>
      <c r="F57" s="1745">
        <f>SUMIF('Cash Flow MH'!$D$5:$DS$5,'Pro Forma MH'!F$9,'Cash Flow MH'!$D71:$DS71)</f>
        <v>504778.72126118204</v>
      </c>
      <c r="G57" s="1745">
        <f>SUMIF('Cash Flow MH'!$D$5:$DS$5,'Pro Forma MH'!G$9,'Cash Flow MH'!$D71:$DS71)</f>
        <v>521225.03036296926</v>
      </c>
      <c r="H57" s="1745">
        <f>SUMIF('Cash Flow MH'!$D$5:$DS$5,'Pro Forma MH'!H$9,'Cash Flow MH'!$D71:$DS71)</f>
        <v>535519.74538598803</v>
      </c>
      <c r="I57" s="1745">
        <f>SUMIF('Cash Flow MH'!$D$5:$DS$5,'Pro Forma MH'!I$9,'Cash Flow MH'!$D71:$DS71)</f>
        <v>551585.33774756757</v>
      </c>
      <c r="J57" s="1745">
        <f>SUMIF('Cash Flow MH'!$D$5:$DS$5,'Pro Forma MH'!J$9,'Cash Flow MH'!$D71:$DS71)</f>
        <v>568132.89787999459</v>
      </c>
      <c r="K57" s="1745">
        <f>SUMIF('Cash Flow MH'!$D$5:$DS$5,'Pro Forma MH'!K$9,'Cash Flow MH'!$D71:$DS71)</f>
        <v>586643.36366603943</v>
      </c>
      <c r="L57" s="1745">
        <f>SUMIF('Cash Flow MH'!$D$5:$DS$5,'Pro Forma MH'!L$9,'Cash Flow MH'!$D71:$DS71)</f>
        <v>602732.19136088633</v>
      </c>
      <c r="M57" s="1745">
        <f>SUMIF('Cash Flow MH'!$D$5:$DS$5,'Pro Forma MH'!M$9,'Cash Flow MH'!$D71:$DS71)</f>
        <v>620814.15710171289</v>
      </c>
    </row>
    <row r="58" spans="1:13">
      <c r="B58" s="1746" t="s">
        <v>1099</v>
      </c>
      <c r="C58" s="1747"/>
      <c r="D58" s="1748">
        <f>D57/D$24</f>
        <v>4.9999999999999996E-2</v>
      </c>
      <c r="E58" s="1748">
        <f t="shared" ref="E58:M58" si="15">E57/E$24</f>
        <v>0.05</v>
      </c>
      <c r="F58" s="1748">
        <f t="shared" si="15"/>
        <v>4.9999999999999996E-2</v>
      </c>
      <c r="G58" s="1748">
        <f t="shared" si="15"/>
        <v>5.000000000000001E-2</v>
      </c>
      <c r="H58" s="1748">
        <f t="shared" si="15"/>
        <v>5.000000000000001E-2</v>
      </c>
      <c r="I58" s="1748">
        <f t="shared" si="15"/>
        <v>4.9999999999999989E-2</v>
      </c>
      <c r="J58" s="1748">
        <f t="shared" si="15"/>
        <v>4.9999999999999996E-2</v>
      </c>
      <c r="K58" s="1748">
        <f t="shared" si="15"/>
        <v>5.000000000000001E-2</v>
      </c>
      <c r="L58" s="1748">
        <f t="shared" si="15"/>
        <v>5.000000000000001E-2</v>
      </c>
      <c r="M58" s="1748">
        <f t="shared" si="15"/>
        <v>0.05</v>
      </c>
    </row>
    <row r="59" spans="1:13">
      <c r="B59" s="1749"/>
      <c r="C59" s="1503"/>
      <c r="D59" s="1750"/>
      <c r="E59" s="1750"/>
      <c r="F59" s="1750"/>
      <c r="G59" s="1750"/>
      <c r="H59" s="1750"/>
      <c r="I59" s="1750"/>
      <c r="J59" s="1750"/>
      <c r="K59" s="1750"/>
      <c r="L59" s="1750"/>
      <c r="M59" s="1750"/>
    </row>
    <row r="60" spans="1:13">
      <c r="A60" s="1487" t="s">
        <v>65</v>
      </c>
      <c r="B60" s="1717" t="s">
        <v>1100</v>
      </c>
      <c r="C60" s="1503"/>
      <c r="D60" s="1745">
        <f>SUMIF('Cash Flow MH'!$D$5:$DS$5,'Pro Forma MH'!D$9,'Cash Flow MH'!$D74:$DS74)</f>
        <v>2257890.5794724007</v>
      </c>
      <c r="E60" s="1745">
        <f>SUMIF('Cash Flow MH'!$D$5:$DS$5,'Pro Forma MH'!E$9,'Cash Flow MH'!$D74:$DS74)</f>
        <v>1938022.7473804776</v>
      </c>
      <c r="F60" s="1745">
        <f>SUMIF('Cash Flow MH'!$D$5:$DS$5,'Pro Forma MH'!F$9,'Cash Flow MH'!$D74:$DS74)</f>
        <v>1596930.7438415138</v>
      </c>
      <c r="G60" s="1745">
        <f>SUMIF('Cash Flow MH'!$D$5:$DS$5,'Pro Forma MH'!G$9,'Cash Flow MH'!$D74:$DS74)</f>
        <v>1644838.6661567583</v>
      </c>
      <c r="H60" s="1745">
        <f>SUMIF('Cash Flow MH'!$D$5:$DS$5,'Pro Forma MH'!H$9,'Cash Flow MH'!$D74:$DS74)</f>
        <v>1694183.826141461</v>
      </c>
      <c r="I60" s="1745">
        <f>SUMIF('Cash Flow MH'!$D$5:$DS$5,'Pro Forma MH'!I$9,'Cash Flow MH'!$D74:$DS74)</f>
        <v>1745009.3409257056</v>
      </c>
      <c r="J60" s="1745">
        <f>SUMIF('Cash Flow MH'!$D$5:$DS$5,'Pro Forma MH'!J$9,'Cash Flow MH'!$D74:$DS74)</f>
        <v>1797359.6211534769</v>
      </c>
      <c r="K60" s="1745">
        <f>SUMIF('Cash Flow MH'!$D$5:$DS$5,'Pro Forma MH'!K$9,'Cash Flow MH'!$D74:$DS74)</f>
        <v>1851280.4097880805</v>
      </c>
      <c r="L60" s="1745">
        <f>SUMIF('Cash Flow MH'!$D$5:$DS$5,'Pro Forma MH'!L$9,'Cash Flow MH'!$D74:$DS74)</f>
        <v>1906818.8220817235</v>
      </c>
      <c r="M60" s="1745">
        <f>SUMIF('Cash Flow MH'!$D$5:$DS$5,'Pro Forma MH'!M$9,'Cash Flow MH'!$D74:$DS74)</f>
        <v>1964023.3867441744</v>
      </c>
    </row>
    <row r="61" spans="1:13">
      <c r="B61" s="1746" t="s">
        <v>1099</v>
      </c>
      <c r="C61" s="1747"/>
      <c r="D61" s="1748">
        <f>D60/D$24</f>
        <v>0.35571378937177567</v>
      </c>
      <c r="E61" s="1748">
        <f t="shared" ref="E61:M61" si="16">E60/E$24</f>
        <v>0.20255846761313026</v>
      </c>
      <c r="F61" s="1748">
        <f t="shared" si="16"/>
        <v>0.15818126602599317</v>
      </c>
      <c r="G61" s="1748">
        <f t="shared" si="16"/>
        <v>0.15778584779508098</v>
      </c>
      <c r="H61" s="1748">
        <f t="shared" si="16"/>
        <v>0.15818126602599308</v>
      </c>
      <c r="I61" s="1748">
        <f t="shared" si="16"/>
        <v>0.15818126602599314</v>
      </c>
      <c r="J61" s="1748">
        <f t="shared" si="16"/>
        <v>0.15818126602599317</v>
      </c>
      <c r="K61" s="1748">
        <f t="shared" si="16"/>
        <v>0.15778584779508098</v>
      </c>
      <c r="L61" s="1748">
        <f t="shared" si="16"/>
        <v>0.15818126602599319</v>
      </c>
      <c r="M61" s="1748">
        <f t="shared" si="16"/>
        <v>0.15818126602599311</v>
      </c>
    </row>
    <row r="62" spans="1:13">
      <c r="B62" s="1749"/>
      <c r="C62" s="1503"/>
      <c r="D62" s="1750"/>
      <c r="E62" s="1750"/>
      <c r="F62" s="1750"/>
      <c r="G62" s="1750"/>
      <c r="H62" s="1750"/>
      <c r="I62" s="1750"/>
      <c r="J62" s="1750"/>
      <c r="K62" s="1750"/>
      <c r="L62" s="1750"/>
      <c r="M62" s="1750"/>
    </row>
    <row r="63" spans="1:13">
      <c r="A63" s="1487" t="s">
        <v>65</v>
      </c>
      <c r="B63" s="1727" t="s">
        <v>1101</v>
      </c>
      <c r="C63" s="1728"/>
      <c r="D63" s="1729">
        <f ca="1">+D54-D57-D60</f>
        <v>747176.93237626972</v>
      </c>
      <c r="E63" s="1729">
        <f t="shared" ref="E63:M63" ca="1" si="17">+E54-E57-E60</f>
        <v>3467764.9384278283</v>
      </c>
      <c r="F63" s="1729">
        <f t="shared" ca="1" si="17"/>
        <v>4154221.9823869485</v>
      </c>
      <c r="G63" s="1729">
        <f t="shared" ca="1" si="17"/>
        <v>4298661.6530378787</v>
      </c>
      <c r="H63" s="1729">
        <f t="shared" ca="1" si="17"/>
        <v>4407214.101114315</v>
      </c>
      <c r="I63" s="1729">
        <f t="shared" ca="1" si="17"/>
        <v>4539430.5241477452</v>
      </c>
      <c r="J63" s="1729">
        <f t="shared" ca="1" si="17"/>
        <v>4675613.4398721745</v>
      </c>
      <c r="K63" s="1729">
        <f t="shared" ca="1" si="17"/>
        <v>4838181.5617032954</v>
      </c>
      <c r="L63" s="1729">
        <f t="shared" ca="1" si="17"/>
        <v>4960358.2983603897</v>
      </c>
      <c r="M63" s="1729">
        <f t="shared" ca="1" si="17"/>
        <v>5109169.0473112017</v>
      </c>
    </row>
    <row r="64" spans="1:13">
      <c r="B64" s="1732" t="s">
        <v>1102</v>
      </c>
      <c r="C64" s="1743"/>
      <c r="D64" s="1734">
        <f ca="1">D63/D$24</f>
        <v>0.11771214263573691</v>
      </c>
      <c r="E64" s="1734">
        <f t="shared" ref="E64:M64" ca="1" si="18">E63/E$24</f>
        <v>0.36244422462012515</v>
      </c>
      <c r="F64" s="1734">
        <f t="shared" ca="1" si="18"/>
        <v>0.41148941183650606</v>
      </c>
      <c r="G64" s="1734">
        <f t="shared" ca="1" si="18"/>
        <v>0.41236139888028683</v>
      </c>
      <c r="H64" s="1734">
        <f t="shared" ca="1" si="18"/>
        <v>0.41148941183650622</v>
      </c>
      <c r="I64" s="1734">
        <f t="shared" ca="1" si="18"/>
        <v>0.41148941183650622</v>
      </c>
      <c r="J64" s="1734">
        <f t="shared" ca="1" si="18"/>
        <v>0.411489411836506</v>
      </c>
      <c r="K64" s="1734">
        <f t="shared" ca="1" si="18"/>
        <v>0.41236139888028678</v>
      </c>
      <c r="L64" s="1734">
        <f t="shared" ca="1" si="18"/>
        <v>0.41148941183650606</v>
      </c>
      <c r="M64" s="1734">
        <f t="shared" ca="1" si="18"/>
        <v>0.41148941183650606</v>
      </c>
    </row>
    <row r="65" spans="1:13">
      <c r="B65" s="1724"/>
      <c r="D65" s="1751"/>
      <c r="E65" s="1751"/>
      <c r="F65" s="1751"/>
      <c r="G65" s="1751"/>
      <c r="H65" s="1751"/>
      <c r="I65" s="1751"/>
      <c r="J65" s="1751"/>
      <c r="K65" s="1751"/>
      <c r="L65" s="1751"/>
      <c r="M65" s="1751"/>
    </row>
    <row r="66" spans="1:13">
      <c r="B66" s="1749" t="s">
        <v>1103</v>
      </c>
      <c r="C66" s="1752"/>
      <c r="D66" s="1745">
        <f ca="1">+MAX(0,D63)*D67</f>
        <v>672459.23913864279</v>
      </c>
      <c r="E66" s="1745">
        <f t="shared" ref="E66:M66" ca="1" si="19">+MAX(0,E63)*E67</f>
        <v>3120988.4445850453</v>
      </c>
      <c r="F66" s="1745">
        <f t="shared" ca="1" si="19"/>
        <v>3738799.784148254</v>
      </c>
      <c r="G66" s="1745">
        <f t="shared" ca="1" si="19"/>
        <v>3868795.487734091</v>
      </c>
      <c r="H66" s="1745">
        <f t="shared" ca="1" si="19"/>
        <v>3966492.6910028835</v>
      </c>
      <c r="I66" s="1745">
        <f t="shared" ca="1" si="19"/>
        <v>4085487.4717329708</v>
      </c>
      <c r="J66" s="1745">
        <f t="shared" ca="1" si="19"/>
        <v>4208052.0958849574</v>
      </c>
      <c r="K66" s="1745">
        <f t="shared" ca="1" si="19"/>
        <v>4354363.4055329664</v>
      </c>
      <c r="L66" s="1745">
        <f t="shared" ca="1" si="19"/>
        <v>4464322.4685243508</v>
      </c>
      <c r="M66" s="1745">
        <f t="shared" ca="1" si="19"/>
        <v>4598252.1425800817</v>
      </c>
    </row>
    <row r="67" spans="1:13">
      <c r="B67" s="1753" t="s">
        <v>1104</v>
      </c>
      <c r="C67" s="1754"/>
      <c r="D67" s="1748">
        <f>INDEX('Assumptions MH'!$Z$25:$Z$34,MATCH('Pro Forma MH'!D$9,'Assumptions MH'!$Y$25:$Y$34,))</f>
        <v>0.9</v>
      </c>
      <c r="E67" s="1748">
        <f>INDEX('Assumptions MH'!$Z$25:$Z$34,MATCH('Pro Forma MH'!E$9,'Assumptions MH'!$Y$25:$Y$34,))</f>
        <v>0.9</v>
      </c>
      <c r="F67" s="1748">
        <f>INDEX('Assumptions MH'!$Z$25:$Z$34,MATCH('Pro Forma MH'!F$9,'Assumptions MH'!$Y$25:$Y$34,))</f>
        <v>0.9</v>
      </c>
      <c r="G67" s="1748">
        <f>INDEX('Assumptions MH'!$Z$25:$Z$34,MATCH('Pro Forma MH'!G$9,'Assumptions MH'!$Y$25:$Y$34,))</f>
        <v>0.9</v>
      </c>
      <c r="H67" s="1748">
        <f>INDEX('Assumptions MH'!$Z$25:$Z$34,MATCH('Pro Forma MH'!H$9,'Assumptions MH'!$Y$25:$Y$34,))</f>
        <v>0.9</v>
      </c>
      <c r="I67" s="1748">
        <f>INDEX('Assumptions MH'!$Z$25:$Z$34,MATCH('Pro Forma MH'!I$9,'Assumptions MH'!$Y$25:$Y$34,))</f>
        <v>0.9</v>
      </c>
      <c r="J67" s="1748">
        <f>INDEX('Assumptions MH'!$Z$25:$Z$34,MATCH('Pro Forma MH'!J$9,'Assumptions MH'!$Y$25:$Y$34,))</f>
        <v>0.9</v>
      </c>
      <c r="K67" s="1748">
        <f>INDEX('Assumptions MH'!$Z$25:$Z$34,MATCH('Pro Forma MH'!K$9,'Assumptions MH'!$Y$25:$Y$34,))</f>
        <v>0.9</v>
      </c>
      <c r="L67" s="1748">
        <f>INDEX('Assumptions MH'!$Z$25:$Z$34,MATCH('Pro Forma MH'!L$9,'Assumptions MH'!$Y$25:$Y$34,))</f>
        <v>0.9</v>
      </c>
      <c r="M67" s="1748">
        <f>INDEX('Assumptions MH'!$Z$25:$Z$34,MATCH('Pro Forma MH'!M$9,'Assumptions MH'!$Y$25:$Y$34,))</f>
        <v>0.9</v>
      </c>
    </row>
    <row r="68" spans="1:13">
      <c r="B68" s="1749" t="s">
        <v>1105</v>
      </c>
      <c r="C68" s="1752"/>
      <c r="D68" s="1745">
        <f ca="1">+MAX(0,D63)*(1-INDEX('Assumptions MH'!$Z$25:$Z$34,MATCH('Pro Forma MH'!D$9,'Assumptions MH'!$Y$25:$Y$34,)))</f>
        <v>74717.693237626954</v>
      </c>
      <c r="E68" s="1745">
        <f ca="1">+MAX(0,E63)*(1-INDEX('Assumptions MH'!$Z$25:$Z$34,MATCH('Pro Forma MH'!E$9,'Assumptions MH'!$Y$25:$Y$34,)))</f>
        <v>346776.49384278274</v>
      </c>
      <c r="F68" s="1745">
        <f ca="1">+MAX(0,F63)*(1-INDEX('Assumptions MH'!$Z$25:$Z$34,MATCH('Pro Forma MH'!F$9,'Assumptions MH'!$Y$25:$Y$34,)))</f>
        <v>415422.19823869475</v>
      </c>
      <c r="G68" s="1745">
        <f ca="1">+MAX(0,G63)*(1-INDEX('Assumptions MH'!$Z$25:$Z$34,MATCH('Pro Forma MH'!G$9,'Assumptions MH'!$Y$25:$Y$34,)))</f>
        <v>429866.1653037878</v>
      </c>
      <c r="H68" s="1745">
        <f ca="1">+MAX(0,H63)*(1-INDEX('Assumptions MH'!$Z$25:$Z$34,MATCH('Pro Forma MH'!H$9,'Assumptions MH'!$Y$25:$Y$34,)))</f>
        <v>440721.41011143138</v>
      </c>
      <c r="I68" s="1745">
        <f ca="1">+MAX(0,I63)*(1-INDEX('Assumptions MH'!$Z$25:$Z$34,MATCH('Pro Forma MH'!I$9,'Assumptions MH'!$Y$25:$Y$34,)))</f>
        <v>453943.05241477443</v>
      </c>
      <c r="J68" s="1745">
        <f ca="1">+MAX(0,J63)*(1-INDEX('Assumptions MH'!$Z$25:$Z$34,MATCH('Pro Forma MH'!J$9,'Assumptions MH'!$Y$25:$Y$34,)))</f>
        <v>467561.34398721735</v>
      </c>
      <c r="K68" s="1745">
        <f ca="1">+MAX(0,K63)*(1-INDEX('Assumptions MH'!$Z$25:$Z$34,MATCH('Pro Forma MH'!K$9,'Assumptions MH'!$Y$25:$Y$34,)))</f>
        <v>483818.15617032943</v>
      </c>
      <c r="L68" s="1745">
        <f ca="1">+MAX(0,L63)*(1-INDEX('Assumptions MH'!$Z$25:$Z$34,MATCH('Pro Forma MH'!L$9,'Assumptions MH'!$Y$25:$Y$34,)))</f>
        <v>496035.82983603887</v>
      </c>
      <c r="M68" s="1745">
        <f ca="1">+MAX(0,M63)*(1-INDEX('Assumptions MH'!$Z$25:$Z$34,MATCH('Pro Forma MH'!M$9,'Assumptions MH'!$Y$25:$Y$34,)))</f>
        <v>510916.90473112004</v>
      </c>
    </row>
    <row r="69" spans="1:13">
      <c r="B69" s="1746" t="s">
        <v>1104</v>
      </c>
      <c r="C69" s="1754"/>
      <c r="D69" s="1755">
        <f>1-INDEX('Assumptions MH'!$Z$25:$Z$34,MATCH('Pro Forma MH'!D$9,'Assumptions MH'!$Y$25:$Y$34,))</f>
        <v>9.9999999999999978E-2</v>
      </c>
      <c r="E69" s="1755">
        <f>1-INDEX('Assumptions MH'!$Z$25:$Z$34,MATCH('Pro Forma MH'!E$9,'Assumptions MH'!$Y$25:$Y$34,))</f>
        <v>9.9999999999999978E-2</v>
      </c>
      <c r="F69" s="1755">
        <f>1-INDEX('Assumptions MH'!$Z$25:$Z$34,MATCH('Pro Forma MH'!F$9,'Assumptions MH'!$Y$25:$Y$34,))</f>
        <v>9.9999999999999978E-2</v>
      </c>
      <c r="G69" s="1755">
        <f>1-INDEX('Assumptions MH'!$Z$25:$Z$34,MATCH('Pro Forma MH'!G$9,'Assumptions MH'!$Y$25:$Y$34,))</f>
        <v>9.9999999999999978E-2</v>
      </c>
      <c r="H69" s="1755">
        <f>1-INDEX('Assumptions MH'!$Z$25:$Z$34,MATCH('Pro Forma MH'!H$9,'Assumptions MH'!$Y$25:$Y$34,))</f>
        <v>9.9999999999999978E-2</v>
      </c>
      <c r="I69" s="1755">
        <f>1-INDEX('Assumptions MH'!$Z$25:$Z$34,MATCH('Pro Forma MH'!I$9,'Assumptions MH'!$Y$25:$Y$34,))</f>
        <v>9.9999999999999978E-2</v>
      </c>
      <c r="J69" s="1755">
        <f>1-INDEX('Assumptions MH'!$Z$25:$Z$34,MATCH('Pro Forma MH'!J$9,'Assumptions MH'!$Y$25:$Y$34,))</f>
        <v>9.9999999999999978E-2</v>
      </c>
      <c r="K69" s="1755">
        <f>1-INDEX('Assumptions MH'!$Z$25:$Z$34,MATCH('Pro Forma MH'!K$9,'Assumptions MH'!$Y$25:$Y$34,))</f>
        <v>9.9999999999999978E-2</v>
      </c>
      <c r="L69" s="1755">
        <f>1-INDEX('Assumptions MH'!$Z$25:$Z$34,MATCH('Pro Forma MH'!L$9,'Assumptions MH'!$Y$25:$Y$34,))</f>
        <v>9.9999999999999978E-2</v>
      </c>
      <c r="M69" s="1755">
        <f>1-INDEX('Assumptions MH'!$Z$25:$Z$34,MATCH('Pro Forma MH'!M$9,'Assumptions MH'!$Y$25:$Y$34,))</f>
        <v>9.9999999999999978E-2</v>
      </c>
    </row>
    <row r="70" spans="1:13">
      <c r="B70" s="1724"/>
      <c r="D70" s="1751"/>
      <c r="E70" s="1751"/>
      <c r="F70" s="1751"/>
      <c r="G70" s="1751"/>
      <c r="H70" s="1751"/>
      <c r="I70" s="1751"/>
      <c r="J70" s="1751"/>
      <c r="K70" s="1751"/>
      <c r="L70" s="1751"/>
      <c r="M70" s="1751"/>
    </row>
    <row r="71" spans="1:13">
      <c r="A71" s="1487" t="s">
        <v>65</v>
      </c>
      <c r="B71" s="1756" t="s">
        <v>1106</v>
      </c>
      <c r="C71" s="1757"/>
      <c r="D71" s="1758">
        <f ca="1">D60+D66</f>
        <v>2930349.8186110435</v>
      </c>
      <c r="E71" s="1758">
        <f t="shared" ref="E71:M71" ca="1" si="20">E60+E66</f>
        <v>5059011.1919655232</v>
      </c>
      <c r="F71" s="1758">
        <f t="shared" ca="1" si="20"/>
        <v>5335730.5279897675</v>
      </c>
      <c r="G71" s="1758">
        <f t="shared" ca="1" si="20"/>
        <v>5513634.1538908491</v>
      </c>
      <c r="H71" s="1758">
        <f t="shared" ca="1" si="20"/>
        <v>5660676.5171443447</v>
      </c>
      <c r="I71" s="1758">
        <f t="shared" ca="1" si="20"/>
        <v>5830496.8126586769</v>
      </c>
      <c r="J71" s="1758">
        <f t="shared" ca="1" si="20"/>
        <v>6005411.717038434</v>
      </c>
      <c r="K71" s="1758">
        <f t="shared" ca="1" si="20"/>
        <v>6205643.8153210469</v>
      </c>
      <c r="L71" s="1758">
        <f t="shared" ca="1" si="20"/>
        <v>6371141.290606074</v>
      </c>
      <c r="M71" s="1758">
        <f t="shared" ca="1" si="20"/>
        <v>6562275.5293242559</v>
      </c>
    </row>
    <row r="72" spans="1:13">
      <c r="B72" s="1759" t="s">
        <v>1099</v>
      </c>
      <c r="C72" s="1760"/>
      <c r="D72" s="1761">
        <f ca="1">D71/D$24</f>
        <v>0.4616547177439389</v>
      </c>
      <c r="E72" s="1761">
        <f t="shared" ref="E72:M72" ca="1" si="21">E71/E$24</f>
        <v>0.52875826977124296</v>
      </c>
      <c r="F72" s="1761">
        <f t="shared" ca="1" si="21"/>
        <v>0.52852173667884861</v>
      </c>
      <c r="G72" s="1761">
        <f t="shared" ca="1" si="21"/>
        <v>0.5289111067873391</v>
      </c>
      <c r="H72" s="1761">
        <f t="shared" ca="1" si="21"/>
        <v>0.52852173667884872</v>
      </c>
      <c r="I72" s="1761">
        <f t="shared" ca="1" si="21"/>
        <v>0.52852173667884872</v>
      </c>
      <c r="J72" s="1761">
        <f t="shared" ca="1" si="21"/>
        <v>0.52852173667884861</v>
      </c>
      <c r="K72" s="1761">
        <f t="shared" ca="1" si="21"/>
        <v>0.5289111067873391</v>
      </c>
      <c r="L72" s="1761">
        <f t="shared" ca="1" si="21"/>
        <v>0.52852173667884861</v>
      </c>
      <c r="M72" s="1761">
        <f t="shared" ca="1" si="21"/>
        <v>0.52852173667884861</v>
      </c>
    </row>
    <row r="73" spans="1:13">
      <c r="B73" s="1724"/>
      <c r="D73" s="1751"/>
      <c r="E73" s="1751"/>
      <c r="F73" s="1751"/>
      <c r="G73" s="1751"/>
      <c r="H73" s="1751"/>
      <c r="I73" s="1751"/>
      <c r="J73" s="1751"/>
      <c r="K73" s="1751"/>
      <c r="L73" s="1751"/>
      <c r="M73" s="1751"/>
    </row>
    <row r="74" spans="1:13">
      <c r="A74" s="1487" t="s">
        <v>65</v>
      </c>
      <c r="B74" s="1717" t="s">
        <v>323</v>
      </c>
      <c r="D74" s="1751"/>
      <c r="E74" s="1751"/>
      <c r="F74" s="1751"/>
      <c r="G74" s="1751"/>
      <c r="H74" s="1751"/>
      <c r="I74" s="1751"/>
      <c r="J74" s="1751"/>
      <c r="K74" s="1751"/>
      <c r="L74" s="1751"/>
      <c r="M74" s="1751"/>
    </row>
    <row r="75" spans="1:13">
      <c r="B75" s="1724" t="s">
        <v>1107</v>
      </c>
      <c r="D75" s="1664">
        <v>0</v>
      </c>
      <c r="E75" s="1664">
        <f>IF('Assumptions MH'!$G$62=1,(E$9&lt;='Assumptions MH'!$G$67)*'Assumptions MH'!$G$68,(E$9=1)*'Assumptions MH'!$G$61)</f>
        <v>0</v>
      </c>
      <c r="F75" s="1664">
        <f>IF('Assumptions MH'!$G$62=1,(F$9&lt;='Assumptions MH'!$G$67)*'Assumptions MH'!$G$68,(F$9=1)*'Assumptions MH'!$G$61)</f>
        <v>0</v>
      </c>
      <c r="G75" s="1664">
        <f>IF('Assumptions MH'!$G$62=1,(G$9&lt;='Assumptions MH'!$G$67)*'Assumptions MH'!$G$68,(G$9=1)*'Assumptions MH'!$G$61)</f>
        <v>0</v>
      </c>
      <c r="H75" s="1664">
        <f>IF('Assumptions MH'!$G$62=1,(H$9&lt;='Assumptions MH'!$G$67)*'Assumptions MH'!$G$68,(H$9=1)*'Assumptions MH'!$G$61)</f>
        <v>0</v>
      </c>
      <c r="I75" s="1664">
        <f>IF('Assumptions MH'!$G$62=1,(I$9&lt;='Assumptions MH'!$G$67)*'Assumptions MH'!$G$68,(I$9=1)*'Assumptions MH'!$G$61)</f>
        <v>0</v>
      </c>
      <c r="J75" s="1664">
        <f>IF('Assumptions MH'!$G$62=1,(J$9&lt;='Assumptions MH'!$G$67)*'Assumptions MH'!$G$68,(J$9=1)*'Assumptions MH'!$G$61)</f>
        <v>0</v>
      </c>
      <c r="K75" s="1664">
        <f>IF('Assumptions MH'!$G$62=1,(K$9&lt;='Assumptions MH'!$G$67)*'Assumptions MH'!$G$68,(K$9=1)*'Assumptions MH'!$G$61)</f>
        <v>0</v>
      </c>
      <c r="L75" s="1664">
        <f>IF('Assumptions MH'!$G$62=1,(L$9&lt;='Assumptions MH'!$G$67)*'Assumptions MH'!$G$68,(L$9=1)*'Assumptions MH'!$G$61)</f>
        <v>0</v>
      </c>
      <c r="M75" s="1664">
        <f>IF('Assumptions MH'!$G$62=1,(M$9&lt;='Assumptions MH'!$G$67)*'Assumptions MH'!$G$68,(M$9=1)*'Assumptions MH'!$G$61)</f>
        <v>0</v>
      </c>
    </row>
    <row r="76" spans="1:13">
      <c r="B76" s="1762" t="s">
        <v>1042</v>
      </c>
      <c r="C76" s="1578"/>
      <c r="D76" s="1739">
        <f>SUMIF('Cash Flow MH'!$D$5:$DS$5,'Pro Forma MH'!D$9,'Cash Flow MH'!$D88:$DS88)</f>
        <v>0</v>
      </c>
      <c r="E76" s="1739">
        <f>SUMIF('Cash Flow MH'!$D$5:$DS$5,'Pro Forma MH'!E$9,'Cash Flow MH'!$D88:$DS88)</f>
        <v>95677.202252632516</v>
      </c>
      <c r="F76" s="1739">
        <f>SUMIF('Cash Flow MH'!$D$5:$DS$5,'Pro Forma MH'!F$9,'Cash Flow MH'!$D88:$DS88)</f>
        <v>201911.48850447283</v>
      </c>
      <c r="G76" s="1739">
        <f>SUMIF('Cash Flow MH'!$D$5:$DS$5,'Pro Forma MH'!G$9,'Cash Flow MH'!$D88:$DS88)</f>
        <v>312735.0182177815</v>
      </c>
      <c r="H76" s="1739">
        <f>SUMIF('Cash Flow MH'!$D$5:$DS$5,'Pro Forma MH'!H$9,'Cash Flow MH'!$D88:$DS88)</f>
        <v>428415.79630879033</v>
      </c>
      <c r="I76" s="1739">
        <f>SUMIF('Cash Flow MH'!$D$5:$DS$5,'Pro Forma MH'!I$9,'Cash Flow MH'!$D88:$DS88)</f>
        <v>551585.33774756757</v>
      </c>
      <c r="J76" s="1739">
        <f>SUMIF('Cash Flow MH'!$D$5:$DS$5,'Pro Forma MH'!J$9,'Cash Flow MH'!$D88:$DS88)</f>
        <v>568132.89787999459</v>
      </c>
      <c r="K76" s="1739">
        <f>SUMIF('Cash Flow MH'!$D$5:$DS$5,'Pro Forma MH'!K$9,'Cash Flow MH'!$D88:$DS88)</f>
        <v>586643.36366603943</v>
      </c>
      <c r="L76" s="1739">
        <f>SUMIF('Cash Flow MH'!$D$5:$DS$5,'Pro Forma MH'!L$9,'Cash Flow MH'!$D88:$DS88)</f>
        <v>602732.19136088633</v>
      </c>
      <c r="M76" s="1739">
        <f>SUMIF('Cash Flow MH'!$D$5:$DS$5,'Pro Forma MH'!M$9,'Cash Flow MH'!$D88:$DS88)</f>
        <v>620814.15710171289</v>
      </c>
    </row>
    <row r="77" spans="1:13">
      <c r="B77" s="1717" t="s">
        <v>1108</v>
      </c>
      <c r="C77" s="1503"/>
      <c r="D77" s="1763">
        <f>SUM(D75:D76)</f>
        <v>0</v>
      </c>
      <c r="E77" s="1763">
        <f t="shared" ref="E77:M77" si="22">SUM(E75:E76)</f>
        <v>95677.202252632516</v>
      </c>
      <c r="F77" s="1763">
        <f t="shared" si="22"/>
        <v>201911.48850447283</v>
      </c>
      <c r="G77" s="1763">
        <f t="shared" si="22"/>
        <v>312735.0182177815</v>
      </c>
      <c r="H77" s="1763">
        <f t="shared" si="22"/>
        <v>428415.79630879033</v>
      </c>
      <c r="I77" s="1763">
        <f t="shared" si="22"/>
        <v>551585.33774756757</v>
      </c>
      <c r="J77" s="1763">
        <f t="shared" si="22"/>
        <v>568132.89787999459</v>
      </c>
      <c r="K77" s="1763">
        <f t="shared" si="22"/>
        <v>586643.36366603943</v>
      </c>
      <c r="L77" s="1763">
        <f t="shared" si="22"/>
        <v>602732.19136088633</v>
      </c>
      <c r="M77" s="1763">
        <f t="shared" si="22"/>
        <v>620814.15710171289</v>
      </c>
    </row>
    <row r="78" spans="1:13">
      <c r="B78" s="1724"/>
      <c r="D78" s="1731"/>
      <c r="E78" s="1731"/>
      <c r="F78" s="1731"/>
      <c r="G78" s="1731"/>
      <c r="H78" s="1731"/>
      <c r="I78" s="1731"/>
      <c r="J78" s="1731"/>
      <c r="K78" s="1731"/>
      <c r="L78" s="1731"/>
      <c r="M78" s="1731"/>
    </row>
    <row r="79" spans="1:13">
      <c r="A79" s="1487" t="s">
        <v>65</v>
      </c>
      <c r="B79" s="1756" t="s">
        <v>1109</v>
      </c>
      <c r="C79" s="1764"/>
      <c r="D79" s="1758">
        <f t="shared" ref="D79:M79" ca="1" si="23">D71-D77</f>
        <v>2930349.8186110435</v>
      </c>
      <c r="E79" s="1758">
        <f t="shared" ca="1" si="23"/>
        <v>4963333.9897128902</v>
      </c>
      <c r="F79" s="1758">
        <f t="shared" ca="1" si="23"/>
        <v>5133819.0394852944</v>
      </c>
      <c r="G79" s="1758">
        <f t="shared" ca="1" si="23"/>
        <v>5200899.1356730675</v>
      </c>
      <c r="H79" s="1758">
        <f t="shared" ca="1" si="23"/>
        <v>5232260.7208355544</v>
      </c>
      <c r="I79" s="1758">
        <f t="shared" ca="1" si="23"/>
        <v>5278911.4749111095</v>
      </c>
      <c r="J79" s="1758">
        <f t="shared" ca="1" si="23"/>
        <v>5437278.8191584395</v>
      </c>
      <c r="K79" s="1758">
        <f t="shared" ca="1" si="23"/>
        <v>5619000.4516550079</v>
      </c>
      <c r="L79" s="1758">
        <f t="shared" ca="1" si="23"/>
        <v>5768409.0992451878</v>
      </c>
      <c r="M79" s="1758">
        <f t="shared" ca="1" si="23"/>
        <v>5941461.3722225428</v>
      </c>
    </row>
    <row r="80" spans="1:13">
      <c r="B80" s="1759" t="s">
        <v>1099</v>
      </c>
      <c r="C80" s="1760"/>
      <c r="D80" s="1761">
        <f ca="1">D79/D$24</f>
        <v>0.4616547177439389</v>
      </c>
      <c r="E80" s="1761">
        <f t="shared" ref="E80:M80" ca="1" si="24">E79/E$24</f>
        <v>0.51875826977124284</v>
      </c>
      <c r="F80" s="1761">
        <f t="shared" ca="1" si="24"/>
        <v>0.50852173667884859</v>
      </c>
      <c r="G80" s="1761">
        <f t="shared" ca="1" si="24"/>
        <v>0.49891110678733908</v>
      </c>
      <c r="H80" s="1761">
        <f t="shared" ca="1" si="24"/>
        <v>0.48852173667884874</v>
      </c>
      <c r="I80" s="1761">
        <f t="shared" ca="1" si="24"/>
        <v>0.47852173667884879</v>
      </c>
      <c r="J80" s="1761">
        <f t="shared" ca="1" si="24"/>
        <v>0.47852173667884856</v>
      </c>
      <c r="K80" s="1761">
        <f t="shared" ca="1" si="24"/>
        <v>0.47891110678733917</v>
      </c>
      <c r="L80" s="1761">
        <f t="shared" ca="1" si="24"/>
        <v>0.47852173667884862</v>
      </c>
      <c r="M80" s="1761">
        <f t="shared" ca="1" si="24"/>
        <v>0.47852173667884851</v>
      </c>
    </row>
    <row r="81" spans="1:13">
      <c r="B81" s="1759" t="s">
        <v>1156</v>
      </c>
      <c r="C81" s="1760"/>
      <c r="D81" s="1825">
        <f ca="1">D79/Dashboard!$C$37</f>
        <v>5.3294344042276912E-2</v>
      </c>
      <c r="E81" s="1825">
        <f ca="1">E79/Dashboard!$C$37</f>
        <v>9.0268277037949138E-2</v>
      </c>
      <c r="F81" s="1825">
        <f ca="1">F79/Dashboard!$C$37</f>
        <v>9.3368892820723429E-2</v>
      </c>
      <c r="G81" s="1825">
        <f ca="1">G79/Dashboard!$C$37</f>
        <v>9.4588880175787649E-2</v>
      </c>
      <c r="H81" s="1825">
        <f ca="1">H79/Dashboard!$C$37</f>
        <v>9.5159254094541484E-2</v>
      </c>
      <c r="I81" s="1825">
        <f ca="1">I79/Dashboard!$C$37</f>
        <v>9.600769250341129E-2</v>
      </c>
      <c r="J81" s="1825">
        <f ca="1">J79/Dashboard!$C$37</f>
        <v>9.8887923278513562E-2</v>
      </c>
      <c r="K81" s="1825">
        <f ca="1">K79/Dashboard!$C$37</f>
        <v>0.10219289906696287</v>
      </c>
      <c r="L81" s="1825">
        <f ca="1">L79/Dashboard!$C$37</f>
        <v>0.10491019780617503</v>
      </c>
      <c r="M81" s="1825">
        <f ca="1">M79/Dashboard!$C$37</f>
        <v>0.10805750374036027</v>
      </c>
    </row>
    <row r="82" spans="1:13">
      <c r="D82" s="1719">
        <f ca="1">SUMIFS('Cash Flow MH'!$D$91:$DS$91,'Cash Flow MH'!$D$5:$DS$5,'Pro Forma MH'!D9)</f>
        <v>3246597.2083393713</v>
      </c>
      <c r="E82" s="1719">
        <f ca="1">SUMIFS('Cash Flow MH'!$D$91:$DS$91,'Cash Flow MH'!$D$5:$DS$5,'Pro Forma MH'!E9)</f>
        <v>4963333.9897128921</v>
      </c>
      <c r="F82" s="1719">
        <f ca="1">SUMIFS('Cash Flow MH'!$D$91:$DS$91,'Cash Flow MH'!$D$5:$DS$5,'Pro Forma MH'!F9)</f>
        <v>5133819.0394852944</v>
      </c>
      <c r="G82" s="1719">
        <f ca="1">SUMIFS('Cash Flow MH'!$D$91:$DS$91,'Cash Flow MH'!$D$5:$DS$5,'Pro Forma MH'!G9)</f>
        <v>5200899.1356730685</v>
      </c>
      <c r="H82" s="1719">
        <f ca="1">SUMIFS('Cash Flow MH'!$D$91:$DS$91,'Cash Flow MH'!$D$5:$DS$5,'Pro Forma MH'!H9)</f>
        <v>5232260.7208355535</v>
      </c>
      <c r="I82" s="1719">
        <f ca="1">SUMIFS('Cash Flow MH'!$D$91:$DS$91,'Cash Flow MH'!$D$5:$DS$5,'Pro Forma MH'!I9)</f>
        <v>5278911.4749111068</v>
      </c>
      <c r="J82" s="1719">
        <f ca="1">SUMIFS('Cash Flow MH'!$D$91:$DS$91,'Cash Flow MH'!$D$5:$DS$5,'Pro Forma MH'!J9)</f>
        <v>5437278.8191584405</v>
      </c>
      <c r="K82" s="1719">
        <f ca="1">SUMIFS('Cash Flow MH'!$D$91:$DS$91,'Cash Flow MH'!$D$5:$DS$5,'Pro Forma MH'!K9)</f>
        <v>5619000.4516550079</v>
      </c>
      <c r="L82" s="1719">
        <f ca="1">SUMIFS('Cash Flow MH'!$D$91:$DS$91,'Cash Flow MH'!$D$5:$DS$5,'Pro Forma MH'!L9)</f>
        <v>5768409.0992451878</v>
      </c>
      <c r="M82" s="1719">
        <f ca="1">SUMIFS('Cash Flow MH'!$D$91:$DS$91,'Cash Flow MH'!$D$5:$DS$5,'Pro Forma MH'!M9)</f>
        <v>5941461.3722225428</v>
      </c>
    </row>
    <row r="83" spans="1:13">
      <c r="D83" s="1719">
        <f ca="1">D79-D82</f>
        <v>-316247.38972832775</v>
      </c>
      <c r="E83" s="1719">
        <f t="shared" ref="E83:M83" ca="1" si="25">E79-E82</f>
        <v>0</v>
      </c>
      <c r="F83" s="1719">
        <f t="shared" ca="1" si="25"/>
        <v>0</v>
      </c>
      <c r="G83" s="1719">
        <f t="shared" ca="1" si="25"/>
        <v>0</v>
      </c>
      <c r="H83" s="1719">
        <f t="shared" ca="1" si="25"/>
        <v>0</v>
      </c>
      <c r="I83" s="1719">
        <f t="shared" ca="1" si="25"/>
        <v>0</v>
      </c>
      <c r="J83" s="1719">
        <f t="shared" ca="1" si="25"/>
        <v>0</v>
      </c>
      <c r="K83" s="1719">
        <f t="shared" ca="1" si="25"/>
        <v>0</v>
      </c>
      <c r="L83" s="1719">
        <f t="shared" ca="1" si="25"/>
        <v>0</v>
      </c>
      <c r="M83" s="1719">
        <f t="shared" ca="1" si="25"/>
        <v>0</v>
      </c>
    </row>
    <row r="84" spans="1:13">
      <c r="D84" s="1719"/>
      <c r="E84" s="1719"/>
      <c r="F84" s="1719"/>
      <c r="G84" s="1719"/>
      <c r="H84" s="1719"/>
      <c r="I84" s="1719"/>
      <c r="J84" s="1719"/>
      <c r="K84" s="1719"/>
      <c r="L84" s="1719"/>
      <c r="M84" s="1719"/>
    </row>
    <row r="85" spans="1:13">
      <c r="D85" s="1719"/>
      <c r="E85" s="1719"/>
      <c r="F85" s="1719"/>
      <c r="G85" s="1719"/>
      <c r="H85" s="1719"/>
      <c r="I85" s="1719"/>
      <c r="J85" s="1719"/>
      <c r="K85" s="1719"/>
      <c r="L85" s="1719"/>
      <c r="M85" s="1719"/>
    </row>
    <row r="86" spans="1:13">
      <c r="D86" s="1719"/>
      <c r="E86" s="1719"/>
      <c r="F86" s="1719"/>
      <c r="G86" s="1719"/>
      <c r="H86" s="1719"/>
      <c r="I86" s="1719"/>
      <c r="J86" s="1719"/>
      <c r="K86" s="1719"/>
      <c r="L86" s="1719"/>
      <c r="M86" s="1719"/>
    </row>
    <row r="87" spans="1:13" s="1766" customFormat="1" ht="12" customHeight="1">
      <c r="A87" s="1765"/>
      <c r="B87" s="1766" t="s">
        <v>1110</v>
      </c>
    </row>
    <row r="88" spans="1:13" s="1766" customFormat="1" ht="12">
      <c r="A88" s="1765"/>
      <c r="B88" s="1766" t="s">
        <v>1111</v>
      </c>
      <c r="D88" s="1767"/>
      <c r="E88" s="1767"/>
      <c r="F88" s="1767"/>
      <c r="G88" s="1767"/>
      <c r="H88" s="1767"/>
      <c r="I88" s="1767"/>
      <c r="J88" s="1767"/>
      <c r="K88" s="1767"/>
      <c r="L88" s="1767"/>
      <c r="M88" s="1767"/>
    </row>
    <row r="93" spans="1:13">
      <c r="D93" s="1719"/>
    </row>
  </sheetData>
  <printOptions horizontalCentered="1"/>
  <pageMargins left="0.7" right="0.7" top="0.75" bottom="0.75" header="0.3" footer="0.3"/>
  <pageSetup scale="50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9DEE-EF5C-4113-A6C1-F169B30D0C2E}">
  <sheetPr>
    <tabColor rgb="FF1C476E"/>
    <pageSetUpPr fitToPage="1"/>
  </sheetPr>
  <dimension ref="C5:O97"/>
  <sheetViews>
    <sheetView showGridLines="0" topLeftCell="A19" workbookViewId="0">
      <selection activeCell="L47" sqref="L47"/>
    </sheetView>
  </sheetViews>
  <sheetFormatPr defaultRowHeight="12.75" outlineLevelRow="2"/>
  <cols>
    <col min="1" max="2" width="9.140625" style="1864"/>
    <col min="3" max="3" width="41" style="1864" bestFit="1" customWidth="1"/>
    <col min="4" max="4" width="1.7109375" style="1864" customWidth="1"/>
    <col min="5" max="5" width="1.42578125" style="1864" customWidth="1"/>
    <col min="6" max="6" width="20.85546875" style="1864" customWidth="1"/>
    <col min="7" max="7" width="9.7109375" style="1864" bestFit="1" customWidth="1"/>
    <col min="8" max="8" width="13.42578125" style="1864" bestFit="1" customWidth="1"/>
    <col min="9" max="9" width="14.5703125" style="1864" bestFit="1" customWidth="1"/>
    <col min="10" max="11" width="9.140625" style="1864"/>
    <col min="12" max="12" width="19.28515625" style="1864" bestFit="1" customWidth="1"/>
    <col min="13" max="13" width="14.5703125" style="1864" bestFit="1" customWidth="1"/>
    <col min="14" max="14" width="9.140625" style="1864"/>
    <col min="15" max="15" width="9.28515625" style="1864" bestFit="1" customWidth="1"/>
    <col min="16" max="16384" width="9.140625" style="1864"/>
  </cols>
  <sheetData>
    <row r="5" spans="3:6" outlineLevel="1">
      <c r="C5" s="1862" t="s">
        <v>1113</v>
      </c>
    </row>
    <row r="6" spans="3:6" outlineLevel="1">
      <c r="C6" s="1863" t="s">
        <v>948</v>
      </c>
    </row>
    <row r="7" spans="3:6" outlineLevel="1">
      <c r="C7" s="1863" t="s">
        <v>953</v>
      </c>
    </row>
    <row r="8" spans="3:6" outlineLevel="1">
      <c r="C8" s="1863" t="s">
        <v>956</v>
      </c>
    </row>
    <row r="9" spans="3:6" outlineLevel="1">
      <c r="C9" s="1863" t="s">
        <v>1114</v>
      </c>
    </row>
    <row r="10" spans="3:6" outlineLevel="1">
      <c r="C10" s="1863" t="s">
        <v>1115</v>
      </c>
    </row>
    <row r="11" spans="3:6" outlineLevel="1">
      <c r="C11" s="1863" t="s">
        <v>1116</v>
      </c>
      <c r="F11" s="1864">
        <f>'Assumptions MH'!T27</f>
        <v>6</v>
      </c>
    </row>
    <row r="12" spans="3:6" outlineLevel="1"/>
    <row r="13" spans="3:6" outlineLevel="1">
      <c r="C13" s="1862" t="s">
        <v>1117</v>
      </c>
    </row>
    <row r="14" spans="3:6" outlineLevel="1">
      <c r="C14" s="1863" t="s">
        <v>353</v>
      </c>
    </row>
    <row r="15" spans="3:6" outlineLevel="1">
      <c r="C15" s="1863" t="s">
        <v>1118</v>
      </c>
    </row>
    <row r="16" spans="3:6" outlineLevel="1">
      <c r="C16" s="1863" t="s">
        <v>1119</v>
      </c>
    </row>
    <row r="17" spans="3:8" outlineLevel="1">
      <c r="C17" s="1863" t="s">
        <v>1120</v>
      </c>
    </row>
    <row r="18" spans="3:8" outlineLevel="1">
      <c r="C18" s="1863" t="s">
        <v>1121</v>
      </c>
    </row>
    <row r="19" spans="3:8" outlineLevel="1">
      <c r="C19" s="1863" t="s">
        <v>1122</v>
      </c>
    </row>
    <row r="20" spans="3:8" outlineLevel="1"/>
    <row r="21" spans="3:8">
      <c r="C21" s="1962" t="s">
        <v>1123</v>
      </c>
      <c r="D21" s="1963"/>
      <c r="E21" s="1963"/>
      <c r="F21" s="1964"/>
    </row>
    <row r="22" spans="3:8">
      <c r="C22" s="1878" t="s">
        <v>143</v>
      </c>
      <c r="F22" s="1879">
        <f>'Assumptions MH'!G31</f>
        <v>131</v>
      </c>
    </row>
    <row r="23" spans="3:8">
      <c r="C23" s="1878" t="s">
        <v>1124</v>
      </c>
      <c r="F23" s="1880">
        <f>F24/12</f>
        <v>3984.5833333333335</v>
      </c>
    </row>
    <row r="24" spans="3:8">
      <c r="C24" s="1878" t="s">
        <v>1125</v>
      </c>
      <c r="F24" s="1880">
        <f>'Pro Forma MH'!D14</f>
        <v>47815</v>
      </c>
    </row>
    <row r="25" spans="3:8">
      <c r="C25" s="1878" t="s">
        <v>1126</v>
      </c>
      <c r="F25" s="1880">
        <f>F24*F26</f>
        <v>33470.5</v>
      </c>
    </row>
    <row r="26" spans="3:8">
      <c r="C26" s="1878" t="s">
        <v>91</v>
      </c>
      <c r="F26" s="1881">
        <f>'Assumptions MH'!$L$27</f>
        <v>0.7</v>
      </c>
    </row>
    <row r="27" spans="3:8">
      <c r="C27" s="1878" t="s">
        <v>938</v>
      </c>
      <c r="F27" s="1882">
        <f>'Assumptions MH'!$L$15</f>
        <v>271</v>
      </c>
    </row>
    <row r="28" spans="3:8">
      <c r="C28" s="1883" t="s">
        <v>960</v>
      </c>
      <c r="D28" s="1866"/>
      <c r="E28" s="1866"/>
      <c r="F28" s="1884">
        <f>F27*F26</f>
        <v>189.7</v>
      </c>
    </row>
    <row r="29" spans="3:8">
      <c r="C29" s="1965"/>
      <c r="F29" s="1966"/>
    </row>
    <row r="30" spans="3:8">
      <c r="C30" s="1967" t="s">
        <v>1220</v>
      </c>
      <c r="D30" s="1968"/>
      <c r="E30" s="1968"/>
      <c r="F30" s="1969"/>
    </row>
    <row r="31" spans="3:8">
      <c r="C31" s="1875" t="s">
        <v>6</v>
      </c>
      <c r="D31" s="1876"/>
      <c r="E31" s="1876"/>
      <c r="F31" s="1877"/>
    </row>
    <row r="32" spans="3:8">
      <c r="C32" s="1885" t="s">
        <v>1076</v>
      </c>
      <c r="F32" s="1880">
        <f>F24*F28</f>
        <v>9070505.5</v>
      </c>
      <c r="H32" s="1869">
        <f>F32-Dashboard!K32</f>
        <v>0</v>
      </c>
    </row>
    <row r="33" spans="3:8">
      <c r="C33" s="1886" t="s">
        <v>1077</v>
      </c>
      <c r="D33" s="1866"/>
      <c r="E33" s="1866"/>
      <c r="F33" s="1887">
        <f>(('Assumptions MH'!L41*'Assumptions MH'!L42*'Assumptions MH'!L43*'Assumptions MH'!L44*'Assumptions MH'!L45)*365)*0.75</f>
        <v>404876.25</v>
      </c>
      <c r="H33" s="1869">
        <f>F33-Dashboard!K34</f>
        <v>0</v>
      </c>
    </row>
    <row r="34" spans="3:8">
      <c r="C34" s="1888" t="s">
        <v>1078</v>
      </c>
      <c r="F34" s="1889">
        <f>SUM(F32:F33)</f>
        <v>9475381.75</v>
      </c>
      <c r="H34" s="1869">
        <f>F34-Dashboard!K35</f>
        <v>0</v>
      </c>
    </row>
    <row r="35" spans="3:8" ht="3.75" customHeight="1">
      <c r="C35" s="1890"/>
      <c r="F35" s="1879"/>
    </row>
    <row r="36" spans="3:8" outlineLevel="1">
      <c r="C36" s="1891" t="s">
        <v>1079</v>
      </c>
      <c r="F36" s="1879"/>
    </row>
    <row r="37" spans="3:8" outlineLevel="1">
      <c r="C37" s="1885" t="s">
        <v>1080</v>
      </c>
      <c r="F37" s="1880">
        <f>('Assumptions MH'!Q11*'Stabalized NOI'!$F$25)/'Stabalized NOI'!$F$11</f>
        <v>362597.08333333331</v>
      </c>
    </row>
    <row r="38" spans="3:8" outlineLevel="1">
      <c r="C38" s="1885" t="s">
        <v>1081</v>
      </c>
      <c r="F38" s="1880">
        <f>('Assumptions MH'!Q12*'Stabalized NOI'!$F$25)/'Stabalized NOI'!$F$11</f>
        <v>55784.166666666664</v>
      </c>
    </row>
    <row r="39" spans="3:8" outlineLevel="1">
      <c r="C39" s="1885" t="s">
        <v>1082</v>
      </c>
      <c r="F39" s="1880">
        <f>('Assumptions MH'!Q13*'Stabalized NOI'!$F$25)/'Stabalized NOI'!$F$11</f>
        <v>111568.33333333333</v>
      </c>
    </row>
    <row r="40" spans="3:8" outlineLevel="1">
      <c r="C40" s="1885" t="s">
        <v>857</v>
      </c>
      <c r="F40" s="1880">
        <f ca="1">(F22*'Assumptions MH'!O14)*12</f>
        <v>469943.65968000004</v>
      </c>
      <c r="H40" s="1869">
        <f ca="1">F40-'Staffing Model MH'!G20</f>
        <v>0</v>
      </c>
    </row>
    <row r="41" spans="3:8" outlineLevel="1">
      <c r="C41" s="1886" t="s">
        <v>1083</v>
      </c>
      <c r="D41" s="1866"/>
      <c r="E41" s="1866"/>
      <c r="F41" s="1913">
        <f>F33*(1-'Assumptions MH'!L44)</f>
        <v>60731.437500000007</v>
      </c>
    </row>
    <row r="42" spans="3:8">
      <c r="C42" s="1888" t="s">
        <v>1127</v>
      </c>
      <c r="F42" s="1889">
        <f ca="1">SUM(F37:F41)</f>
        <v>1060624.6805133335</v>
      </c>
    </row>
    <row r="43" spans="3:8" ht="3.75" customHeight="1">
      <c r="C43" s="1892"/>
      <c r="D43" s="1866"/>
      <c r="E43" s="1866"/>
      <c r="F43" s="1893"/>
    </row>
    <row r="44" spans="3:8">
      <c r="C44" s="1888" t="s">
        <v>1085</v>
      </c>
      <c r="F44" s="1889">
        <f ca="1">F34-F42</f>
        <v>8414757.0694866665</v>
      </c>
    </row>
    <row r="45" spans="3:8">
      <c r="C45" s="1894" t="s">
        <v>1085</v>
      </c>
      <c r="D45" s="1866"/>
      <c r="E45" s="1866"/>
      <c r="F45" s="1895">
        <f ca="1">F44/F34</f>
        <v>0.88806522961322021</v>
      </c>
    </row>
    <row r="46" spans="3:8" ht="4.5" customHeight="1">
      <c r="C46" s="1890"/>
      <c r="F46" s="1879"/>
    </row>
    <row r="47" spans="3:8" outlineLevel="1">
      <c r="C47" s="1891" t="s">
        <v>1087</v>
      </c>
      <c r="F47" s="1879"/>
    </row>
    <row r="48" spans="3:8" hidden="1" outlineLevel="2">
      <c r="C48" s="1896" t="s">
        <v>1088</v>
      </c>
      <c r="D48" s="1873"/>
      <c r="E48" s="1873"/>
      <c r="F48" s="1897">
        <f ca="1">$F$22*'Assumptions MH'!O15*12</f>
        <v>446137.5565613209</v>
      </c>
      <c r="H48" s="1869">
        <f ca="1">F48-'Staffing Model MH'!G28</f>
        <v>0</v>
      </c>
    </row>
    <row r="49" spans="3:8" hidden="1" outlineLevel="2">
      <c r="C49" s="1896" t="s">
        <v>979</v>
      </c>
      <c r="D49" s="1873"/>
      <c r="E49" s="1873"/>
      <c r="F49" s="1897">
        <f>$F$22*'Assumptions MH'!O16*12</f>
        <v>7860</v>
      </c>
    </row>
    <row r="50" spans="3:8" hidden="1" outlineLevel="2">
      <c r="C50" s="1896" t="s">
        <v>1128</v>
      </c>
      <c r="D50" s="1873"/>
      <c r="E50" s="1873"/>
      <c r="F50" s="1897">
        <f>$F$22*'Assumptions MH'!O20*12</f>
        <v>235800</v>
      </c>
      <c r="H50" s="1869"/>
    </row>
    <row r="51" spans="3:8" hidden="1" outlineLevel="2">
      <c r="C51" s="1896" t="s">
        <v>1090</v>
      </c>
      <c r="D51" s="1873"/>
      <c r="E51" s="1873"/>
      <c r="F51" s="1897">
        <f>$F$22*'Assumptions MH'!O29*12</f>
        <v>62880</v>
      </c>
    </row>
    <row r="52" spans="3:8" outlineLevel="1" collapsed="1">
      <c r="C52" s="1885" t="s">
        <v>1091</v>
      </c>
      <c r="F52" s="1880">
        <f ca="1">SUM(F48:F51)</f>
        <v>752677.5565613209</v>
      </c>
    </row>
    <row r="53" spans="3:8" outlineLevel="1">
      <c r="C53" s="1885" t="s">
        <v>981</v>
      </c>
      <c r="F53" s="1880">
        <f>F34*'Assumptions MH'!O17</f>
        <v>284261.45250000001</v>
      </c>
    </row>
    <row r="54" spans="3:8" hidden="1" outlineLevel="2">
      <c r="C54" s="1896" t="s">
        <v>874</v>
      </c>
      <c r="D54" s="1873"/>
      <c r="E54" s="1873"/>
      <c r="F54" s="1897">
        <f ca="1">$F$22*'Assumptions MH'!O21*12</f>
        <v>153199.875</v>
      </c>
      <c r="H54" s="1869">
        <f ca="1">F54-'Staffing Model MH'!G32</f>
        <v>0</v>
      </c>
    </row>
    <row r="55" spans="3:8" hidden="1" outlineLevel="2">
      <c r="C55" s="1896" t="s">
        <v>991</v>
      </c>
      <c r="D55" s="1873"/>
      <c r="E55" s="1873"/>
      <c r="F55" s="1897">
        <f>'Assumptions MH'!O22*$F$34</f>
        <v>47376.908750000002</v>
      </c>
    </row>
    <row r="56" spans="3:8" outlineLevel="1" collapsed="1">
      <c r="C56" s="1885" t="s">
        <v>1092</v>
      </c>
      <c r="F56" s="1880">
        <f ca="1">SUM(F54:F55)</f>
        <v>200576.78375</v>
      </c>
    </row>
    <row r="57" spans="3:8" outlineLevel="1">
      <c r="C57" s="1885" t="s">
        <v>993</v>
      </c>
      <c r="F57" s="1880">
        <f>'Assumptions MH'!O23*$F$34</f>
        <v>663276.72250000003</v>
      </c>
    </row>
    <row r="58" spans="3:8" outlineLevel="1">
      <c r="C58" s="1885" t="s">
        <v>984</v>
      </c>
      <c r="F58" s="1880">
        <f>F22*'Assumptions MH'!O19*12</f>
        <v>47160</v>
      </c>
    </row>
    <row r="59" spans="3:8" outlineLevel="1">
      <c r="C59" s="1885" t="s">
        <v>1129</v>
      </c>
      <c r="F59" s="1880">
        <f>F22*'Assumptions MH'!O31*12</f>
        <v>141480</v>
      </c>
    </row>
    <row r="60" spans="3:8" outlineLevel="1">
      <c r="C60" s="1885" t="s">
        <v>1094</v>
      </c>
      <c r="F60" s="1880">
        <f>F22*'Assumptions MH'!O18*12</f>
        <v>157200</v>
      </c>
    </row>
    <row r="61" spans="3:8" outlineLevel="1">
      <c r="C61" s="1885" t="s">
        <v>996</v>
      </c>
      <c r="F61" s="1880">
        <f>F22*'Assumptions MH'!O24*12</f>
        <v>117900</v>
      </c>
    </row>
    <row r="62" spans="3:8" outlineLevel="1">
      <c r="C62" s="1886" t="s">
        <v>1005</v>
      </c>
      <c r="D62" s="1866"/>
      <c r="E62" s="1866"/>
      <c r="F62" s="1887">
        <f>F34*'Assumptions MH'!O27</f>
        <v>189507.63500000001</v>
      </c>
    </row>
    <row r="63" spans="3:8">
      <c r="C63" s="1888" t="s">
        <v>1130</v>
      </c>
      <c r="F63" s="1880">
        <f ca="1">SUM(F56:F62,F52:F53)</f>
        <v>2554040.150311321</v>
      </c>
    </row>
    <row r="64" spans="3:8">
      <c r="C64" s="1894" t="s">
        <v>1099</v>
      </c>
      <c r="D64" s="1866"/>
      <c r="E64" s="1866"/>
      <c r="F64" s="1895">
        <f ca="1">F63/F34</f>
        <v>0.26954482866205587</v>
      </c>
    </row>
    <row r="65" spans="3:9" ht="3.75" customHeight="1">
      <c r="C65" s="1898"/>
      <c r="D65" s="1865"/>
      <c r="E65" s="1865"/>
      <c r="F65" s="1899"/>
    </row>
    <row r="66" spans="3:9">
      <c r="C66" s="1888" t="s">
        <v>1131</v>
      </c>
      <c r="F66" s="1889">
        <f ca="1">F44-F63</f>
        <v>5860716.9191753455</v>
      </c>
    </row>
    <row r="67" spans="3:9">
      <c r="C67" s="1894" t="s">
        <v>1132</v>
      </c>
      <c r="D67" s="1866"/>
      <c r="E67" s="1866"/>
      <c r="F67" s="1895">
        <f ca="1">F66/F34</f>
        <v>0.61852040095116434</v>
      </c>
    </row>
    <row r="68" spans="3:9" ht="3.75" customHeight="1">
      <c r="C68" s="1900"/>
      <c r="F68" s="1879"/>
    </row>
    <row r="69" spans="3:9">
      <c r="C69" s="1901" t="s">
        <v>1098</v>
      </c>
      <c r="F69" s="1889">
        <f>F70*F34</f>
        <v>473769.08750000002</v>
      </c>
    </row>
    <row r="70" spans="3:9">
      <c r="C70" s="1902" t="s">
        <v>1099</v>
      </c>
      <c r="F70" s="1903">
        <f>'Assumptions MH'!O28</f>
        <v>0.05</v>
      </c>
    </row>
    <row r="71" spans="3:9" ht="3.75" customHeight="1">
      <c r="C71" s="1891"/>
      <c r="F71" s="1879"/>
    </row>
    <row r="72" spans="3:9">
      <c r="C72" s="1901" t="s">
        <v>962</v>
      </c>
      <c r="F72" s="1970">
        <f>'Assumptions MH'!G45*'Stabalized NOI'!F73*12</f>
        <v>2257890.5794724007</v>
      </c>
    </row>
    <row r="73" spans="3:9">
      <c r="C73" s="1902" t="s">
        <v>1133</v>
      </c>
      <c r="F73" s="1881">
        <f>'Assumptions MH'!Z12</f>
        <v>0.6</v>
      </c>
      <c r="G73" s="1864" t="s">
        <v>1194</v>
      </c>
    </row>
    <row r="74" spans="3:9" ht="3.75" customHeight="1">
      <c r="C74" s="1904"/>
      <c r="D74" s="1866"/>
      <c r="E74" s="1866"/>
      <c r="F74" s="1895"/>
    </row>
    <row r="75" spans="3:9">
      <c r="C75" s="1888" t="s">
        <v>1134</v>
      </c>
      <c r="F75" s="1889">
        <f ca="1">F66-F69-F72</f>
        <v>3129057.2522029444</v>
      </c>
    </row>
    <row r="76" spans="3:9">
      <c r="C76" s="1894" t="s">
        <v>1099</v>
      </c>
      <c r="D76" s="1866"/>
      <c r="E76" s="1866"/>
      <c r="F76" s="1895">
        <f ca="1">F75/F34</f>
        <v>0.3302302044139746</v>
      </c>
    </row>
    <row r="77" spans="3:9" ht="3.75" customHeight="1">
      <c r="C77" s="1885"/>
      <c r="F77" s="1879"/>
    </row>
    <row r="78" spans="3:9">
      <c r="C78" s="1901" t="s">
        <v>1103</v>
      </c>
      <c r="F78" s="1889">
        <f ca="1">F75*F79</f>
        <v>2816151.5269826502</v>
      </c>
    </row>
    <row r="79" spans="3:9">
      <c r="C79" s="1905" t="s">
        <v>1104</v>
      </c>
      <c r="F79" s="1881">
        <f>'Assumptions MH'!Z25</f>
        <v>0.9</v>
      </c>
    </row>
    <row r="80" spans="3:9">
      <c r="C80" s="1901" t="s">
        <v>1105</v>
      </c>
      <c r="F80" s="1889">
        <f ca="1">F75*F81</f>
        <v>312905.72522029438</v>
      </c>
      <c r="I80" s="1870">
        <f ca="1">F42+F63+F69+F80+F86</f>
        <v>4496093.4610449485</v>
      </c>
    </row>
    <row r="81" spans="3:15">
      <c r="C81" s="1902" t="s">
        <v>1104</v>
      </c>
      <c r="F81" s="1906">
        <f>1-F79</f>
        <v>9.9999999999999978E-2</v>
      </c>
    </row>
    <row r="82" spans="3:15" ht="3.75" customHeight="1">
      <c r="C82" s="1885"/>
      <c r="F82" s="1879"/>
    </row>
    <row r="83" spans="3:15">
      <c r="C83" s="1888" t="s">
        <v>1106</v>
      </c>
      <c r="F83" s="1889">
        <f ca="1">F78+F72</f>
        <v>5074042.1064550504</v>
      </c>
    </row>
    <row r="84" spans="3:15" hidden="1" outlineLevel="1">
      <c r="C84" s="1902" t="s">
        <v>1099</v>
      </c>
      <c r="F84" s="1879"/>
    </row>
    <row r="85" spans="3:15" ht="3.75" customHeight="1" collapsed="1">
      <c r="C85" s="1885"/>
      <c r="F85" s="1879"/>
    </row>
    <row r="86" spans="3:15">
      <c r="C86" s="1901" t="s">
        <v>1042</v>
      </c>
      <c r="F86" s="1889">
        <f>F87*F34</f>
        <v>94753.817500000005</v>
      </c>
    </row>
    <row r="87" spans="3:15" hidden="1" outlineLevel="1">
      <c r="C87" s="1902" t="s">
        <v>1099</v>
      </c>
      <c r="F87" s="1903">
        <f>'Assumptions MH'!T41</f>
        <v>0.01</v>
      </c>
    </row>
    <row r="88" spans="3:15" ht="3.75" customHeight="1" collapsed="1">
      <c r="C88" s="1907"/>
      <c r="D88" s="1866"/>
      <c r="E88" s="1866"/>
      <c r="F88" s="1893"/>
    </row>
    <row r="89" spans="3:15">
      <c r="C89" s="1908" t="s">
        <v>1109</v>
      </c>
      <c r="D89" s="1865"/>
      <c r="E89" s="1865"/>
      <c r="F89" s="1914">
        <f ca="1">F83-F86</f>
        <v>4979288.2889550505</v>
      </c>
    </row>
    <row r="90" spans="3:15" ht="3.75" customHeight="1">
      <c r="C90" s="1890"/>
      <c r="F90" s="1879"/>
    </row>
    <row r="91" spans="3:15">
      <c r="C91" s="1885" t="s">
        <v>1200</v>
      </c>
      <c r="F91" s="1880">
        <f ca="1">('RE Tax'!J44*Dashboard!C26)</f>
        <v>496407.26420556515</v>
      </c>
      <c r="G91" s="1915">
        <f ca="1">F91/131</f>
        <v>3789.3684290501155</v>
      </c>
    </row>
    <row r="92" spans="3:15" ht="13.5" thickBot="1">
      <c r="C92" s="1912" t="s">
        <v>1195</v>
      </c>
      <c r="D92" s="1872"/>
      <c r="E92" s="1872"/>
      <c r="F92" s="1993">
        <f>((Assumptions!$I$82*Assumptions!$C$34)*12)</f>
        <v>275100</v>
      </c>
      <c r="H92" s="1874" t="s">
        <v>1203</v>
      </c>
      <c r="I92" s="1874" t="s">
        <v>128</v>
      </c>
    </row>
    <row r="93" spans="3:15" ht="13.5" thickTop="1">
      <c r="C93" s="1909" t="s">
        <v>1204</v>
      </c>
      <c r="D93" s="1910"/>
      <c r="E93" s="1910"/>
      <c r="F93" s="1911">
        <f ca="1">F89-F91-F92</f>
        <v>4207781.0247494858</v>
      </c>
      <c r="H93" s="1867">
        <f ca="1">Dashboard!K37</f>
        <v>4207781.0247494867</v>
      </c>
      <c r="I93" s="1867">
        <f ca="1">F93-H93</f>
        <v>0</v>
      </c>
      <c r="L93" s="1864" t="s">
        <v>6</v>
      </c>
      <c r="M93" s="1869">
        <f>F34</f>
        <v>9475381.75</v>
      </c>
    </row>
    <row r="94" spans="3:15">
      <c r="L94" s="1864" t="s">
        <v>1201</v>
      </c>
      <c r="M94" s="1870">
        <f ca="1">F42+F63+F69+F80+F86</f>
        <v>4496093.4610449485</v>
      </c>
      <c r="O94" s="1868">
        <f ca="1">M94/$M$93</f>
        <v>0.47450261949023304</v>
      </c>
    </row>
    <row r="95" spans="3:15">
      <c r="F95" s="1870"/>
      <c r="L95" s="1864" t="s">
        <v>1202</v>
      </c>
      <c r="M95" s="1871">
        <f ca="1">SUM(F91:F92)</f>
        <v>771507.26420556521</v>
      </c>
      <c r="O95" s="1868">
        <f ca="1">M95/$M$93</f>
        <v>8.1422288258260964E-2</v>
      </c>
    </row>
    <row r="96" spans="3:15">
      <c r="M96" s="1870">
        <f ca="1">M93-M94-M95</f>
        <v>4207781.0247494858</v>
      </c>
      <c r="O96" s="1868">
        <f ca="1">M96/$M$93</f>
        <v>0.44407509225150593</v>
      </c>
    </row>
    <row r="97" spans="13:13">
      <c r="M97" s="1870">
        <f ca="1">M96-F93</f>
        <v>0</v>
      </c>
    </row>
  </sheetData>
  <pageMargins left="0.7" right="0.7" top="0.75" bottom="0.75" header="0.3" footer="0.3"/>
  <pageSetup scale="4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"/>
  <sheetViews>
    <sheetView workbookViewId="0">
      <selection activeCell="O15" sqref="O15"/>
    </sheetView>
  </sheetViews>
  <sheetFormatPr defaultColWidth="9.140625" defaultRowHeight="15"/>
  <cols>
    <col min="1" max="16384" width="9.140625" style="11"/>
  </cols>
  <sheetData>
    <row r="1" spans="1:1" ht="51">
      <c r="A1" s="10" t="str">
        <f ca="1">+MID(CELL("filename",$A$1),FIND("]",CELL("filename",$A$1))+1,255)</f>
        <v>Schedules ---&gt;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9841-5640-441F-9A59-223E34AFE2EB}">
  <sheetPr>
    <tabColor rgb="FFFF0000"/>
  </sheetPr>
  <dimension ref="A1:N125"/>
  <sheetViews>
    <sheetView workbookViewId="0">
      <selection activeCell="K5" sqref="K5"/>
    </sheetView>
  </sheetViews>
  <sheetFormatPr defaultColWidth="14.42578125" defaultRowHeight="15.75"/>
  <cols>
    <col min="1" max="2" width="14.42578125" style="940"/>
    <col min="3" max="3" width="21.85546875" style="940" bestFit="1" customWidth="1"/>
    <col min="4" max="4" width="14.42578125" style="958"/>
    <col min="5" max="5" width="14.42578125" style="940"/>
    <col min="6" max="6" width="24.140625" style="940" bestFit="1" customWidth="1"/>
    <col min="7" max="9" width="14.42578125" style="940"/>
    <col min="10" max="10" width="24.140625" style="940" bestFit="1" customWidth="1"/>
    <col min="11" max="11" width="11.42578125" style="940" bestFit="1" customWidth="1"/>
    <col min="12" max="12" width="14.42578125" style="940" bestFit="1" customWidth="1"/>
    <col min="13" max="16384" width="14.42578125" style="940"/>
  </cols>
  <sheetData>
    <row r="1" spans="1:14" ht="15.6" customHeight="1">
      <c r="A1" s="938"/>
      <c r="B1" s="938"/>
      <c r="C1" s="938"/>
      <c r="D1" s="939"/>
      <c r="E1" s="938"/>
      <c r="F1" s="938"/>
      <c r="G1" s="938"/>
      <c r="H1" s="938"/>
      <c r="I1" s="938"/>
      <c r="J1" s="938"/>
      <c r="K1" s="938"/>
      <c r="L1" s="938"/>
      <c r="M1" s="938"/>
      <c r="N1" s="938"/>
    </row>
    <row r="2" spans="1:14">
      <c r="A2" s="941"/>
      <c r="B2" s="942" t="s">
        <v>532</v>
      </c>
      <c r="C2" s="942" t="s">
        <v>455</v>
      </c>
      <c r="D2" s="943" t="s">
        <v>533</v>
      </c>
      <c r="E2" s="944"/>
      <c r="F2" s="945" t="s">
        <v>534</v>
      </c>
      <c r="J2" s="946" t="s">
        <v>436</v>
      </c>
      <c r="K2" s="947"/>
      <c r="L2" s="947"/>
      <c r="M2" s="941"/>
      <c r="N2" s="941"/>
    </row>
    <row r="3" spans="1:14">
      <c r="A3" s="948"/>
      <c r="B3" s="948"/>
      <c r="C3" s="948"/>
      <c r="D3" s="949"/>
      <c r="E3" s="948"/>
      <c r="J3" s="948"/>
      <c r="K3" s="948"/>
      <c r="L3" s="948"/>
      <c r="M3" s="948"/>
      <c r="N3" s="948"/>
    </row>
    <row r="4" spans="1:14">
      <c r="A4" s="948"/>
      <c r="B4" s="950" t="s">
        <v>535</v>
      </c>
      <c r="C4" s="950" t="s">
        <v>536</v>
      </c>
      <c r="D4" s="951">
        <v>211</v>
      </c>
      <c r="E4" s="948" t="s">
        <v>57</v>
      </c>
      <c r="F4" s="940" t="s">
        <v>537</v>
      </c>
      <c r="J4" s="946"/>
      <c r="K4" s="952" t="s">
        <v>85</v>
      </c>
      <c r="L4" s="952" t="s">
        <v>439</v>
      </c>
      <c r="M4" s="953" t="s">
        <v>97</v>
      </c>
      <c r="N4" s="948"/>
    </row>
    <row r="5" spans="1:14">
      <c r="A5" s="948"/>
      <c r="B5" s="950" t="s">
        <v>535</v>
      </c>
      <c r="C5" s="950" t="s">
        <v>538</v>
      </c>
      <c r="D5" s="951">
        <v>139</v>
      </c>
      <c r="E5" s="948" t="s">
        <v>57</v>
      </c>
      <c r="F5" s="940" t="s">
        <v>537</v>
      </c>
      <c r="J5" s="947" t="s">
        <v>165</v>
      </c>
      <c r="K5" s="954">
        <f>COUNTIFS($F$4:$F$123,$J5)</f>
        <v>15</v>
      </c>
      <c r="L5" s="955">
        <f>M5/K5</f>
        <v>577.66666666666663</v>
      </c>
      <c r="M5" s="949">
        <f t="shared" ref="M5:M13" si="0">SUMIFS($D$4:$D$123,$F$4:$F$123,$J5)</f>
        <v>8665</v>
      </c>
      <c r="N5" s="948"/>
    </row>
    <row r="6" spans="1:14">
      <c r="A6" s="948"/>
      <c r="B6" s="950" t="s">
        <v>535</v>
      </c>
      <c r="C6" s="950" t="s">
        <v>539</v>
      </c>
      <c r="D6" s="951">
        <v>1755</v>
      </c>
      <c r="E6" s="948" t="s">
        <v>57</v>
      </c>
      <c r="F6" s="940" t="s">
        <v>415</v>
      </c>
      <c r="J6" s="947" t="s">
        <v>540</v>
      </c>
      <c r="K6" s="954">
        <f t="shared" ref="K6:K8" si="1">COUNTIFS($F$4:$F$123,$J6)</f>
        <v>40</v>
      </c>
      <c r="L6" s="955">
        <f t="shared" ref="L6:L8" si="2">M6/K6</f>
        <v>791.875</v>
      </c>
      <c r="M6" s="949">
        <f t="shared" si="0"/>
        <v>31675</v>
      </c>
      <c r="N6" s="948"/>
    </row>
    <row r="7" spans="1:14">
      <c r="A7" s="948"/>
      <c r="B7" s="950" t="s">
        <v>535</v>
      </c>
      <c r="C7" s="950" t="s">
        <v>541</v>
      </c>
      <c r="D7" s="951">
        <v>210</v>
      </c>
      <c r="E7" s="948" t="s">
        <v>57</v>
      </c>
      <c r="F7" s="940" t="s">
        <v>537</v>
      </c>
      <c r="J7" s="947" t="s">
        <v>542</v>
      </c>
      <c r="K7" s="954">
        <f t="shared" si="1"/>
        <v>39</v>
      </c>
      <c r="L7" s="955">
        <f t="shared" si="2"/>
        <v>1109.1282051282051</v>
      </c>
      <c r="M7" s="949">
        <f t="shared" si="0"/>
        <v>43256</v>
      </c>
      <c r="N7" s="948"/>
    </row>
    <row r="8" spans="1:14">
      <c r="A8" s="948"/>
      <c r="B8" s="950" t="s">
        <v>535</v>
      </c>
      <c r="C8" s="950" t="s">
        <v>543</v>
      </c>
      <c r="D8" s="951">
        <v>3079</v>
      </c>
      <c r="E8" s="948" t="s">
        <v>57</v>
      </c>
      <c r="F8" s="940" t="s">
        <v>544</v>
      </c>
      <c r="J8" s="947" t="s">
        <v>545</v>
      </c>
      <c r="K8" s="954">
        <f t="shared" si="1"/>
        <v>9</v>
      </c>
      <c r="L8" s="955">
        <f t="shared" si="2"/>
        <v>1404.7777777777778</v>
      </c>
      <c r="M8" s="949">
        <f t="shared" si="0"/>
        <v>12643</v>
      </c>
      <c r="N8" s="948"/>
    </row>
    <row r="9" spans="1:14">
      <c r="A9" s="948"/>
      <c r="B9" s="950" t="s">
        <v>535</v>
      </c>
      <c r="C9" s="950" t="s">
        <v>543</v>
      </c>
      <c r="D9" s="951">
        <v>3097</v>
      </c>
      <c r="E9" s="948" t="s">
        <v>57</v>
      </c>
      <c r="F9" s="940" t="s">
        <v>544</v>
      </c>
      <c r="J9" s="940" t="s">
        <v>544</v>
      </c>
      <c r="M9" s="949">
        <f t="shared" si="0"/>
        <v>6176</v>
      </c>
      <c r="N9" s="948"/>
    </row>
    <row r="10" spans="1:14">
      <c r="A10" s="948"/>
      <c r="B10" s="950" t="s">
        <v>535</v>
      </c>
      <c r="C10" s="950" t="s">
        <v>546</v>
      </c>
      <c r="D10" s="951">
        <v>218</v>
      </c>
      <c r="E10" s="948" t="s">
        <v>57</v>
      </c>
      <c r="F10" s="940" t="s">
        <v>537</v>
      </c>
      <c r="J10" s="940" t="s">
        <v>547</v>
      </c>
      <c r="M10" s="949">
        <f t="shared" si="0"/>
        <v>2437</v>
      </c>
      <c r="N10" s="948"/>
    </row>
    <row r="11" spans="1:14">
      <c r="A11" s="948"/>
      <c r="B11" s="947" t="s">
        <v>535</v>
      </c>
      <c r="C11" s="947" t="s">
        <v>548</v>
      </c>
      <c r="D11" s="951">
        <v>237</v>
      </c>
      <c r="E11" s="948" t="s">
        <v>57</v>
      </c>
      <c r="F11" s="940" t="s">
        <v>537</v>
      </c>
      <c r="J11" s="940" t="s">
        <v>415</v>
      </c>
      <c r="M11" s="949">
        <f t="shared" si="0"/>
        <v>1755</v>
      </c>
      <c r="N11" s="948"/>
    </row>
    <row r="12" spans="1:14">
      <c r="A12" s="948"/>
      <c r="B12" s="950" t="s">
        <v>535</v>
      </c>
      <c r="C12" s="950" t="s">
        <v>549</v>
      </c>
      <c r="D12" s="951">
        <v>286</v>
      </c>
      <c r="E12" s="948" t="s">
        <v>57</v>
      </c>
      <c r="F12" s="940" t="s">
        <v>537</v>
      </c>
      <c r="J12" s="940" t="s">
        <v>550</v>
      </c>
      <c r="M12" s="949">
        <f t="shared" si="0"/>
        <v>17594</v>
      </c>
      <c r="N12" s="948"/>
    </row>
    <row r="13" spans="1:14">
      <c r="A13" s="948"/>
      <c r="B13" s="950" t="s">
        <v>535</v>
      </c>
      <c r="C13" s="950" t="s">
        <v>551</v>
      </c>
      <c r="D13" s="951">
        <v>242</v>
      </c>
      <c r="E13" s="948" t="s">
        <v>57</v>
      </c>
      <c r="F13" s="940" t="s">
        <v>537</v>
      </c>
      <c r="J13" s="940" t="s">
        <v>537</v>
      </c>
      <c r="M13" s="949">
        <f t="shared" si="0"/>
        <v>1543</v>
      </c>
      <c r="N13" s="948"/>
    </row>
    <row r="14" spans="1:14">
      <c r="A14" s="948"/>
      <c r="B14" s="947" t="s">
        <v>552</v>
      </c>
      <c r="C14" s="947" t="s">
        <v>553</v>
      </c>
      <c r="D14" s="951">
        <v>531</v>
      </c>
      <c r="E14" s="948" t="s">
        <v>57</v>
      </c>
      <c r="F14" s="940" t="s">
        <v>165</v>
      </c>
      <c r="M14" s="948"/>
      <c r="N14" s="948"/>
    </row>
    <row r="15" spans="1:14">
      <c r="A15" s="948"/>
      <c r="B15" s="950" t="s">
        <v>552</v>
      </c>
      <c r="C15" s="950" t="s">
        <v>553</v>
      </c>
      <c r="D15" s="951">
        <v>588</v>
      </c>
      <c r="E15" s="948" t="s">
        <v>57</v>
      </c>
      <c r="F15" s="940" t="s">
        <v>165</v>
      </c>
      <c r="J15" s="940" t="s">
        <v>437</v>
      </c>
      <c r="K15" s="956">
        <f>SUM(K5:K13)</f>
        <v>103</v>
      </c>
      <c r="L15" s="956"/>
      <c r="N15" s="948"/>
    </row>
    <row r="16" spans="1:14">
      <c r="A16" s="948"/>
      <c r="B16" s="950" t="s">
        <v>552</v>
      </c>
      <c r="C16" s="950" t="s">
        <v>553</v>
      </c>
      <c r="D16" s="951">
        <v>614</v>
      </c>
      <c r="E16" s="948" t="s">
        <v>57</v>
      </c>
      <c r="F16" s="940" t="s">
        <v>165</v>
      </c>
      <c r="J16" s="947" t="s">
        <v>438</v>
      </c>
      <c r="K16" s="947"/>
      <c r="L16" s="947"/>
      <c r="M16" s="957">
        <f>SUM(M5:M9)</f>
        <v>102415</v>
      </c>
      <c r="N16" s="948"/>
    </row>
    <row r="17" spans="1:14">
      <c r="A17" s="948"/>
      <c r="B17" s="950" t="s">
        <v>552</v>
      </c>
      <c r="C17" s="950" t="s">
        <v>554</v>
      </c>
      <c r="D17" s="951">
        <v>723</v>
      </c>
      <c r="E17" s="948" t="s">
        <v>57</v>
      </c>
      <c r="F17" s="940" t="s">
        <v>540</v>
      </c>
      <c r="J17" s="947" t="s">
        <v>555</v>
      </c>
      <c r="K17" s="947"/>
      <c r="L17" s="947"/>
      <c r="M17" s="957">
        <f>SUM(M5:M13)</f>
        <v>125744</v>
      </c>
      <c r="N17" s="948"/>
    </row>
    <row r="18" spans="1:14">
      <c r="A18" s="948"/>
      <c r="B18" s="950" t="s">
        <v>552</v>
      </c>
      <c r="C18" s="950" t="s">
        <v>554</v>
      </c>
      <c r="D18" s="951">
        <v>786</v>
      </c>
      <c r="E18" s="948" t="s">
        <v>57</v>
      </c>
      <c r="F18" s="940" t="s">
        <v>540</v>
      </c>
      <c r="N18" s="948"/>
    </row>
    <row r="19" spans="1:14">
      <c r="A19" s="948"/>
      <c r="B19" s="950" t="s">
        <v>552</v>
      </c>
      <c r="C19" s="950" t="s">
        <v>554</v>
      </c>
      <c r="D19" s="951">
        <v>786</v>
      </c>
      <c r="E19" s="948" t="s">
        <v>57</v>
      </c>
      <c r="F19" s="940" t="s">
        <v>540</v>
      </c>
      <c r="J19" s="948"/>
      <c r="K19" s="948"/>
      <c r="L19" s="948"/>
      <c r="M19" s="948"/>
      <c r="N19" s="948"/>
    </row>
    <row r="20" spans="1:14">
      <c r="A20" s="948"/>
      <c r="B20" s="950" t="s">
        <v>552</v>
      </c>
      <c r="C20" s="950" t="s">
        <v>554</v>
      </c>
      <c r="D20" s="951">
        <v>789</v>
      </c>
      <c r="E20" s="948" t="s">
        <v>57</v>
      </c>
      <c r="F20" s="940" t="s">
        <v>540</v>
      </c>
      <c r="J20" s="947"/>
      <c r="K20" s="947"/>
      <c r="L20" s="947"/>
      <c r="M20" s="948"/>
      <c r="N20" s="948"/>
    </row>
    <row r="21" spans="1:14">
      <c r="A21" s="948"/>
      <c r="B21" s="950" t="s">
        <v>552</v>
      </c>
      <c r="C21" s="950" t="s">
        <v>554</v>
      </c>
      <c r="D21" s="951">
        <v>789</v>
      </c>
      <c r="E21" s="948" t="s">
        <v>57</v>
      </c>
      <c r="F21" s="940" t="s">
        <v>540</v>
      </c>
      <c r="J21" s="947"/>
      <c r="K21" s="947"/>
      <c r="L21" s="947"/>
      <c r="M21" s="948"/>
      <c r="N21" s="948"/>
    </row>
    <row r="22" spans="1:14">
      <c r="A22" s="948"/>
      <c r="B22" s="950" t="s">
        <v>552</v>
      </c>
      <c r="C22" s="950" t="s">
        <v>554</v>
      </c>
      <c r="D22" s="951">
        <v>799</v>
      </c>
      <c r="E22" s="948" t="s">
        <v>57</v>
      </c>
      <c r="F22" s="940" t="s">
        <v>540</v>
      </c>
      <c r="J22" s="947"/>
      <c r="K22" s="947"/>
      <c r="L22" s="947"/>
      <c r="M22" s="948"/>
      <c r="N22" s="948"/>
    </row>
    <row r="23" spans="1:14">
      <c r="A23" s="948"/>
      <c r="B23" s="950" t="s">
        <v>552</v>
      </c>
      <c r="C23" s="950" t="s">
        <v>554</v>
      </c>
      <c r="D23" s="951">
        <v>831</v>
      </c>
      <c r="E23" s="948" t="s">
        <v>57</v>
      </c>
      <c r="F23" s="940" t="s">
        <v>540</v>
      </c>
      <c r="J23" s="947"/>
      <c r="K23" s="947"/>
      <c r="L23" s="947"/>
      <c r="M23" s="948"/>
      <c r="N23" s="948"/>
    </row>
    <row r="24" spans="1:14">
      <c r="A24" s="948"/>
      <c r="B24" s="950" t="s">
        <v>552</v>
      </c>
      <c r="C24" s="950" t="s">
        <v>554</v>
      </c>
      <c r="D24" s="951">
        <v>832</v>
      </c>
      <c r="E24" s="948" t="s">
        <v>57</v>
      </c>
      <c r="F24" s="940" t="s">
        <v>540</v>
      </c>
      <c r="J24" s="947"/>
      <c r="K24" s="947"/>
      <c r="L24" s="947"/>
      <c r="M24" s="948"/>
      <c r="N24" s="948"/>
    </row>
    <row r="25" spans="1:14">
      <c r="A25" s="948"/>
      <c r="B25" s="950" t="s">
        <v>552</v>
      </c>
      <c r="C25" s="950" t="s">
        <v>556</v>
      </c>
      <c r="D25" s="951">
        <v>998</v>
      </c>
      <c r="E25" s="948" t="s">
        <v>57</v>
      </c>
      <c r="F25" s="947" t="s">
        <v>542</v>
      </c>
      <c r="J25" s="947"/>
      <c r="K25" s="947"/>
      <c r="L25" s="947"/>
      <c r="M25" s="948"/>
      <c r="N25" s="948"/>
    </row>
    <row r="26" spans="1:14">
      <c r="A26" s="948"/>
      <c r="B26" s="950" t="s">
        <v>552</v>
      </c>
      <c r="C26" s="950" t="s">
        <v>556</v>
      </c>
      <c r="D26" s="951">
        <v>1034</v>
      </c>
      <c r="E26" s="948" t="s">
        <v>57</v>
      </c>
      <c r="F26" s="947" t="s">
        <v>542</v>
      </c>
      <c r="J26" s="947"/>
      <c r="K26" s="947"/>
      <c r="L26" s="947"/>
      <c r="M26" s="948"/>
      <c r="N26" s="948"/>
    </row>
    <row r="27" spans="1:14">
      <c r="A27" s="948"/>
      <c r="B27" s="947" t="s">
        <v>552</v>
      </c>
      <c r="C27" s="947" t="s">
        <v>556</v>
      </c>
      <c r="D27" s="951">
        <v>1124</v>
      </c>
      <c r="E27" s="948" t="s">
        <v>57</v>
      </c>
      <c r="F27" s="947" t="s">
        <v>542</v>
      </c>
      <c r="J27" s="947"/>
      <c r="K27" s="947"/>
      <c r="L27" s="947"/>
      <c r="M27" s="948"/>
      <c r="N27" s="948"/>
    </row>
    <row r="28" spans="1:14">
      <c r="A28" s="948"/>
      <c r="B28" s="950" t="s">
        <v>552</v>
      </c>
      <c r="C28" s="950" t="s">
        <v>556</v>
      </c>
      <c r="D28" s="951">
        <v>1171</v>
      </c>
      <c r="E28" s="948" t="s">
        <v>57</v>
      </c>
      <c r="F28" s="947" t="s">
        <v>542</v>
      </c>
      <c r="J28" s="947"/>
      <c r="K28" s="947"/>
      <c r="L28" s="947"/>
      <c r="M28" s="948"/>
      <c r="N28" s="948"/>
    </row>
    <row r="29" spans="1:14">
      <c r="A29" s="948"/>
      <c r="B29" s="950" t="s">
        <v>552</v>
      </c>
      <c r="C29" s="950" t="s">
        <v>556</v>
      </c>
      <c r="D29" s="951">
        <v>1173</v>
      </c>
      <c r="E29" s="948" t="s">
        <v>57</v>
      </c>
      <c r="F29" s="947" t="s">
        <v>542</v>
      </c>
      <c r="J29" s="947"/>
      <c r="K29" s="947"/>
      <c r="L29" s="947"/>
      <c r="M29" s="948"/>
      <c r="N29" s="948"/>
    </row>
    <row r="30" spans="1:14">
      <c r="A30" s="948"/>
      <c r="B30" s="950" t="s">
        <v>552</v>
      </c>
      <c r="C30" s="950" t="s">
        <v>556</v>
      </c>
      <c r="D30" s="951">
        <v>1174</v>
      </c>
      <c r="E30" s="948" t="s">
        <v>57</v>
      </c>
      <c r="F30" s="947" t="s">
        <v>542</v>
      </c>
      <c r="J30" s="947"/>
      <c r="K30" s="947"/>
      <c r="L30" s="947"/>
      <c r="M30" s="948"/>
      <c r="N30" s="948"/>
    </row>
    <row r="31" spans="1:14">
      <c r="A31" s="948"/>
      <c r="B31" s="950" t="s">
        <v>552</v>
      </c>
      <c r="C31" s="950" t="s">
        <v>556</v>
      </c>
      <c r="D31" s="951">
        <v>1182</v>
      </c>
      <c r="E31" s="948" t="s">
        <v>57</v>
      </c>
      <c r="F31" s="947" t="s">
        <v>542</v>
      </c>
      <c r="J31" s="947"/>
      <c r="K31" s="947"/>
      <c r="L31" s="947"/>
      <c r="M31" s="948"/>
      <c r="N31" s="948"/>
    </row>
    <row r="32" spans="1:14">
      <c r="A32" s="948"/>
      <c r="B32" s="950" t="s">
        <v>552</v>
      </c>
      <c r="C32" s="950" t="s">
        <v>557</v>
      </c>
      <c r="D32" s="951">
        <v>1015</v>
      </c>
      <c r="E32" s="948" t="s">
        <v>57</v>
      </c>
      <c r="F32" s="940" t="s">
        <v>547</v>
      </c>
      <c r="J32" s="947"/>
      <c r="K32" s="947"/>
      <c r="L32" s="947"/>
      <c r="M32" s="948"/>
      <c r="N32" s="948"/>
    </row>
    <row r="33" spans="1:14">
      <c r="A33" s="948"/>
      <c r="B33" s="950" t="s">
        <v>552</v>
      </c>
      <c r="C33" s="950" t="s">
        <v>558</v>
      </c>
      <c r="D33" s="951">
        <v>3502</v>
      </c>
      <c r="E33" s="948" t="s">
        <v>57</v>
      </c>
      <c r="F33" s="940" t="s">
        <v>550</v>
      </c>
      <c r="J33" s="947"/>
      <c r="K33" s="947"/>
      <c r="L33" s="947"/>
      <c r="M33" s="948"/>
      <c r="N33" s="948"/>
    </row>
    <row r="34" spans="1:14">
      <c r="A34" s="948"/>
      <c r="B34" s="950" t="s">
        <v>552</v>
      </c>
      <c r="C34" s="950" t="s">
        <v>559</v>
      </c>
      <c r="D34" s="951">
        <v>1391</v>
      </c>
      <c r="E34" s="948" t="s">
        <v>57</v>
      </c>
      <c r="F34" s="947" t="s">
        <v>545</v>
      </c>
      <c r="J34" s="947"/>
      <c r="K34" s="947"/>
      <c r="L34" s="947"/>
      <c r="M34" s="948"/>
      <c r="N34" s="948"/>
    </row>
    <row r="35" spans="1:14">
      <c r="A35" s="948"/>
      <c r="B35" s="950" t="s">
        <v>552</v>
      </c>
      <c r="C35" s="950" t="s">
        <v>560</v>
      </c>
      <c r="D35" s="951">
        <v>1422</v>
      </c>
      <c r="E35" s="948" t="s">
        <v>57</v>
      </c>
      <c r="F35" s="940" t="s">
        <v>547</v>
      </c>
      <c r="J35" s="947"/>
      <c r="K35" s="947"/>
      <c r="L35" s="947"/>
      <c r="M35" s="948"/>
      <c r="N35" s="948"/>
    </row>
    <row r="36" spans="1:14">
      <c r="A36" s="948"/>
      <c r="B36" s="950" t="s">
        <v>561</v>
      </c>
      <c r="C36" s="950" t="s">
        <v>553</v>
      </c>
      <c r="D36" s="951">
        <v>531</v>
      </c>
      <c r="E36" s="948" t="s">
        <v>57</v>
      </c>
      <c r="F36" s="940" t="s">
        <v>165</v>
      </c>
      <c r="J36" s="947"/>
      <c r="K36" s="947"/>
      <c r="L36" s="947"/>
      <c r="M36" s="948"/>
      <c r="N36" s="948"/>
    </row>
    <row r="37" spans="1:14">
      <c r="A37" s="948"/>
      <c r="B37" s="950" t="s">
        <v>561</v>
      </c>
      <c r="C37" s="950" t="s">
        <v>553</v>
      </c>
      <c r="D37" s="951">
        <v>588</v>
      </c>
      <c r="E37" s="948" t="s">
        <v>57</v>
      </c>
      <c r="F37" s="940" t="s">
        <v>165</v>
      </c>
      <c r="J37" s="947"/>
      <c r="K37" s="947"/>
      <c r="L37" s="947"/>
      <c r="M37" s="948"/>
      <c r="N37" s="948"/>
    </row>
    <row r="38" spans="1:14">
      <c r="A38" s="948"/>
      <c r="B38" s="950" t="s">
        <v>561</v>
      </c>
      <c r="C38" s="950" t="s">
        <v>553</v>
      </c>
      <c r="D38" s="951">
        <v>614</v>
      </c>
      <c r="E38" s="948" t="s">
        <v>57</v>
      </c>
      <c r="F38" s="940" t="s">
        <v>165</v>
      </c>
      <c r="J38" s="947"/>
      <c r="K38" s="947"/>
      <c r="L38" s="947"/>
      <c r="M38" s="948"/>
      <c r="N38" s="948"/>
    </row>
    <row r="39" spans="1:14">
      <c r="A39" s="948"/>
      <c r="B39" s="950" t="s">
        <v>561</v>
      </c>
      <c r="C39" s="950" t="s">
        <v>554</v>
      </c>
      <c r="D39" s="951">
        <v>723</v>
      </c>
      <c r="E39" s="948" t="s">
        <v>57</v>
      </c>
      <c r="F39" s="940" t="s">
        <v>540</v>
      </c>
      <c r="J39" s="947"/>
      <c r="K39" s="947"/>
      <c r="L39" s="947"/>
      <c r="M39" s="948"/>
      <c r="N39" s="948"/>
    </row>
    <row r="40" spans="1:14">
      <c r="A40" s="948"/>
      <c r="B40" s="950" t="s">
        <v>561</v>
      </c>
      <c r="C40" s="950" t="s">
        <v>554</v>
      </c>
      <c r="D40" s="951">
        <v>786</v>
      </c>
      <c r="E40" s="948" t="s">
        <v>57</v>
      </c>
      <c r="F40" s="940" t="s">
        <v>540</v>
      </c>
      <c r="J40" s="947"/>
      <c r="K40" s="947"/>
      <c r="L40" s="947"/>
      <c r="M40" s="948"/>
      <c r="N40" s="948"/>
    </row>
    <row r="41" spans="1:14">
      <c r="A41" s="948"/>
      <c r="B41" s="950" t="s">
        <v>561</v>
      </c>
      <c r="C41" s="950" t="s">
        <v>554</v>
      </c>
      <c r="D41" s="951">
        <v>786</v>
      </c>
      <c r="E41" s="948" t="s">
        <v>57</v>
      </c>
      <c r="F41" s="940" t="s">
        <v>540</v>
      </c>
      <c r="J41" s="947"/>
      <c r="K41" s="947"/>
      <c r="L41" s="947"/>
      <c r="M41" s="947"/>
      <c r="N41" s="947"/>
    </row>
    <row r="42" spans="1:14">
      <c r="A42" s="948"/>
      <c r="B42" s="950" t="s">
        <v>561</v>
      </c>
      <c r="C42" s="950" t="s">
        <v>554</v>
      </c>
      <c r="D42" s="951">
        <v>789</v>
      </c>
      <c r="E42" s="948" t="s">
        <v>57</v>
      </c>
      <c r="F42" s="940" t="s">
        <v>540</v>
      </c>
      <c r="J42" s="947"/>
      <c r="K42" s="947"/>
      <c r="L42" s="947"/>
      <c r="M42" s="948"/>
      <c r="N42" s="948"/>
    </row>
    <row r="43" spans="1:14">
      <c r="A43" s="948"/>
      <c r="B43" s="950" t="s">
        <v>561</v>
      </c>
      <c r="C43" s="950" t="s">
        <v>554</v>
      </c>
      <c r="D43" s="951">
        <v>789</v>
      </c>
      <c r="E43" s="948" t="s">
        <v>57</v>
      </c>
      <c r="F43" s="940" t="s">
        <v>540</v>
      </c>
      <c r="J43" s="947"/>
      <c r="K43" s="947"/>
      <c r="L43" s="947"/>
      <c r="M43" s="948"/>
      <c r="N43" s="948"/>
    </row>
    <row r="44" spans="1:14">
      <c r="A44" s="948"/>
      <c r="B44" s="950" t="s">
        <v>561</v>
      </c>
      <c r="C44" s="950" t="s">
        <v>554</v>
      </c>
      <c r="D44" s="951">
        <v>799</v>
      </c>
      <c r="E44" s="948" t="s">
        <v>57</v>
      </c>
      <c r="F44" s="940" t="s">
        <v>540</v>
      </c>
      <c r="J44" s="947"/>
      <c r="K44" s="947"/>
      <c r="L44" s="947"/>
      <c r="M44" s="948"/>
      <c r="N44" s="948"/>
    </row>
    <row r="45" spans="1:14">
      <c r="A45" s="948"/>
      <c r="B45" s="950" t="s">
        <v>561</v>
      </c>
      <c r="C45" s="950" t="s">
        <v>554</v>
      </c>
      <c r="D45" s="951">
        <v>831</v>
      </c>
      <c r="E45" s="948" t="s">
        <v>57</v>
      </c>
      <c r="F45" s="940" t="s">
        <v>540</v>
      </c>
      <c r="J45" s="947"/>
      <c r="K45" s="947"/>
      <c r="L45" s="947"/>
      <c r="M45" s="948"/>
      <c r="N45" s="948"/>
    </row>
    <row r="46" spans="1:14">
      <c r="A46" s="948"/>
      <c r="B46" s="950" t="s">
        <v>561</v>
      </c>
      <c r="C46" s="950" t="s">
        <v>554</v>
      </c>
      <c r="D46" s="951">
        <v>832</v>
      </c>
      <c r="E46" s="948" t="s">
        <v>57</v>
      </c>
      <c r="F46" s="940" t="s">
        <v>540</v>
      </c>
      <c r="J46" s="947"/>
      <c r="K46" s="947"/>
      <c r="L46" s="947"/>
      <c r="M46" s="948"/>
      <c r="N46" s="948"/>
    </row>
    <row r="47" spans="1:14">
      <c r="A47" s="948"/>
      <c r="B47" s="950" t="s">
        <v>561</v>
      </c>
      <c r="C47" s="950" t="s">
        <v>556</v>
      </c>
      <c r="D47" s="951">
        <v>998</v>
      </c>
      <c r="E47" s="948" t="s">
        <v>57</v>
      </c>
      <c r="F47" s="947" t="s">
        <v>542</v>
      </c>
      <c r="J47" s="947"/>
      <c r="K47" s="947"/>
      <c r="L47" s="947"/>
      <c r="M47" s="948"/>
      <c r="N47" s="948"/>
    </row>
    <row r="48" spans="1:14">
      <c r="A48" s="948"/>
      <c r="B48" s="950" t="s">
        <v>561</v>
      </c>
      <c r="C48" s="950" t="s">
        <v>556</v>
      </c>
      <c r="D48" s="951">
        <v>1015</v>
      </c>
      <c r="E48" s="948" t="s">
        <v>57</v>
      </c>
      <c r="F48" s="947" t="s">
        <v>542</v>
      </c>
      <c r="J48" s="947"/>
      <c r="K48" s="947"/>
      <c r="L48" s="947"/>
      <c r="M48" s="948"/>
      <c r="N48" s="948"/>
    </row>
    <row r="49" spans="1:14">
      <c r="A49" s="948"/>
      <c r="B49" s="950" t="s">
        <v>561</v>
      </c>
      <c r="C49" s="950" t="s">
        <v>556</v>
      </c>
      <c r="D49" s="951">
        <v>1034</v>
      </c>
      <c r="E49" s="948" t="s">
        <v>57</v>
      </c>
      <c r="F49" s="947" t="s">
        <v>542</v>
      </c>
      <c r="J49" s="947"/>
      <c r="K49" s="947"/>
      <c r="L49" s="947"/>
      <c r="M49" s="948"/>
      <c r="N49" s="948"/>
    </row>
    <row r="50" spans="1:14">
      <c r="A50" s="948"/>
      <c r="B50" s="950" t="s">
        <v>561</v>
      </c>
      <c r="C50" s="950" t="s">
        <v>556</v>
      </c>
      <c r="D50" s="951">
        <v>1124</v>
      </c>
      <c r="E50" s="948" t="s">
        <v>57</v>
      </c>
      <c r="F50" s="947" t="s">
        <v>542</v>
      </c>
      <c r="J50" s="947"/>
      <c r="K50" s="947"/>
      <c r="L50" s="947"/>
      <c r="M50" s="948"/>
      <c r="N50" s="948"/>
    </row>
    <row r="51" spans="1:14">
      <c r="A51" s="948"/>
      <c r="B51" s="950" t="s">
        <v>561</v>
      </c>
      <c r="C51" s="950" t="s">
        <v>556</v>
      </c>
      <c r="D51" s="951">
        <v>1161</v>
      </c>
      <c r="E51" s="948" t="s">
        <v>57</v>
      </c>
      <c r="F51" s="947" t="s">
        <v>542</v>
      </c>
      <c r="J51" s="947"/>
      <c r="K51" s="947"/>
      <c r="L51" s="947"/>
      <c r="M51" s="948"/>
      <c r="N51" s="948"/>
    </row>
    <row r="52" spans="1:14">
      <c r="A52" s="948"/>
      <c r="B52" s="950" t="s">
        <v>561</v>
      </c>
      <c r="C52" s="950" t="s">
        <v>556</v>
      </c>
      <c r="D52" s="951">
        <v>1171</v>
      </c>
      <c r="E52" s="948" t="s">
        <v>57</v>
      </c>
      <c r="F52" s="947" t="s">
        <v>542</v>
      </c>
      <c r="J52" s="947"/>
      <c r="K52" s="947"/>
      <c r="L52" s="947"/>
      <c r="M52" s="948"/>
      <c r="N52" s="948"/>
    </row>
    <row r="53" spans="1:14">
      <c r="A53" s="948"/>
      <c r="B53" s="950" t="s">
        <v>561</v>
      </c>
      <c r="C53" s="950" t="s">
        <v>556</v>
      </c>
      <c r="D53" s="951">
        <v>1173</v>
      </c>
      <c r="E53" s="948" t="s">
        <v>57</v>
      </c>
      <c r="F53" s="947" t="s">
        <v>542</v>
      </c>
      <c r="J53" s="947"/>
      <c r="K53" s="947"/>
      <c r="L53" s="947"/>
      <c r="M53" s="948"/>
      <c r="N53" s="948"/>
    </row>
    <row r="54" spans="1:14">
      <c r="A54" s="948"/>
      <c r="B54" s="950" t="s">
        <v>561</v>
      </c>
      <c r="C54" s="950" t="s">
        <v>556</v>
      </c>
      <c r="D54" s="951">
        <v>1174</v>
      </c>
      <c r="E54" s="948" t="s">
        <v>57</v>
      </c>
      <c r="F54" s="947" t="s">
        <v>542</v>
      </c>
      <c r="J54" s="947"/>
      <c r="K54" s="947"/>
      <c r="L54" s="947"/>
      <c r="M54" s="948"/>
      <c r="N54" s="948"/>
    </row>
    <row r="55" spans="1:14">
      <c r="A55" s="948"/>
      <c r="B55" s="950" t="s">
        <v>561</v>
      </c>
      <c r="C55" s="950" t="s">
        <v>558</v>
      </c>
      <c r="D55" s="951">
        <v>3523</v>
      </c>
      <c r="E55" s="948" t="s">
        <v>57</v>
      </c>
      <c r="F55" s="940" t="s">
        <v>550</v>
      </c>
      <c r="J55" s="947"/>
      <c r="K55" s="947"/>
      <c r="L55" s="947"/>
      <c r="M55" s="948"/>
      <c r="N55" s="948"/>
    </row>
    <row r="56" spans="1:14">
      <c r="A56" s="948"/>
      <c r="B56" s="950" t="s">
        <v>561</v>
      </c>
      <c r="C56" s="950" t="s">
        <v>559</v>
      </c>
      <c r="D56" s="951">
        <v>1391</v>
      </c>
      <c r="E56" s="948" t="s">
        <v>57</v>
      </c>
      <c r="F56" s="947" t="s">
        <v>545</v>
      </c>
      <c r="J56" s="947"/>
      <c r="K56" s="947"/>
      <c r="L56" s="947"/>
      <c r="M56" s="948"/>
      <c r="N56" s="948"/>
    </row>
    <row r="57" spans="1:14">
      <c r="A57" s="948"/>
      <c r="B57" s="950" t="s">
        <v>561</v>
      </c>
      <c r="C57" s="950" t="s">
        <v>559</v>
      </c>
      <c r="D57" s="951">
        <v>1422</v>
      </c>
      <c r="E57" s="948" t="s">
        <v>57</v>
      </c>
      <c r="F57" s="947" t="s">
        <v>545</v>
      </c>
      <c r="J57" s="947"/>
      <c r="K57" s="947"/>
      <c r="L57" s="947"/>
      <c r="M57" s="948"/>
      <c r="N57" s="948"/>
    </row>
    <row r="58" spans="1:14">
      <c r="A58" s="948"/>
      <c r="B58" s="950" t="s">
        <v>562</v>
      </c>
      <c r="C58" s="950" t="s">
        <v>553</v>
      </c>
      <c r="D58" s="951">
        <v>531</v>
      </c>
      <c r="E58" s="948" t="s">
        <v>57</v>
      </c>
      <c r="F58" s="940" t="s">
        <v>165</v>
      </c>
      <c r="J58" s="947"/>
      <c r="K58" s="947"/>
      <c r="L58" s="947"/>
      <c r="M58" s="948"/>
      <c r="N58" s="948"/>
    </row>
    <row r="59" spans="1:14">
      <c r="A59" s="948"/>
      <c r="B59" s="950" t="s">
        <v>562</v>
      </c>
      <c r="C59" s="950" t="s">
        <v>553</v>
      </c>
      <c r="D59" s="951">
        <v>588</v>
      </c>
      <c r="E59" s="948" t="s">
        <v>57</v>
      </c>
      <c r="F59" s="940" t="s">
        <v>165</v>
      </c>
      <c r="J59" s="947"/>
      <c r="K59" s="947"/>
      <c r="L59" s="947"/>
      <c r="M59" s="948"/>
      <c r="N59" s="948"/>
    </row>
    <row r="60" spans="1:14">
      <c r="A60" s="948"/>
      <c r="B60" s="950" t="s">
        <v>562</v>
      </c>
      <c r="C60" s="950" t="s">
        <v>553</v>
      </c>
      <c r="D60" s="951">
        <v>614</v>
      </c>
      <c r="E60" s="948" t="s">
        <v>57</v>
      </c>
      <c r="F60" s="940" t="s">
        <v>165</v>
      </c>
      <c r="J60" s="947"/>
      <c r="K60" s="947"/>
      <c r="L60" s="947"/>
      <c r="M60" s="948"/>
      <c r="N60" s="948"/>
    </row>
    <row r="61" spans="1:14">
      <c r="A61" s="948"/>
      <c r="B61" s="950" t="s">
        <v>562</v>
      </c>
      <c r="C61" s="950" t="s">
        <v>554</v>
      </c>
      <c r="D61" s="951">
        <v>723</v>
      </c>
      <c r="E61" s="948" t="s">
        <v>57</v>
      </c>
      <c r="F61" s="940" t="s">
        <v>540</v>
      </c>
      <c r="J61" s="947"/>
      <c r="K61" s="947"/>
      <c r="L61" s="947"/>
      <c r="M61" s="948"/>
      <c r="N61" s="948"/>
    </row>
    <row r="62" spans="1:14">
      <c r="A62" s="948"/>
      <c r="B62" s="950" t="s">
        <v>562</v>
      </c>
      <c r="C62" s="950" t="s">
        <v>554</v>
      </c>
      <c r="D62" s="951">
        <v>786</v>
      </c>
      <c r="E62" s="948" t="s">
        <v>57</v>
      </c>
      <c r="F62" s="940" t="s">
        <v>540</v>
      </c>
      <c r="J62" s="947"/>
      <c r="K62" s="947"/>
      <c r="L62" s="947"/>
      <c r="M62" s="948"/>
      <c r="N62" s="948"/>
    </row>
    <row r="63" spans="1:14">
      <c r="A63" s="948"/>
      <c r="B63" s="947" t="s">
        <v>562</v>
      </c>
      <c r="C63" s="947" t="s">
        <v>554</v>
      </c>
      <c r="D63" s="951">
        <v>786</v>
      </c>
      <c r="E63" s="948" t="s">
        <v>57</v>
      </c>
      <c r="F63" s="940" t="s">
        <v>540</v>
      </c>
      <c r="G63" s="948"/>
      <c r="H63" s="948"/>
      <c r="I63" s="948"/>
      <c r="J63" s="948"/>
      <c r="K63" s="948"/>
      <c r="L63" s="948"/>
      <c r="M63" s="948"/>
      <c r="N63" s="948"/>
    </row>
    <row r="64" spans="1:14">
      <c r="B64" s="950" t="s">
        <v>562</v>
      </c>
      <c r="C64" s="947" t="s">
        <v>554</v>
      </c>
      <c r="D64" s="951">
        <v>789</v>
      </c>
      <c r="E64" s="940" t="s">
        <v>57</v>
      </c>
      <c r="F64" s="940" t="s">
        <v>540</v>
      </c>
    </row>
    <row r="65" spans="2:6">
      <c r="B65" s="950" t="s">
        <v>562</v>
      </c>
      <c r="C65" s="947" t="s">
        <v>554</v>
      </c>
      <c r="D65" s="951">
        <v>789</v>
      </c>
      <c r="E65" s="940" t="s">
        <v>57</v>
      </c>
      <c r="F65" s="940" t="s">
        <v>540</v>
      </c>
    </row>
    <row r="66" spans="2:6">
      <c r="B66" s="950" t="s">
        <v>562</v>
      </c>
      <c r="C66" s="947" t="s">
        <v>554</v>
      </c>
      <c r="D66" s="951">
        <v>799</v>
      </c>
      <c r="E66" s="940" t="s">
        <v>57</v>
      </c>
      <c r="F66" s="940" t="s">
        <v>540</v>
      </c>
    </row>
    <row r="67" spans="2:6">
      <c r="B67" s="950" t="s">
        <v>562</v>
      </c>
      <c r="C67" s="947" t="s">
        <v>554</v>
      </c>
      <c r="D67" s="951">
        <v>831</v>
      </c>
      <c r="E67" s="940" t="s">
        <v>57</v>
      </c>
      <c r="F67" s="940" t="s">
        <v>540</v>
      </c>
    </row>
    <row r="68" spans="2:6">
      <c r="B68" s="950" t="s">
        <v>562</v>
      </c>
      <c r="C68" s="947" t="s">
        <v>554</v>
      </c>
      <c r="D68" s="951">
        <v>832</v>
      </c>
      <c r="E68" s="940" t="s">
        <v>57</v>
      </c>
      <c r="F68" s="940" t="s">
        <v>540</v>
      </c>
    </row>
    <row r="69" spans="2:6">
      <c r="B69" s="950" t="s">
        <v>562</v>
      </c>
      <c r="C69" s="947" t="s">
        <v>556</v>
      </c>
      <c r="D69" s="951">
        <v>998</v>
      </c>
      <c r="E69" s="940" t="s">
        <v>57</v>
      </c>
      <c r="F69" s="947" t="s">
        <v>542</v>
      </c>
    </row>
    <row r="70" spans="2:6">
      <c r="B70" s="950" t="s">
        <v>562</v>
      </c>
      <c r="C70" s="947" t="s">
        <v>556</v>
      </c>
      <c r="D70" s="951">
        <v>1015</v>
      </c>
      <c r="E70" s="940" t="s">
        <v>57</v>
      </c>
      <c r="F70" s="947" t="s">
        <v>542</v>
      </c>
    </row>
    <row r="71" spans="2:6">
      <c r="B71" s="947" t="s">
        <v>562</v>
      </c>
      <c r="C71" s="947" t="s">
        <v>556</v>
      </c>
      <c r="D71" s="951">
        <v>1034</v>
      </c>
      <c r="E71" s="940" t="s">
        <v>57</v>
      </c>
      <c r="F71" s="947" t="s">
        <v>542</v>
      </c>
    </row>
    <row r="72" spans="2:6">
      <c r="B72" s="950" t="s">
        <v>562</v>
      </c>
      <c r="C72" s="947" t="s">
        <v>556</v>
      </c>
      <c r="D72" s="951">
        <v>1124</v>
      </c>
      <c r="E72" s="940" t="s">
        <v>57</v>
      </c>
      <c r="F72" s="947" t="s">
        <v>542</v>
      </c>
    </row>
    <row r="73" spans="2:6">
      <c r="B73" s="950" t="s">
        <v>562</v>
      </c>
      <c r="C73" s="947" t="s">
        <v>556</v>
      </c>
      <c r="D73" s="951">
        <v>1161</v>
      </c>
      <c r="E73" s="940" t="s">
        <v>57</v>
      </c>
      <c r="F73" s="947" t="s">
        <v>542</v>
      </c>
    </row>
    <row r="74" spans="2:6">
      <c r="B74" s="947" t="s">
        <v>562</v>
      </c>
      <c r="C74" s="947" t="s">
        <v>556</v>
      </c>
      <c r="D74" s="951">
        <v>1171</v>
      </c>
      <c r="E74" s="940" t="s">
        <v>57</v>
      </c>
      <c r="F74" s="947" t="s">
        <v>542</v>
      </c>
    </row>
    <row r="75" spans="2:6">
      <c r="B75" s="947" t="s">
        <v>562</v>
      </c>
      <c r="C75" s="947" t="s">
        <v>556</v>
      </c>
      <c r="D75" s="951">
        <v>1173</v>
      </c>
      <c r="E75" s="940" t="s">
        <v>57</v>
      </c>
      <c r="F75" s="947" t="s">
        <v>542</v>
      </c>
    </row>
    <row r="76" spans="2:6">
      <c r="B76" s="950" t="s">
        <v>562</v>
      </c>
      <c r="C76" s="947" t="s">
        <v>556</v>
      </c>
      <c r="D76" s="951">
        <v>1174</v>
      </c>
      <c r="E76" s="940" t="s">
        <v>57</v>
      </c>
      <c r="F76" s="947" t="s">
        <v>542</v>
      </c>
    </row>
    <row r="77" spans="2:6">
      <c r="B77" s="950" t="s">
        <v>562</v>
      </c>
      <c r="C77" s="947" t="s">
        <v>558</v>
      </c>
      <c r="D77" s="951">
        <v>3523</v>
      </c>
      <c r="E77" s="940" t="s">
        <v>57</v>
      </c>
      <c r="F77" s="940" t="s">
        <v>550</v>
      </c>
    </row>
    <row r="78" spans="2:6">
      <c r="B78" s="950" t="s">
        <v>562</v>
      </c>
      <c r="C78" s="947" t="s">
        <v>559</v>
      </c>
      <c r="D78" s="951">
        <v>1391</v>
      </c>
      <c r="E78" s="940" t="s">
        <v>57</v>
      </c>
      <c r="F78" s="947" t="s">
        <v>545</v>
      </c>
    </row>
    <row r="79" spans="2:6">
      <c r="B79" s="950" t="s">
        <v>562</v>
      </c>
      <c r="C79" s="947" t="s">
        <v>559</v>
      </c>
      <c r="D79" s="951">
        <v>1422</v>
      </c>
      <c r="E79" s="940" t="s">
        <v>57</v>
      </c>
      <c r="F79" s="947" t="s">
        <v>545</v>
      </c>
    </row>
    <row r="80" spans="2:6">
      <c r="B80" s="950" t="s">
        <v>563</v>
      </c>
      <c r="C80" s="947" t="s">
        <v>553</v>
      </c>
      <c r="D80" s="951">
        <v>531</v>
      </c>
      <c r="E80" s="940" t="s">
        <v>57</v>
      </c>
      <c r="F80" s="940" t="s">
        <v>165</v>
      </c>
    </row>
    <row r="81" spans="2:6">
      <c r="B81" s="950" t="s">
        <v>563</v>
      </c>
      <c r="C81" s="947" t="s">
        <v>553</v>
      </c>
      <c r="D81" s="951">
        <v>588</v>
      </c>
      <c r="E81" s="940" t="s">
        <v>57</v>
      </c>
      <c r="F81" s="940" t="s">
        <v>165</v>
      </c>
    </row>
    <row r="82" spans="2:6">
      <c r="B82" s="950" t="s">
        <v>563</v>
      </c>
      <c r="C82" s="947" t="s">
        <v>553</v>
      </c>
      <c r="D82" s="951">
        <v>614</v>
      </c>
      <c r="E82" s="940" t="s">
        <v>57</v>
      </c>
      <c r="F82" s="940" t="s">
        <v>165</v>
      </c>
    </row>
    <row r="83" spans="2:6">
      <c r="B83" s="950" t="s">
        <v>563</v>
      </c>
      <c r="C83" s="947" t="s">
        <v>554</v>
      </c>
      <c r="D83" s="951">
        <v>723</v>
      </c>
      <c r="E83" s="940" t="s">
        <v>57</v>
      </c>
      <c r="F83" s="940" t="s">
        <v>540</v>
      </c>
    </row>
    <row r="84" spans="2:6">
      <c r="B84" s="950" t="s">
        <v>563</v>
      </c>
      <c r="C84" s="947" t="s">
        <v>554</v>
      </c>
      <c r="D84" s="951">
        <v>786</v>
      </c>
      <c r="E84" s="940" t="s">
        <v>57</v>
      </c>
      <c r="F84" s="940" t="s">
        <v>540</v>
      </c>
    </row>
    <row r="85" spans="2:6">
      <c r="B85" s="950" t="s">
        <v>563</v>
      </c>
      <c r="C85" s="947" t="s">
        <v>554</v>
      </c>
      <c r="D85" s="951">
        <v>786</v>
      </c>
      <c r="E85" s="940" t="s">
        <v>57</v>
      </c>
      <c r="F85" s="940" t="s">
        <v>540</v>
      </c>
    </row>
    <row r="86" spans="2:6">
      <c r="B86" s="950" t="s">
        <v>563</v>
      </c>
      <c r="C86" s="947" t="s">
        <v>554</v>
      </c>
      <c r="D86" s="951">
        <v>789</v>
      </c>
      <c r="E86" s="940" t="s">
        <v>57</v>
      </c>
      <c r="F86" s="940" t="s">
        <v>540</v>
      </c>
    </row>
    <row r="87" spans="2:6">
      <c r="B87" s="947" t="s">
        <v>563</v>
      </c>
      <c r="C87" s="947" t="s">
        <v>554</v>
      </c>
      <c r="D87" s="951">
        <v>789</v>
      </c>
      <c r="E87" s="940" t="s">
        <v>57</v>
      </c>
      <c r="F87" s="940" t="s">
        <v>540</v>
      </c>
    </row>
    <row r="88" spans="2:6">
      <c r="B88" s="950" t="s">
        <v>563</v>
      </c>
      <c r="C88" s="947" t="s">
        <v>554</v>
      </c>
      <c r="D88" s="951">
        <v>799</v>
      </c>
      <c r="E88" s="940" t="s">
        <v>57</v>
      </c>
      <c r="F88" s="940" t="s">
        <v>540</v>
      </c>
    </row>
    <row r="89" spans="2:6">
      <c r="B89" s="950" t="s">
        <v>563</v>
      </c>
      <c r="C89" s="947" t="s">
        <v>554</v>
      </c>
      <c r="D89" s="951">
        <v>831</v>
      </c>
      <c r="E89" s="940" t="s">
        <v>57</v>
      </c>
      <c r="F89" s="940" t="s">
        <v>540</v>
      </c>
    </row>
    <row r="90" spans="2:6">
      <c r="B90" s="950" t="s">
        <v>563</v>
      </c>
      <c r="C90" s="947" t="s">
        <v>554</v>
      </c>
      <c r="D90" s="951">
        <v>832</v>
      </c>
      <c r="E90" s="940" t="s">
        <v>57</v>
      </c>
      <c r="F90" s="940" t="s">
        <v>540</v>
      </c>
    </row>
    <row r="91" spans="2:6">
      <c r="B91" s="950" t="s">
        <v>563</v>
      </c>
      <c r="C91" s="947" t="s">
        <v>556</v>
      </c>
      <c r="D91" s="951">
        <v>998</v>
      </c>
      <c r="E91" s="940" t="s">
        <v>57</v>
      </c>
      <c r="F91" s="947" t="s">
        <v>542</v>
      </c>
    </row>
    <row r="92" spans="2:6">
      <c r="B92" s="950" t="s">
        <v>563</v>
      </c>
      <c r="C92" s="947" t="s">
        <v>556</v>
      </c>
      <c r="D92" s="951">
        <v>1015</v>
      </c>
      <c r="E92" s="940" t="s">
        <v>57</v>
      </c>
      <c r="F92" s="947" t="s">
        <v>542</v>
      </c>
    </row>
    <row r="93" spans="2:6">
      <c r="B93" s="950" t="s">
        <v>563</v>
      </c>
      <c r="C93" s="947" t="s">
        <v>556</v>
      </c>
      <c r="D93" s="951">
        <v>1034</v>
      </c>
      <c r="E93" s="940" t="s">
        <v>57</v>
      </c>
      <c r="F93" s="947" t="s">
        <v>542</v>
      </c>
    </row>
    <row r="94" spans="2:6">
      <c r="B94" s="950" t="s">
        <v>563</v>
      </c>
      <c r="C94" s="947" t="s">
        <v>556</v>
      </c>
      <c r="D94" s="951">
        <v>1124</v>
      </c>
      <c r="E94" s="940" t="s">
        <v>57</v>
      </c>
      <c r="F94" s="947" t="s">
        <v>542</v>
      </c>
    </row>
    <row r="95" spans="2:6">
      <c r="B95" s="950" t="s">
        <v>563</v>
      </c>
      <c r="C95" s="947" t="s">
        <v>556</v>
      </c>
      <c r="D95" s="951">
        <v>1161</v>
      </c>
      <c r="E95" s="940" t="s">
        <v>57</v>
      </c>
      <c r="F95" s="947" t="s">
        <v>542</v>
      </c>
    </row>
    <row r="96" spans="2:6">
      <c r="B96" s="950" t="s">
        <v>563</v>
      </c>
      <c r="C96" s="947" t="s">
        <v>556</v>
      </c>
      <c r="D96" s="951">
        <v>1171</v>
      </c>
      <c r="E96" s="940" t="s">
        <v>57</v>
      </c>
      <c r="F96" s="947" t="s">
        <v>542</v>
      </c>
    </row>
    <row r="97" spans="2:6">
      <c r="B97" s="950" t="s">
        <v>563</v>
      </c>
      <c r="C97" s="947" t="s">
        <v>556</v>
      </c>
      <c r="D97" s="951">
        <v>1173</v>
      </c>
      <c r="E97" s="940" t="s">
        <v>57</v>
      </c>
      <c r="F97" s="947" t="s">
        <v>542</v>
      </c>
    </row>
    <row r="98" spans="2:6">
      <c r="B98" s="950" t="s">
        <v>563</v>
      </c>
      <c r="C98" s="947" t="s">
        <v>556</v>
      </c>
      <c r="D98" s="951">
        <v>1174</v>
      </c>
      <c r="E98" s="940" t="s">
        <v>57</v>
      </c>
      <c r="F98" s="947" t="s">
        <v>542</v>
      </c>
    </row>
    <row r="99" spans="2:6">
      <c r="B99" s="950" t="s">
        <v>563</v>
      </c>
      <c r="C99" s="947" t="s">
        <v>558</v>
      </c>
      <c r="D99" s="951">
        <v>3523</v>
      </c>
      <c r="E99" s="940" t="s">
        <v>57</v>
      </c>
      <c r="F99" s="940" t="s">
        <v>550</v>
      </c>
    </row>
    <row r="100" spans="2:6">
      <c r="B100" s="950" t="s">
        <v>563</v>
      </c>
      <c r="C100" s="947" t="s">
        <v>559</v>
      </c>
      <c r="D100" s="951">
        <v>1391</v>
      </c>
      <c r="E100" s="940" t="s">
        <v>57</v>
      </c>
      <c r="F100" s="947" t="s">
        <v>545</v>
      </c>
    </row>
    <row r="101" spans="2:6">
      <c r="B101" s="950" t="s">
        <v>563</v>
      </c>
      <c r="C101" s="947" t="s">
        <v>559</v>
      </c>
      <c r="D101" s="951">
        <v>1422</v>
      </c>
      <c r="E101" s="940" t="s">
        <v>57</v>
      </c>
      <c r="F101" s="947" t="s">
        <v>545</v>
      </c>
    </row>
    <row r="102" spans="2:6">
      <c r="B102" s="950" t="s">
        <v>564</v>
      </c>
      <c r="C102" s="947" t="s">
        <v>553</v>
      </c>
      <c r="D102" s="951">
        <v>531</v>
      </c>
      <c r="E102" s="940" t="s">
        <v>57</v>
      </c>
      <c r="F102" s="940" t="s">
        <v>165</v>
      </c>
    </row>
    <row r="103" spans="2:6">
      <c r="B103" s="950" t="s">
        <v>564</v>
      </c>
      <c r="C103" s="947" t="s">
        <v>553</v>
      </c>
      <c r="D103" s="951">
        <v>588</v>
      </c>
      <c r="E103" s="940" t="s">
        <v>57</v>
      </c>
      <c r="F103" s="940" t="s">
        <v>165</v>
      </c>
    </row>
    <row r="104" spans="2:6">
      <c r="B104" s="950" t="s">
        <v>564</v>
      </c>
      <c r="C104" s="947" t="s">
        <v>553</v>
      </c>
      <c r="D104" s="951">
        <v>614</v>
      </c>
      <c r="E104" s="940" t="s">
        <v>57</v>
      </c>
      <c r="F104" s="940" t="s">
        <v>165</v>
      </c>
    </row>
    <row r="105" spans="2:6">
      <c r="B105" s="950" t="s">
        <v>564</v>
      </c>
      <c r="C105" s="947" t="s">
        <v>554</v>
      </c>
      <c r="D105" s="951">
        <v>723</v>
      </c>
      <c r="E105" s="940" t="s">
        <v>57</v>
      </c>
      <c r="F105" s="940" t="s">
        <v>540</v>
      </c>
    </row>
    <row r="106" spans="2:6">
      <c r="B106" s="950" t="s">
        <v>564</v>
      </c>
      <c r="C106" s="947" t="s">
        <v>554</v>
      </c>
      <c r="D106" s="951">
        <v>786</v>
      </c>
      <c r="E106" s="940" t="s">
        <v>57</v>
      </c>
      <c r="F106" s="940" t="s">
        <v>540</v>
      </c>
    </row>
    <row r="107" spans="2:6">
      <c r="B107" s="950" t="s">
        <v>564</v>
      </c>
      <c r="C107" s="947" t="s">
        <v>554</v>
      </c>
      <c r="D107" s="951">
        <v>786</v>
      </c>
      <c r="E107" s="940" t="s">
        <v>57</v>
      </c>
      <c r="F107" s="940" t="s">
        <v>540</v>
      </c>
    </row>
    <row r="108" spans="2:6">
      <c r="B108" s="950" t="s">
        <v>564</v>
      </c>
      <c r="C108" s="947" t="s">
        <v>554</v>
      </c>
      <c r="D108" s="951">
        <v>789</v>
      </c>
      <c r="E108" s="940" t="s">
        <v>57</v>
      </c>
      <c r="F108" s="940" t="s">
        <v>540</v>
      </c>
    </row>
    <row r="109" spans="2:6">
      <c r="B109" s="950" t="s">
        <v>564</v>
      </c>
      <c r="C109" s="947" t="s">
        <v>554</v>
      </c>
      <c r="D109" s="951">
        <v>789</v>
      </c>
      <c r="E109" s="940" t="s">
        <v>57</v>
      </c>
      <c r="F109" s="940" t="s">
        <v>540</v>
      </c>
    </row>
    <row r="110" spans="2:6">
      <c r="B110" s="950" t="s">
        <v>564</v>
      </c>
      <c r="C110" s="947" t="s">
        <v>554</v>
      </c>
      <c r="D110" s="951">
        <v>799</v>
      </c>
      <c r="E110" s="940" t="s">
        <v>57</v>
      </c>
      <c r="F110" s="940" t="s">
        <v>540</v>
      </c>
    </row>
    <row r="111" spans="2:6">
      <c r="B111" s="950" t="s">
        <v>564</v>
      </c>
      <c r="C111" s="947" t="s">
        <v>554</v>
      </c>
      <c r="D111" s="951">
        <v>831</v>
      </c>
      <c r="E111" s="940" t="s">
        <v>57</v>
      </c>
      <c r="F111" s="940" t="s">
        <v>540</v>
      </c>
    </row>
    <row r="112" spans="2:6">
      <c r="B112" s="950" t="s">
        <v>564</v>
      </c>
      <c r="C112" s="947" t="s">
        <v>554</v>
      </c>
      <c r="D112" s="951">
        <v>832</v>
      </c>
      <c r="E112" s="940" t="s">
        <v>57</v>
      </c>
      <c r="F112" s="940" t="s">
        <v>540</v>
      </c>
    </row>
    <row r="113" spans="2:6">
      <c r="B113" s="950" t="s">
        <v>564</v>
      </c>
      <c r="C113" s="947" t="s">
        <v>556</v>
      </c>
      <c r="D113" s="951">
        <v>998</v>
      </c>
      <c r="E113" s="940" t="s">
        <v>57</v>
      </c>
      <c r="F113" s="947" t="s">
        <v>542</v>
      </c>
    </row>
    <row r="114" spans="2:6">
      <c r="B114" s="950" t="s">
        <v>564</v>
      </c>
      <c r="C114" s="947" t="s">
        <v>556</v>
      </c>
      <c r="D114" s="951">
        <v>1015</v>
      </c>
      <c r="E114" s="940" t="s">
        <v>57</v>
      </c>
      <c r="F114" s="947" t="s">
        <v>542</v>
      </c>
    </row>
    <row r="115" spans="2:6">
      <c r="B115" s="950" t="s">
        <v>564</v>
      </c>
      <c r="C115" s="947" t="s">
        <v>556</v>
      </c>
      <c r="D115" s="951">
        <v>1034</v>
      </c>
      <c r="E115" s="940" t="s">
        <v>57</v>
      </c>
      <c r="F115" s="947" t="s">
        <v>542</v>
      </c>
    </row>
    <row r="116" spans="2:6">
      <c r="B116" s="950" t="s">
        <v>564</v>
      </c>
      <c r="C116" s="947" t="s">
        <v>556</v>
      </c>
      <c r="D116" s="951">
        <v>1124</v>
      </c>
      <c r="E116" s="940" t="s">
        <v>57</v>
      </c>
      <c r="F116" s="947" t="s">
        <v>542</v>
      </c>
    </row>
    <row r="117" spans="2:6">
      <c r="B117" s="950" t="s">
        <v>564</v>
      </c>
      <c r="C117" s="947" t="s">
        <v>556</v>
      </c>
      <c r="D117" s="951">
        <v>1161</v>
      </c>
      <c r="E117" s="940" t="s">
        <v>57</v>
      </c>
      <c r="F117" s="947" t="s">
        <v>542</v>
      </c>
    </row>
    <row r="118" spans="2:6">
      <c r="B118" s="947" t="s">
        <v>564</v>
      </c>
      <c r="C118" s="947" t="s">
        <v>556</v>
      </c>
      <c r="D118" s="951">
        <v>1171</v>
      </c>
      <c r="E118" s="940" t="s">
        <v>57</v>
      </c>
      <c r="F118" s="947" t="s">
        <v>542</v>
      </c>
    </row>
    <row r="119" spans="2:6">
      <c r="B119" s="950" t="s">
        <v>564</v>
      </c>
      <c r="C119" s="947" t="s">
        <v>556</v>
      </c>
      <c r="D119" s="951">
        <v>1173</v>
      </c>
      <c r="E119" s="940" t="s">
        <v>57</v>
      </c>
      <c r="F119" s="947" t="s">
        <v>542</v>
      </c>
    </row>
    <row r="120" spans="2:6">
      <c r="B120" s="950" t="s">
        <v>564</v>
      </c>
      <c r="C120" s="947" t="s">
        <v>556</v>
      </c>
      <c r="D120" s="951">
        <v>1174</v>
      </c>
      <c r="E120" s="940" t="s">
        <v>57</v>
      </c>
      <c r="F120" s="947" t="s">
        <v>542</v>
      </c>
    </row>
    <row r="121" spans="2:6">
      <c r="B121" s="950" t="s">
        <v>564</v>
      </c>
      <c r="C121" s="947" t="s">
        <v>558</v>
      </c>
      <c r="D121" s="951">
        <v>3523</v>
      </c>
      <c r="E121" s="940" t="s">
        <v>57</v>
      </c>
      <c r="F121" s="940" t="s">
        <v>550</v>
      </c>
    </row>
    <row r="122" spans="2:6">
      <c r="B122" s="950" t="s">
        <v>564</v>
      </c>
      <c r="C122" s="947" t="s">
        <v>559</v>
      </c>
      <c r="D122" s="951">
        <v>1391</v>
      </c>
      <c r="E122" s="940" t="s">
        <v>57</v>
      </c>
      <c r="F122" s="947" t="s">
        <v>545</v>
      </c>
    </row>
    <row r="123" spans="2:6">
      <c r="B123" s="950" t="s">
        <v>564</v>
      </c>
      <c r="C123" s="947" t="s">
        <v>559</v>
      </c>
      <c r="D123" s="951">
        <v>1422</v>
      </c>
      <c r="E123" s="940" t="s">
        <v>57</v>
      </c>
      <c r="F123" s="947" t="s">
        <v>545</v>
      </c>
    </row>
    <row r="125" spans="2:6">
      <c r="B125" s="940" t="s">
        <v>11</v>
      </c>
      <c r="D125" s="958">
        <f>SUM(D4:D123)</f>
        <v>125744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17F8-A8E9-42AA-BB9F-89AEAAEBD696}">
  <sheetPr>
    <tabColor theme="3" tint="0.59999389629810485"/>
  </sheetPr>
  <dimension ref="B1:T87"/>
  <sheetViews>
    <sheetView showGridLines="0" workbookViewId="0">
      <selection activeCell="P33" sqref="P33"/>
    </sheetView>
  </sheetViews>
  <sheetFormatPr defaultColWidth="9.140625" defaultRowHeight="14.25" outlineLevelCol="1"/>
  <cols>
    <col min="1" max="1" width="5.85546875" style="58" customWidth="1"/>
    <col min="2" max="2" width="41" style="58" customWidth="1"/>
    <col min="3" max="3" width="20.42578125" style="58" bestFit="1" customWidth="1"/>
    <col min="4" max="4" width="5.85546875" style="58" customWidth="1" outlineLevel="1"/>
    <col min="5" max="16" width="10.5703125" style="58" customWidth="1" outlineLevel="1"/>
    <col min="17" max="17" width="2.140625" style="58" customWidth="1"/>
    <col min="18" max="18" width="11.42578125" style="58" bestFit="1" customWidth="1"/>
    <col min="19" max="19" width="10.5703125" style="58" bestFit="1" customWidth="1"/>
    <col min="20" max="16384" width="9.140625" style="58"/>
  </cols>
  <sheetData>
    <row r="1" spans="2:19"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</row>
    <row r="2" spans="2:19"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</row>
    <row r="3" spans="2:19"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</row>
    <row r="4" spans="2:19" ht="26.25">
      <c r="B4" s="103" t="s">
        <v>416</v>
      </c>
      <c r="C4" s="103"/>
      <c r="D4" s="10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</row>
    <row r="5" spans="2:19">
      <c r="B5" s="464"/>
      <c r="C5" s="464"/>
      <c r="D5" s="464"/>
      <c r="E5" s="465"/>
      <c r="F5" s="465"/>
      <c r="G5" s="465"/>
      <c r="H5" s="465"/>
      <c r="I5" s="465"/>
      <c r="J5" s="465"/>
      <c r="K5" s="465"/>
      <c r="L5" s="465"/>
      <c r="M5" s="465"/>
      <c r="N5" s="465"/>
      <c r="O5" s="465"/>
      <c r="P5" s="465"/>
      <c r="Q5" s="465"/>
      <c r="R5" s="465"/>
      <c r="S5" s="465"/>
    </row>
    <row r="6" spans="2:19">
      <c r="B6" s="464"/>
      <c r="C6" s="464"/>
      <c r="D6" s="464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5"/>
    </row>
    <row r="7" spans="2:19">
      <c r="B7" s="1062" t="s">
        <v>601</v>
      </c>
      <c r="C7" s="1062"/>
      <c r="D7" s="1062"/>
      <c r="E7" s="1063" t="s">
        <v>417</v>
      </c>
      <c r="F7" s="1063" t="s">
        <v>418</v>
      </c>
      <c r="G7" s="1063" t="s">
        <v>419</v>
      </c>
      <c r="H7" s="1063" t="s">
        <v>420</v>
      </c>
      <c r="I7" s="1063" t="s">
        <v>421</v>
      </c>
      <c r="J7" s="1063" t="s">
        <v>422</v>
      </c>
      <c r="K7" s="1063" t="s">
        <v>423</v>
      </c>
      <c r="L7" s="1063" t="s">
        <v>424</v>
      </c>
      <c r="M7" s="1063" t="s">
        <v>425</v>
      </c>
      <c r="N7" s="1063" t="s">
        <v>426</v>
      </c>
      <c r="O7" s="1063" t="s">
        <v>427</v>
      </c>
      <c r="P7" s="1063" t="s">
        <v>428</v>
      </c>
      <c r="Q7" s="1064"/>
      <c r="R7" s="1064" t="s">
        <v>11</v>
      </c>
      <c r="S7" s="467"/>
    </row>
    <row r="8" spans="2:19">
      <c r="B8" s="1051" t="s">
        <v>429</v>
      </c>
      <c r="C8" s="468" t="s">
        <v>430</v>
      </c>
      <c r="D8" s="1052"/>
      <c r="E8" s="469"/>
      <c r="F8" s="469"/>
      <c r="G8" s="469"/>
      <c r="H8" s="469"/>
      <c r="I8" s="469"/>
      <c r="J8" s="469"/>
      <c r="K8" s="469"/>
      <c r="L8" s="469"/>
      <c r="M8" s="469"/>
      <c r="N8" s="469"/>
      <c r="O8" s="469"/>
      <c r="P8" s="469"/>
      <c r="Q8" s="469"/>
      <c r="R8" s="1066"/>
      <c r="S8" s="467"/>
    </row>
    <row r="9" spans="2:19">
      <c r="B9" s="1053" t="s">
        <v>660</v>
      </c>
      <c r="C9" s="1414">
        <v>192</v>
      </c>
      <c r="D9" s="1054"/>
      <c r="E9" s="469">
        <f>+($C9*Assumptions!$C$34/12)</f>
        <v>2096</v>
      </c>
      <c r="F9" s="469">
        <f>+($C9*Assumptions!$C$34/12)</f>
        <v>2096</v>
      </c>
      <c r="G9" s="469">
        <f>+($C9*Assumptions!$C$34/12)</f>
        <v>2096</v>
      </c>
      <c r="H9" s="469">
        <f>+($C9*Assumptions!$C$34/12)</f>
        <v>2096</v>
      </c>
      <c r="I9" s="469">
        <f>+($C9*Assumptions!$C$34/12)</f>
        <v>2096</v>
      </c>
      <c r="J9" s="469">
        <f>+($C9*Assumptions!$C$34/12)</f>
        <v>2096</v>
      </c>
      <c r="K9" s="469">
        <f>+($C9*Assumptions!$C$34/12)</f>
        <v>2096</v>
      </c>
      <c r="L9" s="469">
        <f>+($C9*Assumptions!$C$34/12)</f>
        <v>2096</v>
      </c>
      <c r="M9" s="469">
        <f>+($C9*Assumptions!$C$34/12)</f>
        <v>2096</v>
      </c>
      <c r="N9" s="469">
        <f>+($C9*Assumptions!$C$34/12)</f>
        <v>2096</v>
      </c>
      <c r="O9" s="469">
        <f>+($C9*Assumptions!$C$34/12)</f>
        <v>2096</v>
      </c>
      <c r="P9" s="469">
        <f>+($C9*Assumptions!$C$34/12)</f>
        <v>2096</v>
      </c>
      <c r="Q9" s="469"/>
      <c r="R9" s="469">
        <f t="shared" ref="R9:R19" si="0">SUM(E9:Q9)</f>
        <v>25152</v>
      </c>
      <c r="S9" s="1220" t="s">
        <v>666</v>
      </c>
    </row>
    <row r="10" spans="2:19">
      <c r="B10" s="1053" t="s">
        <v>661</v>
      </c>
      <c r="C10" s="1480">
        <f>$E$87</f>
        <v>299.16793893129773</v>
      </c>
      <c r="D10" s="1054"/>
      <c r="E10" s="469">
        <f>+($C10*Assumptions!$C$34/12)</f>
        <v>3265.9166666666665</v>
      </c>
      <c r="F10" s="469">
        <f>+($C10*Assumptions!$C$34/12)</f>
        <v>3265.9166666666665</v>
      </c>
      <c r="G10" s="469">
        <f>+($C10*Assumptions!$C$34/12)</f>
        <v>3265.9166666666665</v>
      </c>
      <c r="H10" s="469">
        <f>+($C10*Assumptions!$C$34/12)</f>
        <v>3265.9166666666665</v>
      </c>
      <c r="I10" s="469">
        <f>+($C10*Assumptions!$C$34/12)</f>
        <v>3265.9166666666665</v>
      </c>
      <c r="J10" s="469">
        <f>+($C10*Assumptions!$C$34/12)</f>
        <v>3265.9166666666665</v>
      </c>
      <c r="K10" s="469">
        <f>+($C10*Assumptions!$C$34/12)</f>
        <v>3265.9166666666665</v>
      </c>
      <c r="L10" s="469">
        <f>+($C10*Assumptions!$C$34/12)</f>
        <v>3265.9166666666665</v>
      </c>
      <c r="M10" s="469">
        <f>+($C10*Assumptions!$C$34/12)</f>
        <v>3265.9166666666665</v>
      </c>
      <c r="N10" s="469">
        <f>+($C10*Assumptions!$C$34/12)</f>
        <v>3265.9166666666665</v>
      </c>
      <c r="O10" s="469">
        <f>+($C10*Assumptions!$C$34/12)</f>
        <v>3265.9166666666665</v>
      </c>
      <c r="P10" s="469">
        <f>+($C10*Assumptions!$C$34/12)</f>
        <v>3265.9166666666665</v>
      </c>
      <c r="Q10" s="469"/>
      <c r="R10" s="469">
        <f t="shared" si="0"/>
        <v>39191</v>
      </c>
      <c r="S10" s="1220" t="s">
        <v>666</v>
      </c>
    </row>
    <row r="11" spans="2:19">
      <c r="B11" s="1053" t="s">
        <v>431</v>
      </c>
      <c r="C11" s="1217">
        <f>$J$55</f>
        <v>1949.8763358778624</v>
      </c>
      <c r="D11" s="1054"/>
      <c r="E11" s="1216">
        <f>+($C11*Assumptions!$C$34/12)</f>
        <v>21286.149999999998</v>
      </c>
      <c r="F11" s="1216">
        <f>+($C11*Assumptions!$C$34/12)</f>
        <v>21286.149999999998</v>
      </c>
      <c r="G11" s="1216">
        <f>+($C11*Assumptions!$C$34/12)</f>
        <v>21286.149999999998</v>
      </c>
      <c r="H11" s="1216">
        <f>+($C11*Assumptions!$C$34/12)</f>
        <v>21286.149999999998</v>
      </c>
      <c r="I11" s="1216">
        <f>+($C11*Assumptions!$C$34/12)</f>
        <v>21286.149999999998</v>
      </c>
      <c r="J11" s="1216">
        <f>+($C11*Assumptions!$C$34/12)</f>
        <v>21286.149999999998</v>
      </c>
      <c r="K11" s="1216">
        <f>+($C11*Assumptions!$C$34/12)</f>
        <v>21286.149999999998</v>
      </c>
      <c r="L11" s="1216">
        <f>+($C11*Assumptions!$C$34/12)</f>
        <v>21286.149999999998</v>
      </c>
      <c r="M11" s="1216">
        <f>+($C11*Assumptions!$C$34/12)</f>
        <v>21286.149999999998</v>
      </c>
      <c r="N11" s="1216">
        <f>+($C11*Assumptions!$C$34/12)</f>
        <v>21286.149999999998</v>
      </c>
      <c r="O11" s="1216">
        <f>+($C11*Assumptions!$C$34/12)</f>
        <v>21286.149999999998</v>
      </c>
      <c r="P11" s="1216">
        <f>+($C11*Assumptions!$C$34/12)</f>
        <v>21286.149999999998</v>
      </c>
      <c r="Q11" s="469"/>
      <c r="R11" s="469">
        <f t="shared" si="0"/>
        <v>255433.79999999996</v>
      </c>
      <c r="S11" s="1220" t="s">
        <v>666</v>
      </c>
    </row>
    <row r="12" spans="2:19">
      <c r="B12" s="1053" t="s">
        <v>662</v>
      </c>
      <c r="C12" s="1415">
        <v>340</v>
      </c>
      <c r="D12" s="1054"/>
      <c r="E12" s="1216">
        <f>+($C12*Assumptions!$C$34/12)</f>
        <v>3711.6666666666665</v>
      </c>
      <c r="F12" s="1216">
        <f>+($C12*Assumptions!$C$34/12)</f>
        <v>3711.6666666666665</v>
      </c>
      <c r="G12" s="1216">
        <f>+($C12*Assumptions!$C$34/12)</f>
        <v>3711.6666666666665</v>
      </c>
      <c r="H12" s="1216">
        <f>+($C12*Assumptions!$C$34/12)</f>
        <v>3711.6666666666665</v>
      </c>
      <c r="I12" s="1216">
        <f>+($C12*Assumptions!$C$34/12)</f>
        <v>3711.6666666666665</v>
      </c>
      <c r="J12" s="1216">
        <f>+($C12*Assumptions!$C$34/12)</f>
        <v>3711.6666666666665</v>
      </c>
      <c r="K12" s="1216">
        <f>+($C12*Assumptions!$C$34/12)</f>
        <v>3711.6666666666665</v>
      </c>
      <c r="L12" s="1216">
        <f>+($C12*Assumptions!$C$34/12)</f>
        <v>3711.6666666666665</v>
      </c>
      <c r="M12" s="1216">
        <f>+($C12*Assumptions!$C$34/12)</f>
        <v>3711.6666666666665</v>
      </c>
      <c r="N12" s="1216">
        <f>+($C12*Assumptions!$C$34/12)</f>
        <v>3711.6666666666665</v>
      </c>
      <c r="O12" s="1216">
        <f>+($C12*Assumptions!$C$34/12)</f>
        <v>3711.6666666666665</v>
      </c>
      <c r="P12" s="1216">
        <f>+($C12*Assumptions!$C$34/12)</f>
        <v>3711.6666666666665</v>
      </c>
      <c r="Q12" s="469"/>
      <c r="R12" s="469">
        <f t="shared" si="0"/>
        <v>44539.999999999993</v>
      </c>
      <c r="S12" s="1220" t="s">
        <v>666</v>
      </c>
    </row>
    <row r="13" spans="2:19">
      <c r="B13" s="1053" t="s">
        <v>663</v>
      </c>
      <c r="C13" s="1480">
        <f>$K$64</f>
        <v>0</v>
      </c>
      <c r="D13" s="1054"/>
      <c r="E13" s="469">
        <f>+($C13*Assumptions!$C$34/12)</f>
        <v>0</v>
      </c>
      <c r="F13" s="469">
        <f>+($C13*Assumptions!$C$34/12)</f>
        <v>0</v>
      </c>
      <c r="G13" s="469">
        <f>+($C13*Assumptions!$C$34/12)</f>
        <v>0</v>
      </c>
      <c r="H13" s="469">
        <f>+($C13*Assumptions!$C$34/12)</f>
        <v>0</v>
      </c>
      <c r="I13" s="469">
        <f>+($C13*Assumptions!$C$34/12)</f>
        <v>0</v>
      </c>
      <c r="J13" s="469">
        <f>+($C13*Assumptions!$C$34/12)</f>
        <v>0</v>
      </c>
      <c r="K13" s="469">
        <f>+($C13*Assumptions!$C$34/12)</f>
        <v>0</v>
      </c>
      <c r="L13" s="469">
        <f>+($C13*Assumptions!$C$34/12)</f>
        <v>0</v>
      </c>
      <c r="M13" s="469">
        <f>+($C13*Assumptions!$C$34/12)</f>
        <v>0</v>
      </c>
      <c r="N13" s="469">
        <f>+($C13*Assumptions!$C$34/12)</f>
        <v>0</v>
      </c>
      <c r="O13" s="469">
        <f>+($C13*Assumptions!$C$34/12)</f>
        <v>0</v>
      </c>
      <c r="P13" s="469">
        <f>+($C13*Assumptions!$C$34/12)</f>
        <v>0</v>
      </c>
      <c r="Q13" s="469"/>
      <c r="R13" s="469">
        <f t="shared" si="0"/>
        <v>0</v>
      </c>
      <c r="S13" s="1220" t="s">
        <v>666</v>
      </c>
    </row>
    <row r="14" spans="2:19">
      <c r="B14" s="1053" t="s">
        <v>664</v>
      </c>
      <c r="C14" s="1415">
        <v>407</v>
      </c>
      <c r="D14" s="1054"/>
      <c r="E14" s="1216">
        <f>+($C14*Assumptions!$C$34/12)</f>
        <v>4443.083333333333</v>
      </c>
      <c r="F14" s="1216">
        <f>+($C14*Assumptions!$C$34/12)</f>
        <v>4443.083333333333</v>
      </c>
      <c r="G14" s="1216">
        <f>+($C14*Assumptions!$C$34/12)</f>
        <v>4443.083333333333</v>
      </c>
      <c r="H14" s="1216">
        <f>+($C14*Assumptions!$C$34/12)</f>
        <v>4443.083333333333</v>
      </c>
      <c r="I14" s="1216">
        <f>+($C14*Assumptions!$C$34/12)</f>
        <v>4443.083333333333</v>
      </c>
      <c r="J14" s="1216">
        <f>+($C14*Assumptions!$C$34/12)</f>
        <v>4443.083333333333</v>
      </c>
      <c r="K14" s="1216">
        <f>+($C14*Assumptions!$C$34/12)</f>
        <v>4443.083333333333</v>
      </c>
      <c r="L14" s="1216">
        <f>+($C14*Assumptions!$C$34/12)</f>
        <v>4443.083333333333</v>
      </c>
      <c r="M14" s="1216">
        <f>+($C14*Assumptions!$C$34/12)</f>
        <v>4443.083333333333</v>
      </c>
      <c r="N14" s="1216">
        <f>+($C14*Assumptions!$C$34/12)</f>
        <v>4443.083333333333</v>
      </c>
      <c r="O14" s="1216">
        <f>+($C14*Assumptions!$C$34/12)</f>
        <v>4443.083333333333</v>
      </c>
      <c r="P14" s="1216">
        <f>+($C14*Assumptions!$C$34/12)</f>
        <v>4443.083333333333</v>
      </c>
      <c r="Q14" s="469"/>
      <c r="R14" s="469">
        <f t="shared" si="0"/>
        <v>53317.000000000007</v>
      </c>
      <c r="S14" s="1220" t="s">
        <v>666</v>
      </c>
    </row>
    <row r="15" spans="2:19">
      <c r="B15" s="1053" t="s">
        <v>665</v>
      </c>
      <c r="C15" s="1415">
        <v>138</v>
      </c>
      <c r="D15" s="1054"/>
      <c r="E15" s="1216">
        <f>+($C15*Assumptions!$C$34/12)</f>
        <v>1506.5</v>
      </c>
      <c r="F15" s="1216">
        <f>+($C15*Assumptions!$C$34/12)</f>
        <v>1506.5</v>
      </c>
      <c r="G15" s="1216">
        <f>+($C15*Assumptions!$C$34/12)</f>
        <v>1506.5</v>
      </c>
      <c r="H15" s="1216">
        <f>+($C15*Assumptions!$C$34/12)</f>
        <v>1506.5</v>
      </c>
      <c r="I15" s="1216">
        <f>+($C15*Assumptions!$C$34/12)</f>
        <v>1506.5</v>
      </c>
      <c r="J15" s="1216">
        <f>+($C15*Assumptions!$C$34/12)</f>
        <v>1506.5</v>
      </c>
      <c r="K15" s="1216">
        <f>+($C15*Assumptions!$C$34/12)</f>
        <v>1506.5</v>
      </c>
      <c r="L15" s="1216">
        <f>+($C15*Assumptions!$C$34/12)</f>
        <v>1506.5</v>
      </c>
      <c r="M15" s="1216">
        <f>+($C15*Assumptions!$C$34/12)</f>
        <v>1506.5</v>
      </c>
      <c r="N15" s="1216">
        <f>+($C15*Assumptions!$C$34/12)</f>
        <v>1506.5</v>
      </c>
      <c r="O15" s="1216">
        <f>+($C15*Assumptions!$C$34/12)</f>
        <v>1506.5</v>
      </c>
      <c r="P15" s="1216">
        <f>+($C15*Assumptions!$C$34/12)</f>
        <v>1506.5</v>
      </c>
      <c r="Q15" s="469"/>
      <c r="R15" s="469">
        <f t="shared" si="0"/>
        <v>18078</v>
      </c>
      <c r="S15" s="1220" t="s">
        <v>666</v>
      </c>
    </row>
    <row r="16" spans="2:19">
      <c r="B16" s="1053" t="s">
        <v>296</v>
      </c>
      <c r="C16" s="1414">
        <v>354</v>
      </c>
      <c r="D16" s="1054"/>
      <c r="E16" s="469">
        <f>+($C16*Assumptions!$C$34/12)</f>
        <v>3864.5</v>
      </c>
      <c r="F16" s="469">
        <f>+($C16*Assumptions!$C$34/12)</f>
        <v>3864.5</v>
      </c>
      <c r="G16" s="469">
        <f>+($C16*Assumptions!$C$34/12)</f>
        <v>3864.5</v>
      </c>
      <c r="H16" s="469">
        <f>+($C16*Assumptions!$C$34/12)</f>
        <v>3864.5</v>
      </c>
      <c r="I16" s="469">
        <f>+($C16*Assumptions!$C$34/12)</f>
        <v>3864.5</v>
      </c>
      <c r="J16" s="469">
        <f>+($C16*Assumptions!$C$34/12)</f>
        <v>3864.5</v>
      </c>
      <c r="K16" s="469">
        <f>+($C16*Assumptions!$C$34/12)</f>
        <v>3864.5</v>
      </c>
      <c r="L16" s="469">
        <f>+($C16*Assumptions!$C$34/12)</f>
        <v>3864.5</v>
      </c>
      <c r="M16" s="469">
        <f>+($C16*Assumptions!$C$34/12)</f>
        <v>3864.5</v>
      </c>
      <c r="N16" s="469">
        <f>+($C16*Assumptions!$C$34/12)</f>
        <v>3864.5</v>
      </c>
      <c r="O16" s="469">
        <f>+($C16*Assumptions!$C$34/12)</f>
        <v>3864.5</v>
      </c>
      <c r="P16" s="469">
        <f>+($C16*Assumptions!$C$34/12)</f>
        <v>3864.5</v>
      </c>
      <c r="Q16" s="469"/>
      <c r="R16" s="469">
        <f t="shared" si="0"/>
        <v>46374</v>
      </c>
      <c r="S16" s="1220" t="s">
        <v>666</v>
      </c>
    </row>
    <row r="17" spans="2:20">
      <c r="B17" s="1053"/>
      <c r="C17" s="1416"/>
      <c r="D17" s="1054"/>
      <c r="E17" s="469">
        <f>+($C17*Assumptions!$C$34/12)</f>
        <v>0</v>
      </c>
      <c r="F17" s="469">
        <f>+($C17*Assumptions!$C$34/12)</f>
        <v>0</v>
      </c>
      <c r="G17" s="469">
        <f>+($C17*Assumptions!$C$34/12)</f>
        <v>0</v>
      </c>
      <c r="H17" s="469">
        <f>+($C17*Assumptions!$C$34/12)</f>
        <v>0</v>
      </c>
      <c r="I17" s="469">
        <f>+($C17*Assumptions!$C$34/12)</f>
        <v>0</v>
      </c>
      <c r="J17" s="469">
        <f>+($C17*Assumptions!$C$34/12)</f>
        <v>0</v>
      </c>
      <c r="K17" s="469">
        <f>+($C17*Assumptions!$C$34/12)</f>
        <v>0</v>
      </c>
      <c r="L17" s="469">
        <f>+($C17*Assumptions!$C$34/12)</f>
        <v>0</v>
      </c>
      <c r="M17" s="469">
        <f>+($C17*Assumptions!$C$34/12)</f>
        <v>0</v>
      </c>
      <c r="N17" s="469">
        <f>+($C17*Assumptions!$C$34/12)</f>
        <v>0</v>
      </c>
      <c r="O17" s="469">
        <f>+($C17*Assumptions!$C$34/12)</f>
        <v>0</v>
      </c>
      <c r="P17" s="469">
        <f>+($C17*Assumptions!$C$34/12)</f>
        <v>0</v>
      </c>
      <c r="Q17" s="469"/>
      <c r="R17" s="469">
        <f t="shared" si="0"/>
        <v>0</v>
      </c>
      <c r="S17" s="470"/>
    </row>
    <row r="18" spans="2:20">
      <c r="B18" s="1053"/>
      <c r="C18" s="1217"/>
      <c r="D18" s="1054"/>
      <c r="E18" s="1216">
        <f>+($C18*Assumptions!$C$34/12)</f>
        <v>0</v>
      </c>
      <c r="F18" s="1216">
        <f>+($C18*Assumptions!$C$34/12)</f>
        <v>0</v>
      </c>
      <c r="G18" s="1216">
        <f>+($C18*Assumptions!$C$34/12)</f>
        <v>0</v>
      </c>
      <c r="H18" s="1216">
        <f>+($C18*Assumptions!$C$34/12)</f>
        <v>0</v>
      </c>
      <c r="I18" s="1216">
        <f>+($C18*Assumptions!$C$34/12)</f>
        <v>0</v>
      </c>
      <c r="J18" s="1216">
        <f>+($C18*Assumptions!$C$34/12)</f>
        <v>0</v>
      </c>
      <c r="K18" s="1216">
        <f>+($C18*Assumptions!$C$34/12)</f>
        <v>0</v>
      </c>
      <c r="L18" s="1216">
        <f>+($C18*Assumptions!$C$34/12)</f>
        <v>0</v>
      </c>
      <c r="M18" s="1216">
        <f>+($C18*Assumptions!$C$34/12)</f>
        <v>0</v>
      </c>
      <c r="N18" s="1216">
        <f>+($C18*Assumptions!$C$34/12)</f>
        <v>0</v>
      </c>
      <c r="O18" s="1216">
        <f>+($C18*Assumptions!$C$34/12)</f>
        <v>0</v>
      </c>
      <c r="P18" s="1216">
        <f>+($C18*Assumptions!$C$34/12)</f>
        <v>0</v>
      </c>
      <c r="Q18" s="469"/>
      <c r="R18" s="469">
        <f t="shared" si="0"/>
        <v>0</v>
      </c>
      <c r="S18" s="470"/>
    </row>
    <row r="19" spans="2:20">
      <c r="B19" s="1053"/>
      <c r="C19" s="1218"/>
      <c r="D19" s="1065"/>
      <c r="E19" s="1010">
        <f>+($C19*Assumptions!$C$34/12)</f>
        <v>0</v>
      </c>
      <c r="F19" s="1010">
        <f>+($C19*Assumptions!$C$34/12)</f>
        <v>0</v>
      </c>
      <c r="G19" s="1010">
        <f>+($C19*Assumptions!$C$34/12)</f>
        <v>0</v>
      </c>
      <c r="H19" s="1010">
        <f>+($C19*Assumptions!$C$34/12)</f>
        <v>0</v>
      </c>
      <c r="I19" s="1010">
        <f>+($C19*Assumptions!$C$34/12)</f>
        <v>0</v>
      </c>
      <c r="J19" s="1010">
        <f>+($C19*Assumptions!$C$34/12)</f>
        <v>0</v>
      </c>
      <c r="K19" s="1010">
        <f>+($C19*Assumptions!$C$34/12)</f>
        <v>0</v>
      </c>
      <c r="L19" s="1010">
        <f>+($C19*Assumptions!$C$34/12)</f>
        <v>0</v>
      </c>
      <c r="M19" s="1010">
        <f>+($C19*Assumptions!$C$34/12)</f>
        <v>0</v>
      </c>
      <c r="N19" s="1010">
        <f>+($C19*Assumptions!$C$34/12)</f>
        <v>0</v>
      </c>
      <c r="O19" s="1010">
        <f>+($C19*Assumptions!$C$34/12)</f>
        <v>0</v>
      </c>
      <c r="P19" s="1010">
        <f>+($C19*Assumptions!$C$34/12)</f>
        <v>0</v>
      </c>
      <c r="Q19" s="1011"/>
      <c r="R19" s="1011">
        <f t="shared" si="0"/>
        <v>0</v>
      </c>
      <c r="S19" s="470"/>
    </row>
    <row r="20" spans="2:20">
      <c r="B20" s="1055" t="s">
        <v>432</v>
      </c>
      <c r="C20" s="969">
        <f>SUM(C9:C19)</f>
        <v>3680.04427480916</v>
      </c>
      <c r="D20" s="472"/>
      <c r="E20" s="473">
        <f t="shared" ref="E20:P20" si="1">SUM(E9:E19)</f>
        <v>40173.816666666666</v>
      </c>
      <c r="F20" s="473">
        <f t="shared" si="1"/>
        <v>40173.816666666666</v>
      </c>
      <c r="G20" s="473">
        <f t="shared" si="1"/>
        <v>40173.816666666666</v>
      </c>
      <c r="H20" s="473">
        <f t="shared" si="1"/>
        <v>40173.816666666666</v>
      </c>
      <c r="I20" s="473">
        <f t="shared" si="1"/>
        <v>40173.816666666666</v>
      </c>
      <c r="J20" s="473">
        <f t="shared" si="1"/>
        <v>40173.816666666666</v>
      </c>
      <c r="K20" s="473">
        <f t="shared" si="1"/>
        <v>40173.816666666666</v>
      </c>
      <c r="L20" s="473">
        <f t="shared" si="1"/>
        <v>40173.816666666666</v>
      </c>
      <c r="M20" s="473">
        <f t="shared" si="1"/>
        <v>40173.816666666666</v>
      </c>
      <c r="N20" s="473">
        <f t="shared" si="1"/>
        <v>40173.816666666666</v>
      </c>
      <c r="O20" s="473">
        <f t="shared" si="1"/>
        <v>40173.816666666666</v>
      </c>
      <c r="P20" s="473">
        <f t="shared" si="1"/>
        <v>40173.816666666666</v>
      </c>
      <c r="Q20" s="473"/>
      <c r="R20" s="473">
        <f>+SUM(E20:P20)</f>
        <v>482085.79999999987</v>
      </c>
      <c r="S20" s="467"/>
    </row>
    <row r="21" spans="2:20">
      <c r="B21" s="1051" t="s">
        <v>433</v>
      </c>
      <c r="C21" s="1059"/>
      <c r="D21" s="1060"/>
      <c r="E21" s="1061"/>
      <c r="F21" s="1061"/>
      <c r="G21" s="1061"/>
      <c r="H21" s="1061"/>
      <c r="I21" s="1061"/>
      <c r="J21" s="1061"/>
      <c r="K21" s="1061"/>
      <c r="L21" s="1061"/>
      <c r="M21" s="1061"/>
      <c r="N21" s="1061"/>
      <c r="O21" s="1061"/>
      <c r="P21" s="1061"/>
      <c r="Q21" s="1061"/>
      <c r="R21" s="1061"/>
      <c r="S21" s="467"/>
    </row>
    <row r="22" spans="2:20">
      <c r="B22" s="1053" t="s">
        <v>88</v>
      </c>
      <c r="C22" s="1414">
        <v>260</v>
      </c>
      <c r="D22" s="1054"/>
      <c r="E22" s="469">
        <f>+($C22*Assumptions!$C$34/12)</f>
        <v>2838.3333333333335</v>
      </c>
      <c r="F22" s="469">
        <f>+($C22*Assumptions!$C$34/12)</f>
        <v>2838.3333333333335</v>
      </c>
      <c r="G22" s="469">
        <f>+($C22*Assumptions!$C$34/12)</f>
        <v>2838.3333333333335</v>
      </c>
      <c r="H22" s="469">
        <f>+($C22*Assumptions!$C$34/12)</f>
        <v>2838.3333333333335</v>
      </c>
      <c r="I22" s="469">
        <f>+($C22*Assumptions!$C$34/12)</f>
        <v>2838.3333333333335</v>
      </c>
      <c r="J22" s="469">
        <f>+($C22*Assumptions!$C$34/12)</f>
        <v>2838.3333333333335</v>
      </c>
      <c r="K22" s="469">
        <f>+($C22*Assumptions!$C$34/12)</f>
        <v>2838.3333333333335</v>
      </c>
      <c r="L22" s="469">
        <f>+($C22*Assumptions!$C$34/12)</f>
        <v>2838.3333333333335</v>
      </c>
      <c r="M22" s="469">
        <f>+($C22*Assumptions!$C$34/12)</f>
        <v>2838.3333333333335</v>
      </c>
      <c r="N22" s="469">
        <f>+($C22*Assumptions!$C$34/12)</f>
        <v>2838.3333333333335</v>
      </c>
      <c r="O22" s="469">
        <f>+($C22*Assumptions!$C$34/12)</f>
        <v>2838.3333333333335</v>
      </c>
      <c r="P22" s="469">
        <f>+($C22*Assumptions!$C$34/12)</f>
        <v>2838.3333333333335</v>
      </c>
      <c r="Q22" s="469"/>
      <c r="R22" s="469">
        <f t="shared" ref="R22:R24" si="2">+SUM(E22:P22)</f>
        <v>34059.999999999993</v>
      </c>
      <c r="S22" s="1220" t="s">
        <v>666</v>
      </c>
    </row>
    <row r="23" spans="2:20">
      <c r="B23" s="1053" t="s">
        <v>89</v>
      </c>
      <c r="C23" s="1479">
        <f ca="1">'RE Tax'!I44</f>
        <v>3770.5158498011101</v>
      </c>
      <c r="D23" s="1054"/>
      <c r="E23" s="469">
        <f ca="1">+($C23*Assumptions!$C$34/12)</f>
        <v>41161.464693662121</v>
      </c>
      <c r="F23" s="469">
        <f ca="1">+($C23*Assumptions!$C$34/12)</f>
        <v>41161.464693662121</v>
      </c>
      <c r="G23" s="469">
        <f ca="1">+($C23*Assumptions!$C$34/12)</f>
        <v>41161.464693662121</v>
      </c>
      <c r="H23" s="469">
        <f ca="1">+($C23*Assumptions!$C$34/12)</f>
        <v>41161.464693662121</v>
      </c>
      <c r="I23" s="469">
        <f ca="1">+($C23*Assumptions!$C$34/12)</f>
        <v>41161.464693662121</v>
      </c>
      <c r="J23" s="469">
        <f ca="1">+($C23*Assumptions!$C$34/12)</f>
        <v>41161.464693662121</v>
      </c>
      <c r="K23" s="469">
        <f ca="1">+($C23*Assumptions!$C$34/12)</f>
        <v>41161.464693662121</v>
      </c>
      <c r="L23" s="469">
        <f ca="1">+($C23*Assumptions!$C$34/12)</f>
        <v>41161.464693662121</v>
      </c>
      <c r="M23" s="469">
        <f ca="1">+($C23*Assumptions!$C$34/12)</f>
        <v>41161.464693662121</v>
      </c>
      <c r="N23" s="469">
        <f ca="1">+($C23*Assumptions!$C$34/12)</f>
        <v>41161.464693662121</v>
      </c>
      <c r="O23" s="469">
        <f ca="1">+($C23*Assumptions!$C$34/12)</f>
        <v>41161.464693662121</v>
      </c>
      <c r="P23" s="469">
        <f ca="1">+($C23*Assumptions!$C$34/12)</f>
        <v>41161.464693662121</v>
      </c>
      <c r="Q23" s="469"/>
      <c r="R23" s="469">
        <f t="shared" ca="1" si="2"/>
        <v>493937.57632394548</v>
      </c>
      <c r="S23" s="1220" t="s">
        <v>666</v>
      </c>
    </row>
    <row r="24" spans="2:20">
      <c r="B24" s="1053" t="s">
        <v>434</v>
      </c>
      <c r="C24" s="1414">
        <v>564</v>
      </c>
      <c r="D24" s="1054"/>
      <c r="E24" s="1219">
        <f>(Dashboard!$H$18*'Opex MF'!$S$24)/12</f>
        <v>6486.75</v>
      </c>
      <c r="F24" s="1219">
        <f>(Dashboard!$H$18*'Opex MF'!$S$24)/12</f>
        <v>6486.75</v>
      </c>
      <c r="G24" s="1219">
        <f>(Dashboard!$H$18*'Opex MF'!$S$24)/12</f>
        <v>6486.75</v>
      </c>
      <c r="H24" s="1219">
        <f>(Dashboard!$H$18*'Opex MF'!$S$24)/12</f>
        <v>6486.75</v>
      </c>
      <c r="I24" s="1219">
        <f>(Dashboard!$H$18*'Opex MF'!$S$24)/12</f>
        <v>6486.75</v>
      </c>
      <c r="J24" s="1219">
        <f>(Dashboard!$H$18*'Opex MF'!$S$24)/12</f>
        <v>6486.75</v>
      </c>
      <c r="K24" s="1219">
        <f>(Dashboard!$H$18*'Opex MF'!$S$24)/12</f>
        <v>6486.75</v>
      </c>
      <c r="L24" s="1219">
        <f>(Dashboard!$H$18*'Opex MF'!$S$24)/12</f>
        <v>6486.75</v>
      </c>
      <c r="M24" s="1219">
        <f>(Dashboard!$H$18*'Opex MF'!$S$24)/12</f>
        <v>6486.75</v>
      </c>
      <c r="N24" s="1219">
        <f>(Dashboard!$H$18*'Opex MF'!$S$24)/12</f>
        <v>6486.75</v>
      </c>
      <c r="O24" s="1219">
        <f>(Dashboard!$H$18*'Opex MF'!$S$24)/12</f>
        <v>6486.75</v>
      </c>
      <c r="P24" s="1219">
        <f>(Dashboard!$H$18*'Opex MF'!$S$24)/12</f>
        <v>6486.75</v>
      </c>
      <c r="Q24" s="469"/>
      <c r="R24" s="469">
        <f t="shared" si="2"/>
        <v>77841</v>
      </c>
      <c r="S24" s="1222">
        <v>2.2499999999999999E-2</v>
      </c>
      <c r="T24" s="1221" t="s">
        <v>667</v>
      </c>
    </row>
    <row r="25" spans="2:20">
      <c r="B25" s="1055" t="s">
        <v>432</v>
      </c>
      <c r="C25" s="471">
        <f ca="1">SUM(C22:C24)</f>
        <v>4594.5158498011097</v>
      </c>
      <c r="D25" s="472"/>
      <c r="E25" s="473">
        <f ca="1">SUM(E22:E24)</f>
        <v>50486.548026995457</v>
      </c>
      <c r="F25" s="473">
        <f t="shared" ref="F25:P25" ca="1" si="3">SUM(F22:F24)</f>
        <v>50486.548026995457</v>
      </c>
      <c r="G25" s="473">
        <f t="shared" ca="1" si="3"/>
        <v>50486.548026995457</v>
      </c>
      <c r="H25" s="473">
        <f t="shared" ca="1" si="3"/>
        <v>50486.548026995457</v>
      </c>
      <c r="I25" s="473">
        <f t="shared" ca="1" si="3"/>
        <v>50486.548026995457</v>
      </c>
      <c r="J25" s="473">
        <f t="shared" ca="1" si="3"/>
        <v>50486.548026995457</v>
      </c>
      <c r="K25" s="473">
        <f t="shared" ca="1" si="3"/>
        <v>50486.548026995457</v>
      </c>
      <c r="L25" s="473">
        <f t="shared" ca="1" si="3"/>
        <v>50486.548026995457</v>
      </c>
      <c r="M25" s="473">
        <f t="shared" ca="1" si="3"/>
        <v>50486.548026995457</v>
      </c>
      <c r="N25" s="473">
        <f t="shared" ca="1" si="3"/>
        <v>50486.548026995457</v>
      </c>
      <c r="O25" s="473">
        <f t="shared" ca="1" si="3"/>
        <v>50486.548026995457</v>
      </c>
      <c r="P25" s="473">
        <f t="shared" ca="1" si="3"/>
        <v>50486.548026995457</v>
      </c>
      <c r="Q25" s="473"/>
      <c r="R25" s="473">
        <f ca="1">+SUM(R22:R24)</f>
        <v>605838.57632394542</v>
      </c>
      <c r="S25" s="467"/>
    </row>
    <row r="26" spans="2:20" ht="4.5" customHeight="1">
      <c r="B26" s="1056"/>
      <c r="C26" s="1056"/>
      <c r="D26" s="1056"/>
      <c r="E26" s="469"/>
      <c r="F26" s="469"/>
      <c r="G26" s="469"/>
      <c r="H26" s="469"/>
      <c r="I26" s="469"/>
      <c r="J26" s="469"/>
      <c r="K26" s="469"/>
      <c r="L26" s="469"/>
      <c r="M26" s="469"/>
      <c r="N26" s="469"/>
      <c r="O26" s="469"/>
      <c r="P26" s="469"/>
      <c r="Q26" s="469"/>
      <c r="R26" s="469"/>
      <c r="S26" s="467"/>
    </row>
    <row r="27" spans="2:20">
      <c r="B27" s="1057" t="s">
        <v>435</v>
      </c>
      <c r="C27" s="474">
        <f ca="1">+R27/Assumptions!C34</f>
        <v>8304.7662314805002</v>
      </c>
      <c r="D27" s="475"/>
      <c r="E27" s="476">
        <f t="shared" ref="E27:P27" ca="1" si="4">+E25+E20</f>
        <v>90660.364693662123</v>
      </c>
      <c r="F27" s="476">
        <f t="shared" ca="1" si="4"/>
        <v>90660.364693662123</v>
      </c>
      <c r="G27" s="476">
        <f t="shared" ca="1" si="4"/>
        <v>90660.364693662123</v>
      </c>
      <c r="H27" s="476">
        <f t="shared" ca="1" si="4"/>
        <v>90660.364693662123</v>
      </c>
      <c r="I27" s="476">
        <f t="shared" ca="1" si="4"/>
        <v>90660.364693662123</v>
      </c>
      <c r="J27" s="476">
        <f t="shared" ca="1" si="4"/>
        <v>90660.364693662123</v>
      </c>
      <c r="K27" s="476">
        <f t="shared" ca="1" si="4"/>
        <v>90660.364693662123</v>
      </c>
      <c r="L27" s="476">
        <f t="shared" ca="1" si="4"/>
        <v>90660.364693662123</v>
      </c>
      <c r="M27" s="476">
        <f t="shared" ca="1" si="4"/>
        <v>90660.364693662123</v>
      </c>
      <c r="N27" s="476">
        <f t="shared" ca="1" si="4"/>
        <v>90660.364693662123</v>
      </c>
      <c r="O27" s="476">
        <f t="shared" ca="1" si="4"/>
        <v>90660.364693662123</v>
      </c>
      <c r="P27" s="476">
        <f t="shared" ca="1" si="4"/>
        <v>90660.364693662123</v>
      </c>
      <c r="Q27" s="476"/>
      <c r="R27" s="1058">
        <f ca="1">+SUM(E27:P27)</f>
        <v>1087924.3763239456</v>
      </c>
      <c r="S27" s="477"/>
    </row>
    <row r="28" spans="2:20"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7"/>
      <c r="R28" s="477"/>
      <c r="S28" s="478"/>
    </row>
    <row r="29" spans="2:20">
      <c r="B29" s="1032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1012" t="s">
        <v>128</v>
      </c>
      <c r="Q29" s="1013"/>
      <c r="R29" s="1014">
        <f ca="1">(R27/Dashboard!$C$18)-C27</f>
        <v>0</v>
      </c>
      <c r="S29" s="478"/>
    </row>
    <row r="30" spans="2:20">
      <c r="B30" s="1428" t="s">
        <v>788</v>
      </c>
      <c r="C30" s="1429"/>
      <c r="D30" s="1430"/>
      <c r="E30" s="1430"/>
      <c r="F30" s="1430"/>
      <c r="G30" s="1430"/>
      <c r="H30" s="1430"/>
      <c r="I30" s="1430"/>
      <c r="J30" s="1430"/>
      <c r="K30" s="477"/>
      <c r="L30" s="477"/>
      <c r="M30" s="477"/>
      <c r="N30" s="477"/>
      <c r="O30" s="477"/>
      <c r="P30" s="477"/>
      <c r="Q30" s="477"/>
      <c r="R30" s="477"/>
      <c r="S30" s="478"/>
    </row>
    <row r="31" spans="2:20">
      <c r="B31" s="479"/>
      <c r="C31" s="479"/>
      <c r="D31" s="479"/>
      <c r="E31" s="481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78"/>
    </row>
    <row r="32" spans="2:20">
      <c r="B32" s="1419" t="s">
        <v>751</v>
      </c>
      <c r="C32" s="1420"/>
      <c r="D32" s="1420"/>
      <c r="E32" s="1420"/>
      <c r="F32" s="1420"/>
      <c r="G32" s="1420"/>
      <c r="H32" s="1420"/>
      <c r="I32" s="1420"/>
      <c r="J32" s="1420"/>
      <c r="K32" s="390"/>
      <c r="L32" s="1369"/>
      <c r="M32" s="480"/>
      <c r="N32" s="480"/>
      <c r="O32" s="480"/>
      <c r="P32" s="480"/>
      <c r="Q32" s="480"/>
      <c r="R32" s="480"/>
      <c r="S32" s="478"/>
    </row>
    <row r="33" spans="2:19">
      <c r="B33" s="1419" t="s">
        <v>786</v>
      </c>
      <c r="C33" s="1420"/>
      <c r="D33" s="1420"/>
      <c r="E33" s="1420"/>
      <c r="F33" s="1420"/>
      <c r="G33" s="1420"/>
      <c r="H33" s="1420"/>
      <c r="I33" s="1420"/>
      <c r="J33" s="1420"/>
      <c r="K33" s="392"/>
      <c r="L33" s="1369"/>
      <c r="M33" s="480"/>
      <c r="N33" s="482"/>
      <c r="O33" s="482"/>
      <c r="P33" s="482"/>
      <c r="Q33" s="482"/>
      <c r="R33" s="482"/>
      <c r="S33" s="483"/>
    </row>
    <row r="34" spans="2:19" ht="38.25">
      <c r="B34" s="1381" t="s">
        <v>752</v>
      </c>
      <c r="C34" s="1382" t="s">
        <v>753</v>
      </c>
      <c r="D34" s="1382"/>
      <c r="E34" s="1382" t="s">
        <v>754</v>
      </c>
      <c r="F34" s="1382" t="s">
        <v>755</v>
      </c>
      <c r="G34" s="1382" t="s">
        <v>756</v>
      </c>
      <c r="H34" s="1382" t="s">
        <v>757</v>
      </c>
      <c r="I34" s="1382" t="s">
        <v>758</v>
      </c>
      <c r="J34" s="1383" t="s">
        <v>765</v>
      </c>
      <c r="K34" s="392"/>
      <c r="L34" s="1369"/>
      <c r="M34" s="480"/>
      <c r="N34" s="484"/>
      <c r="O34" s="484"/>
      <c r="P34" s="484"/>
      <c r="Q34" s="484"/>
      <c r="R34" s="484"/>
      <c r="S34" s="485"/>
    </row>
    <row r="35" spans="2:19">
      <c r="B35" s="1380" t="s">
        <v>766</v>
      </c>
      <c r="C35" s="1384" t="s">
        <v>153</v>
      </c>
      <c r="D35" s="1384"/>
      <c r="E35" s="1400">
        <v>80000</v>
      </c>
      <c r="F35" s="1400">
        <v>16000</v>
      </c>
      <c r="G35" s="1401">
        <v>12480</v>
      </c>
      <c r="H35" s="1400">
        <v>8293.1200000000008</v>
      </c>
      <c r="I35" s="1386">
        <v>1</v>
      </c>
      <c r="J35" s="1384">
        <f>SUM(E35:H35)*I35</f>
        <v>116773.12</v>
      </c>
      <c r="K35" s="392"/>
      <c r="L35" s="1369"/>
      <c r="M35" s="480"/>
      <c r="N35" s="484"/>
      <c r="O35" s="484"/>
      <c r="P35" s="484"/>
      <c r="Q35" s="484"/>
      <c r="R35" s="484"/>
      <c r="S35" s="485"/>
    </row>
    <row r="36" spans="2:19">
      <c r="B36" s="1380" t="s">
        <v>767</v>
      </c>
      <c r="C36" s="1384" t="str">
        <f>IF(E36&gt;0,E36/40/52,"")</f>
        <v/>
      </c>
      <c r="D36" s="1384"/>
      <c r="E36" s="1400">
        <v>0</v>
      </c>
      <c r="F36" s="1400">
        <v>0</v>
      </c>
      <c r="G36" s="1401">
        <v>0</v>
      </c>
      <c r="H36" s="1400">
        <v>0</v>
      </c>
      <c r="I36" s="1386">
        <v>0</v>
      </c>
      <c r="J36" s="1384">
        <f t="shared" ref="J36:J40" si="5">SUM(E36:H36)*I36</f>
        <v>0</v>
      </c>
      <c r="K36" s="392"/>
      <c r="L36" s="1369"/>
      <c r="M36" s="480"/>
      <c r="N36" s="484"/>
      <c r="O36" s="484"/>
      <c r="P36" s="484"/>
      <c r="Q36" s="484"/>
      <c r="R36" s="484"/>
      <c r="S36" s="485"/>
    </row>
    <row r="37" spans="2:19">
      <c r="B37" s="1380" t="s">
        <v>768</v>
      </c>
      <c r="C37" s="1384" t="str">
        <f>IF(E37&gt;0,E37/40/52,"")</f>
        <v/>
      </c>
      <c r="D37" s="1384"/>
      <c r="E37" s="1400">
        <v>0</v>
      </c>
      <c r="F37" s="1400">
        <v>0</v>
      </c>
      <c r="G37" s="1401">
        <v>0</v>
      </c>
      <c r="H37" s="1400">
        <v>0</v>
      </c>
      <c r="I37" s="1386">
        <v>0</v>
      </c>
      <c r="J37" s="1384">
        <f t="shared" si="5"/>
        <v>0</v>
      </c>
      <c r="K37" s="392"/>
      <c r="L37" s="1369"/>
      <c r="M37" s="480"/>
    </row>
    <row r="38" spans="2:19">
      <c r="B38" s="1380" t="s">
        <v>769</v>
      </c>
      <c r="C38" s="1384">
        <f>IF(E38&gt;0,E38/40/52,"")</f>
        <v>20</v>
      </c>
      <c r="D38" s="1384"/>
      <c r="E38" s="1400">
        <v>41600</v>
      </c>
      <c r="F38" s="1400">
        <v>0</v>
      </c>
      <c r="G38" s="1401">
        <v>5408</v>
      </c>
      <c r="H38" s="1400">
        <v>8293.1200000000008</v>
      </c>
      <c r="I38" s="1386">
        <v>0.5</v>
      </c>
      <c r="J38" s="1384">
        <f t="shared" si="5"/>
        <v>27650.560000000001</v>
      </c>
      <c r="K38" s="392"/>
      <c r="L38" s="1369"/>
      <c r="M38" s="480"/>
    </row>
    <row r="39" spans="2:19">
      <c r="B39" s="1380" t="s">
        <v>769</v>
      </c>
      <c r="C39" s="1384" t="str">
        <f>IF(E39&gt;0,E39/40/52,"")</f>
        <v/>
      </c>
      <c r="D39" s="1384"/>
      <c r="E39" s="1400">
        <v>0</v>
      </c>
      <c r="F39" s="1400">
        <v>0</v>
      </c>
      <c r="G39" s="1401">
        <v>0</v>
      </c>
      <c r="H39" s="1400">
        <v>0</v>
      </c>
      <c r="I39" s="1386">
        <v>0</v>
      </c>
      <c r="J39" s="1384">
        <f t="shared" si="5"/>
        <v>0</v>
      </c>
      <c r="K39" s="392"/>
      <c r="L39" s="1369"/>
      <c r="M39" s="480"/>
    </row>
    <row r="40" spans="2:19">
      <c r="B40" s="1380" t="s">
        <v>770</v>
      </c>
      <c r="C40" s="1384" t="str">
        <f>IF(E40&gt;0,E40/24/52,"")</f>
        <v/>
      </c>
      <c r="D40" s="1384"/>
      <c r="E40" s="1400">
        <v>0</v>
      </c>
      <c r="F40" s="1400">
        <v>0</v>
      </c>
      <c r="G40" s="1401">
        <v>0</v>
      </c>
      <c r="H40" s="1400">
        <v>0</v>
      </c>
      <c r="I40" s="1386">
        <v>0</v>
      </c>
      <c r="J40" s="1384">
        <f t="shared" si="5"/>
        <v>0</v>
      </c>
      <c r="K40" s="392"/>
      <c r="L40" s="1369"/>
      <c r="M40" s="480"/>
    </row>
    <row r="41" spans="2:19" ht="15" thickBot="1">
      <c r="B41" s="1387" t="s">
        <v>759</v>
      </c>
      <c r="C41" s="1388"/>
      <c r="D41" s="1388"/>
      <c r="E41" s="1388">
        <f>SUM(E35:E40)</f>
        <v>121600</v>
      </c>
      <c r="F41" s="1388">
        <f t="shared" ref="F41:J41" si="6">SUM(F35:F40)</f>
        <v>16000</v>
      </c>
      <c r="G41" s="1388">
        <f t="shared" si="6"/>
        <v>17888</v>
      </c>
      <c r="H41" s="1388">
        <f t="shared" si="6"/>
        <v>16586.240000000002</v>
      </c>
      <c r="I41" s="1389"/>
      <c r="J41" s="1388">
        <f t="shared" si="6"/>
        <v>144423.67999999999</v>
      </c>
      <c r="K41" s="392"/>
      <c r="L41" s="1369"/>
      <c r="M41" s="480"/>
    </row>
    <row r="42" spans="2:19">
      <c r="B42" s="1380"/>
      <c r="C42" s="390"/>
      <c r="D42" s="390"/>
      <c r="E42" s="390"/>
      <c r="F42" s="390"/>
      <c r="G42" s="390"/>
      <c r="H42" s="390"/>
      <c r="I42" s="390"/>
      <c r="J42" s="1390"/>
      <c r="K42" s="392"/>
      <c r="L42" s="1369"/>
      <c r="M42" s="480"/>
    </row>
    <row r="43" spans="2:19">
      <c r="B43" s="1380"/>
      <c r="C43" s="390"/>
      <c r="D43" s="390"/>
      <c r="E43" s="390"/>
      <c r="F43" s="390"/>
      <c r="G43" s="390"/>
      <c r="H43" s="390"/>
      <c r="I43" s="390"/>
      <c r="J43" s="390"/>
      <c r="K43" s="392"/>
      <c r="L43" s="1369"/>
      <c r="M43" s="480"/>
    </row>
    <row r="44" spans="2:19">
      <c r="B44" s="1419" t="s">
        <v>787</v>
      </c>
      <c r="C44" s="1420"/>
      <c r="D44" s="1420"/>
      <c r="E44" s="1420"/>
      <c r="F44" s="1420"/>
      <c r="G44" s="1420"/>
      <c r="H44" s="1420"/>
      <c r="I44" s="1420"/>
      <c r="J44" s="1420"/>
      <c r="K44" s="392"/>
      <c r="L44" s="1369"/>
      <c r="M44" s="480"/>
    </row>
    <row r="45" spans="2:19" ht="38.25">
      <c r="B45" s="1381" t="s">
        <v>752</v>
      </c>
      <c r="C45" s="1382" t="s">
        <v>753</v>
      </c>
      <c r="D45" s="1382"/>
      <c r="E45" s="1382" t="str">
        <f>E34</f>
        <v>Annual Base</v>
      </c>
      <c r="F45" s="1382" t="str">
        <f t="shared" ref="F45:I45" si="7">F34</f>
        <v>Salary Bonus</v>
      </c>
      <c r="G45" s="1382" t="str">
        <f t="shared" si="7"/>
        <v>Tax Burden</v>
      </c>
      <c r="H45" s="1382" t="str">
        <f t="shared" si="7"/>
        <v>Health Insurance</v>
      </c>
      <c r="I45" s="1382" t="str">
        <f t="shared" si="7"/>
        <v>Allocation</v>
      </c>
      <c r="J45" s="1383" t="s">
        <v>765</v>
      </c>
      <c r="K45" s="392"/>
      <c r="L45" s="1369"/>
      <c r="M45" s="480"/>
    </row>
    <row r="46" spans="2:19">
      <c r="B46" s="1380" t="s">
        <v>771</v>
      </c>
      <c r="C46" s="1385">
        <f>IF(E46&gt;0,E46/40/52,"")</f>
        <v>35</v>
      </c>
      <c r="D46" s="1385"/>
      <c r="E46" s="1400">
        <v>72800</v>
      </c>
      <c r="F46" s="1400">
        <v>14560</v>
      </c>
      <c r="G46" s="1400">
        <v>15357</v>
      </c>
      <c r="H46" s="1400">
        <v>8293.1200000000008</v>
      </c>
      <c r="I46" s="1402">
        <v>1</v>
      </c>
      <c r="J46" s="1384">
        <f t="shared" ref="J46:J51" si="8">SUM(E46:H46)*I46</f>
        <v>111010.12</v>
      </c>
      <c r="K46" s="392"/>
      <c r="L46" s="1369"/>
      <c r="M46" s="480"/>
    </row>
    <row r="47" spans="2:19">
      <c r="B47" s="1380" t="s">
        <v>772</v>
      </c>
      <c r="C47" s="1385" t="str">
        <f>IF(E47&gt;0,E47/40/52,"")</f>
        <v/>
      </c>
      <c r="D47" s="1385"/>
      <c r="E47" s="1400">
        <v>0</v>
      </c>
      <c r="F47" s="1400">
        <v>0</v>
      </c>
      <c r="G47" s="1400">
        <v>0</v>
      </c>
      <c r="H47" s="1400">
        <v>0</v>
      </c>
      <c r="I47" s="1402">
        <v>0</v>
      </c>
      <c r="J47" s="1384">
        <f t="shared" si="8"/>
        <v>0</v>
      </c>
      <c r="K47" s="392"/>
      <c r="L47" s="1369"/>
      <c r="M47" s="480"/>
    </row>
    <row r="48" spans="2:19">
      <c r="B48" s="1380" t="s">
        <v>773</v>
      </c>
      <c r="C48" s="1385" t="str">
        <f>IF(E48&gt;0,E48/40/52,"")</f>
        <v/>
      </c>
      <c r="D48" s="1385"/>
      <c r="E48" s="1400">
        <v>0</v>
      </c>
      <c r="F48" s="1400">
        <v>0</v>
      </c>
      <c r="G48" s="1400">
        <v>0</v>
      </c>
      <c r="H48" s="1400">
        <v>0</v>
      </c>
      <c r="I48" s="1402">
        <v>0</v>
      </c>
      <c r="J48" s="1384">
        <f t="shared" si="8"/>
        <v>0</v>
      </c>
      <c r="K48" s="392"/>
      <c r="L48" s="1369"/>
      <c r="M48" s="480"/>
    </row>
    <row r="49" spans="2:14">
      <c r="B49" s="1380" t="s">
        <v>773</v>
      </c>
      <c r="C49" s="1385" t="str">
        <f>IF(E49&gt;0,E49/40/52,"")</f>
        <v/>
      </c>
      <c r="D49" s="1385"/>
      <c r="E49" s="1400">
        <v>0</v>
      </c>
      <c r="F49" s="1400">
        <v>0</v>
      </c>
      <c r="G49" s="1400">
        <v>0</v>
      </c>
      <c r="H49" s="1400">
        <v>0</v>
      </c>
      <c r="I49" s="1402">
        <v>0</v>
      </c>
      <c r="J49" s="1384">
        <f t="shared" si="8"/>
        <v>0</v>
      </c>
      <c r="K49" s="392"/>
      <c r="L49" s="1369"/>
      <c r="M49" s="480"/>
    </row>
    <row r="50" spans="2:14">
      <c r="B50" s="1380" t="s">
        <v>774</v>
      </c>
      <c r="C50" s="1385" t="str">
        <f>IF(E50&gt;0,E50/24/52,"")</f>
        <v/>
      </c>
      <c r="D50" s="1385"/>
      <c r="E50" s="1400">
        <v>0</v>
      </c>
      <c r="F50" s="1400">
        <v>0</v>
      </c>
      <c r="G50" s="1400">
        <v>0</v>
      </c>
      <c r="H50" s="1400">
        <v>0</v>
      </c>
      <c r="I50" s="1402">
        <v>0</v>
      </c>
      <c r="J50" s="1384">
        <f t="shared" si="8"/>
        <v>0</v>
      </c>
      <c r="K50" s="392"/>
      <c r="L50" s="1369"/>
      <c r="M50" s="480"/>
    </row>
    <row r="51" spans="2:14">
      <c r="B51" s="1380" t="s">
        <v>775</v>
      </c>
      <c r="C51" s="1385" t="str">
        <f>IF(E51&gt;0,E51/40/52,"")</f>
        <v/>
      </c>
      <c r="D51" s="1385"/>
      <c r="E51" s="1400">
        <v>0</v>
      </c>
      <c r="F51" s="1400">
        <v>0</v>
      </c>
      <c r="G51" s="1400">
        <v>0</v>
      </c>
      <c r="H51" s="1400">
        <v>0</v>
      </c>
      <c r="I51" s="1402">
        <v>0</v>
      </c>
      <c r="J51" s="1384">
        <f t="shared" si="8"/>
        <v>0</v>
      </c>
      <c r="K51" s="392"/>
      <c r="L51" s="1369"/>
      <c r="M51" s="480"/>
    </row>
    <row r="52" spans="2:14" ht="15" thickBot="1">
      <c r="B52" s="1387" t="s">
        <v>760</v>
      </c>
      <c r="C52" s="1388"/>
      <c r="D52" s="1388"/>
      <c r="E52" s="1388">
        <f>SUM(E46:E51)</f>
        <v>72800</v>
      </c>
      <c r="F52" s="1388">
        <f t="shared" ref="F52:J52" si="9">SUM(F46:F51)</f>
        <v>14560</v>
      </c>
      <c r="G52" s="1388">
        <f t="shared" si="9"/>
        <v>15357</v>
      </c>
      <c r="H52" s="1388">
        <f t="shared" si="9"/>
        <v>8293.1200000000008</v>
      </c>
      <c r="I52" s="1389"/>
      <c r="J52" s="1388">
        <f t="shared" si="9"/>
        <v>111010.12</v>
      </c>
      <c r="K52" s="392"/>
      <c r="L52" s="1369"/>
      <c r="M52" s="480"/>
    </row>
    <row r="53" spans="2:14" ht="15" thickBot="1">
      <c r="B53" s="1380"/>
      <c r="C53" s="390"/>
      <c r="D53" s="390"/>
      <c r="E53" s="390"/>
      <c r="F53" s="390"/>
      <c r="G53" s="390"/>
      <c r="H53" s="390"/>
      <c r="I53" s="390"/>
      <c r="J53" s="390"/>
      <c r="K53" s="392"/>
      <c r="L53" s="1369"/>
      <c r="M53" s="480"/>
    </row>
    <row r="54" spans="2:14">
      <c r="B54" s="1380"/>
      <c r="C54" s="390"/>
      <c r="D54" s="390"/>
      <c r="E54" s="1391"/>
      <c r="F54" s="1391"/>
      <c r="G54" s="1391"/>
      <c r="H54" s="1392"/>
      <c r="I54" s="1393" t="s">
        <v>761</v>
      </c>
      <c r="J54" s="1394">
        <f t="shared" ref="J54" si="10">J41+J52</f>
        <v>255433.8</v>
      </c>
      <c r="K54" s="390"/>
      <c r="L54" s="1369"/>
      <c r="M54" s="480"/>
    </row>
    <row r="55" spans="2:14" ht="15" thickBot="1">
      <c r="B55" s="1380"/>
      <c r="C55" s="390"/>
      <c r="D55" s="390"/>
      <c r="E55" s="1391"/>
      <c r="F55" s="1391"/>
      <c r="G55" s="1391"/>
      <c r="H55" s="1395"/>
      <c r="I55" s="1396" t="s">
        <v>762</v>
      </c>
      <c r="J55" s="1397">
        <f>J54/Dashboard!C18</f>
        <v>1949.8763358778624</v>
      </c>
      <c r="K55" s="390"/>
      <c r="L55" s="390"/>
      <c r="M55" s="1369"/>
    </row>
    <row r="56" spans="2:14">
      <c r="B56" s="1398"/>
      <c r="C56" s="1391"/>
      <c r="D56" s="1391"/>
      <c r="E56" s="1391"/>
      <c r="F56" s="1391"/>
      <c r="G56" s="1391"/>
      <c r="H56" s="1391"/>
      <c r="I56" s="390"/>
      <c r="J56" s="390"/>
      <c r="K56" s="390"/>
      <c r="L56" s="390"/>
      <c r="M56" s="1369"/>
    </row>
    <row r="57" spans="2:14" ht="38.25">
      <c r="B57" s="1421" t="s">
        <v>663</v>
      </c>
      <c r="C57" s="1422"/>
      <c r="D57" s="1422"/>
      <c r="E57" s="1423" t="s">
        <v>776</v>
      </c>
      <c r="F57" s="1424" t="s">
        <v>777</v>
      </c>
      <c r="G57" s="1423" t="s">
        <v>778</v>
      </c>
      <c r="H57" s="1423" t="s">
        <v>779</v>
      </c>
      <c r="I57" s="1423" t="s">
        <v>663</v>
      </c>
      <c r="J57" s="1423" t="s">
        <v>780</v>
      </c>
      <c r="K57" s="1423" t="s">
        <v>781</v>
      </c>
      <c r="L57" s="390"/>
      <c r="M57" s="390"/>
    </row>
    <row r="58" spans="2:14" ht="15">
      <c r="B58" s="1355" t="s">
        <v>782</v>
      </c>
      <c r="E58" s="1417">
        <v>100</v>
      </c>
      <c r="F58" s="1355"/>
      <c r="G58" s="1412">
        <v>0.55000000000000004</v>
      </c>
      <c r="H58" s="1403">
        <f>ROUND(G58*Assumptions!C34*Assumptions!J59,0)</f>
        <v>0</v>
      </c>
      <c r="I58" s="1404">
        <f>E58*H58</f>
        <v>0</v>
      </c>
      <c r="J58" s="1404">
        <f>I58*13%</f>
        <v>0</v>
      </c>
      <c r="K58" s="1404">
        <f>I58+J58</f>
        <v>0</v>
      </c>
      <c r="L58" s="390"/>
      <c r="M58" s="390"/>
    </row>
    <row r="59" spans="2:14">
      <c r="B59" s="1355" t="s">
        <v>783</v>
      </c>
      <c r="E59" s="1418">
        <v>125</v>
      </c>
      <c r="F59" s="1413">
        <v>0.41</v>
      </c>
      <c r="G59" s="1355"/>
      <c r="H59" s="1403">
        <f>ROUND(F59*Assumptions!C34*Assumptions!J59,0)</f>
        <v>0</v>
      </c>
      <c r="I59" s="1404">
        <f>E59*H59</f>
        <v>0</v>
      </c>
      <c r="J59" s="1404">
        <f>I59*13%</f>
        <v>0</v>
      </c>
      <c r="K59" s="1404">
        <f>I59+J59</f>
        <v>0</v>
      </c>
      <c r="L59" s="390"/>
      <c r="M59" s="390"/>
    </row>
    <row r="60" spans="2:14" ht="15">
      <c r="B60" s="1405"/>
      <c r="E60" s="1406"/>
      <c r="F60" s="1407"/>
      <c r="G60" s="1405"/>
      <c r="H60" s="1408"/>
      <c r="I60" s="1405"/>
      <c r="J60" s="1405"/>
      <c r="K60" s="1405"/>
      <c r="L60" s="390"/>
      <c r="M60" s="390"/>
    </row>
    <row r="61" spans="2:14" ht="15">
      <c r="B61" s="1355"/>
      <c r="E61" s="1355"/>
      <c r="F61" s="1355"/>
      <c r="G61" s="1409">
        <f>E59*H59</f>
        <v>0</v>
      </c>
      <c r="H61" s="1409">
        <f>E58*H58</f>
        <v>0</v>
      </c>
      <c r="I61" s="1409">
        <f>H61+G61</f>
        <v>0</v>
      </c>
      <c r="J61" s="1410" t="s">
        <v>784</v>
      </c>
      <c r="K61" s="1411">
        <f>SUM(K58:K59)</f>
        <v>0</v>
      </c>
      <c r="L61" s="390"/>
      <c r="M61" s="390"/>
    </row>
    <row r="62" spans="2:14">
      <c r="B62" s="1398"/>
      <c r="C62" s="1391"/>
      <c r="D62" s="1391"/>
      <c r="E62" s="1391"/>
      <c r="F62" s="1391"/>
      <c r="G62" s="1391"/>
      <c r="H62" s="1391"/>
      <c r="I62" s="390"/>
      <c r="J62" s="390"/>
      <c r="K62" s="390"/>
      <c r="L62" s="390"/>
      <c r="M62" s="390"/>
      <c r="N62" s="390"/>
    </row>
    <row r="63" spans="2:14">
      <c r="B63" s="1380"/>
      <c r="C63" s="390"/>
      <c r="D63" s="390"/>
      <c r="E63" s="390"/>
      <c r="F63" s="1370"/>
      <c r="H63" s="390"/>
      <c r="I63" s="390"/>
      <c r="J63" s="1371" t="s">
        <v>763</v>
      </c>
      <c r="K63" s="1372">
        <f>K61</f>
        <v>0</v>
      </c>
      <c r="M63" s="390"/>
      <c r="N63" s="390"/>
    </row>
    <row r="64" spans="2:14">
      <c r="B64" s="1380"/>
      <c r="C64" s="390"/>
      <c r="D64" s="390"/>
      <c r="E64" s="390"/>
      <c r="F64" s="1370"/>
      <c r="H64" s="390"/>
      <c r="I64" s="390"/>
      <c r="J64" s="1371" t="s">
        <v>785</v>
      </c>
      <c r="K64" s="1372">
        <f>K63/Dashboard!C18</f>
        <v>0</v>
      </c>
      <c r="M64" s="390"/>
      <c r="N64" s="390"/>
    </row>
    <row r="65" spans="2:13">
      <c r="B65" s="1380"/>
      <c r="C65" s="390"/>
      <c r="D65" s="390"/>
      <c r="E65" s="390"/>
      <c r="F65" s="1370"/>
      <c r="G65" s="390"/>
      <c r="H65" s="390"/>
      <c r="I65" s="1371"/>
      <c r="J65" s="1372"/>
      <c r="K65" s="390"/>
      <c r="L65" s="1373"/>
      <c r="M65" s="1374"/>
    </row>
    <row r="66" spans="2:13">
      <c r="B66" s="1399"/>
      <c r="C66" s="1375"/>
      <c r="D66" s="1375"/>
      <c r="E66" s="1375"/>
      <c r="F66" s="1375"/>
      <c r="G66" s="1375"/>
      <c r="H66" s="1376"/>
      <c r="I66" s="1376"/>
      <c r="J66" s="1377" t="s">
        <v>764</v>
      </c>
      <c r="K66" s="1378">
        <f>J54+K63</f>
        <v>255433.8</v>
      </c>
      <c r="L66" s="1373"/>
      <c r="M66" s="1374"/>
    </row>
    <row r="67" spans="2:13">
      <c r="B67" s="1399"/>
      <c r="C67" s="1375"/>
      <c r="D67" s="1375"/>
      <c r="E67" s="1375"/>
      <c r="F67" s="1375"/>
      <c r="G67" s="1375"/>
      <c r="H67" s="1375"/>
      <c r="I67" s="1375"/>
      <c r="J67" s="1376" t="s">
        <v>762</v>
      </c>
      <c r="K67" s="1379">
        <f>K66/Dashboard!C18</f>
        <v>1949.8763358778624</v>
      </c>
      <c r="L67" s="1373"/>
      <c r="M67" s="1374"/>
    </row>
    <row r="69" spans="2:13">
      <c r="B69" s="1425" t="s">
        <v>661</v>
      </c>
      <c r="C69" s="1426"/>
      <c r="D69" s="1426"/>
      <c r="E69" s="1427"/>
    </row>
    <row r="70" spans="2:13">
      <c r="B70" s="1356" t="s">
        <v>733</v>
      </c>
      <c r="C70" s="1357" t="s">
        <v>734</v>
      </c>
      <c r="D70" s="390"/>
      <c r="E70" s="1357" t="s">
        <v>735</v>
      </c>
    </row>
    <row r="71" spans="2:13">
      <c r="B71" s="1358" t="s">
        <v>736</v>
      </c>
      <c r="C71" s="1367"/>
      <c r="D71" s="390"/>
      <c r="E71" s="1359">
        <f t="shared" ref="E71:E83" si="11">C71*12</f>
        <v>0</v>
      </c>
    </row>
    <row r="72" spans="2:13">
      <c r="B72" s="1358" t="s">
        <v>737</v>
      </c>
      <c r="C72" s="1367">
        <v>600</v>
      </c>
      <c r="D72" s="390"/>
      <c r="E72" s="1359">
        <f t="shared" si="11"/>
        <v>7200</v>
      </c>
    </row>
    <row r="73" spans="2:13">
      <c r="B73" s="1358" t="s">
        <v>738</v>
      </c>
      <c r="C73" s="1367"/>
      <c r="D73" s="390"/>
      <c r="E73" s="1359">
        <f t="shared" si="11"/>
        <v>0</v>
      </c>
    </row>
    <row r="74" spans="2:13">
      <c r="B74" s="1358" t="s">
        <v>739</v>
      </c>
      <c r="C74" s="1367">
        <f>3*Dashboard!C18</f>
        <v>393</v>
      </c>
      <c r="D74" s="390"/>
      <c r="E74" s="1359">
        <f t="shared" si="11"/>
        <v>4716</v>
      </c>
    </row>
    <row r="75" spans="2:13">
      <c r="B75" s="1358" t="s">
        <v>740</v>
      </c>
      <c r="C75" s="1367"/>
      <c r="D75" s="390"/>
      <c r="E75" s="1359">
        <f t="shared" si="11"/>
        <v>0</v>
      </c>
    </row>
    <row r="76" spans="2:13">
      <c r="B76" s="1358" t="s">
        <v>741</v>
      </c>
      <c r="C76" s="1367">
        <v>1200</v>
      </c>
      <c r="D76" s="390"/>
      <c r="E76" s="1359">
        <f t="shared" si="11"/>
        <v>14400</v>
      </c>
    </row>
    <row r="77" spans="2:13">
      <c r="B77" s="1358" t="s">
        <v>742</v>
      </c>
      <c r="C77" s="1367">
        <v>800</v>
      </c>
      <c r="D77" s="390"/>
      <c r="E77" s="1359">
        <f t="shared" si="11"/>
        <v>9600</v>
      </c>
    </row>
    <row r="78" spans="2:13">
      <c r="B78" s="1358" t="s">
        <v>743</v>
      </c>
      <c r="C78" s="1367"/>
      <c r="D78" s="390"/>
      <c r="E78" s="1359">
        <f t="shared" si="11"/>
        <v>0</v>
      </c>
    </row>
    <row r="79" spans="2:13">
      <c r="B79" s="1358" t="s">
        <v>744</v>
      </c>
      <c r="C79" s="1367"/>
      <c r="D79" s="390"/>
      <c r="E79" s="1359">
        <f t="shared" si="11"/>
        <v>0</v>
      </c>
    </row>
    <row r="80" spans="2:13">
      <c r="B80" s="1358" t="s">
        <v>745</v>
      </c>
      <c r="C80" s="1367">
        <v>0</v>
      </c>
      <c r="D80" s="390"/>
      <c r="E80" s="1359">
        <f t="shared" si="11"/>
        <v>0</v>
      </c>
    </row>
    <row r="81" spans="2:5">
      <c r="B81" s="1358" t="s">
        <v>746</v>
      </c>
      <c r="C81" s="1367"/>
      <c r="D81" s="390"/>
      <c r="E81" s="1359">
        <f t="shared" si="11"/>
        <v>0</v>
      </c>
    </row>
    <row r="82" spans="2:5">
      <c r="B82" s="1358" t="s">
        <v>747</v>
      </c>
      <c r="C82" s="1367">
        <f>(25*Dashboard!C18)/12</f>
        <v>272.91666666666669</v>
      </c>
      <c r="D82" s="390"/>
      <c r="E82" s="1359">
        <f t="shared" si="11"/>
        <v>3275</v>
      </c>
    </row>
    <row r="83" spans="2:5">
      <c r="B83" s="1358" t="s">
        <v>748</v>
      </c>
      <c r="C83" s="1367">
        <v>0</v>
      </c>
      <c r="D83" s="390"/>
      <c r="E83" s="1359">
        <f t="shared" si="11"/>
        <v>0</v>
      </c>
    </row>
    <row r="84" spans="2:5">
      <c r="B84" s="1358"/>
      <c r="C84" s="1367"/>
      <c r="D84" s="390"/>
      <c r="E84" s="1359"/>
    </row>
    <row r="85" spans="2:5" ht="15" thickBot="1">
      <c r="B85" s="1358"/>
      <c r="C85" s="1367"/>
      <c r="D85" s="390"/>
      <c r="E85" s="1359"/>
    </row>
    <row r="86" spans="2:5">
      <c r="B86" s="1363" t="s">
        <v>749</v>
      </c>
      <c r="C86" s="1360"/>
      <c r="D86" s="1364"/>
      <c r="E86" s="1365">
        <f>SUM(E71:E85)</f>
        <v>39191</v>
      </c>
    </row>
    <row r="87" spans="2:5" ht="15" thickBot="1">
      <c r="B87" s="1361"/>
      <c r="C87" s="1362" t="s">
        <v>750</v>
      </c>
      <c r="D87" s="1366"/>
      <c r="E87" s="1368">
        <f>E86/Dashboard!C18</f>
        <v>299.16793893129773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2D75-8512-49B2-A85F-738F5BA6175C}">
  <sheetPr>
    <tabColor theme="3" tint="0.59999389629810485"/>
  </sheetPr>
  <dimension ref="B2:V58"/>
  <sheetViews>
    <sheetView showGridLines="0" zoomScale="80" zoomScaleNormal="80" workbookViewId="0">
      <selection sqref="A1:XFD1048576"/>
    </sheetView>
  </sheetViews>
  <sheetFormatPr defaultRowHeight="15" outlineLevelRow="1"/>
  <cols>
    <col min="1" max="1" width="2.85546875" customWidth="1"/>
    <col min="2" max="2" width="35.5703125" bestFit="1" customWidth="1"/>
    <col min="3" max="3" width="3.7109375" customWidth="1"/>
    <col min="4" max="16" width="15.28515625" customWidth="1"/>
    <col min="18" max="18" width="12.7109375" bestFit="1" customWidth="1"/>
    <col min="21" max="21" width="11.28515625" bestFit="1" customWidth="1"/>
  </cols>
  <sheetData>
    <row r="2" spans="2:22">
      <c r="B2" s="1321" t="s">
        <v>706</v>
      </c>
      <c r="C2" s="1321"/>
      <c r="D2" s="1321"/>
      <c r="E2" s="1321"/>
      <c r="F2" s="1321"/>
      <c r="G2" s="1321"/>
      <c r="H2" s="1321"/>
      <c r="I2" s="1321"/>
      <c r="J2" s="1321"/>
      <c r="K2" s="1321"/>
      <c r="L2" s="1321"/>
      <c r="M2" s="1321"/>
      <c r="N2" s="1321"/>
      <c r="O2" s="1321"/>
      <c r="P2" s="1321"/>
      <c r="U2" s="5"/>
      <c r="V2" s="5"/>
    </row>
    <row r="3" spans="2:22">
      <c r="B3" t="s">
        <v>437</v>
      </c>
      <c r="D3" s="1322">
        <f>Assumptions!C34</f>
        <v>131</v>
      </c>
      <c r="U3" s="1854"/>
      <c r="V3" s="1855"/>
    </row>
    <row r="4" spans="2:22">
      <c r="B4" t="s">
        <v>707</v>
      </c>
      <c r="D4" s="1323">
        <f>Assumptions!F34</f>
        <v>103297</v>
      </c>
      <c r="U4" s="1854"/>
      <c r="V4" s="1855"/>
    </row>
    <row r="5" spans="2:22">
      <c r="B5" t="s">
        <v>708</v>
      </c>
      <c r="D5" s="1323">
        <f>Assumptions!F41</f>
        <v>0</v>
      </c>
      <c r="U5" s="1854"/>
      <c r="V5" s="1855"/>
    </row>
    <row r="6" spans="2:22">
      <c r="B6" t="s">
        <v>698</v>
      </c>
      <c r="D6" s="1323">
        <f>Assumptions!K34</f>
        <v>195551</v>
      </c>
    </row>
    <row r="7" spans="2:22">
      <c r="B7" t="s">
        <v>52</v>
      </c>
      <c r="D7" s="1323">
        <f ca="1">-SUM('Annual-CF'!I88:I91)-'Budget Detail'!K51-'Budget Detail'!K47-'Budget Detail'!K48</f>
        <v>49104534.658092394</v>
      </c>
      <c r="E7" s="37" t="s">
        <v>1205</v>
      </c>
    </row>
    <row r="8" spans="2:22">
      <c r="D8" s="1181"/>
    </row>
    <row r="9" spans="2:22">
      <c r="D9" s="1181"/>
    </row>
    <row r="10" spans="2:22">
      <c r="B10" t="s">
        <v>709</v>
      </c>
      <c r="D10">
        <v>2020</v>
      </c>
      <c r="E10">
        <f>D10+1</f>
        <v>2021</v>
      </c>
      <c r="F10">
        <f t="shared" ref="F10:P11" si="0">E10+1</f>
        <v>2022</v>
      </c>
      <c r="G10">
        <f t="shared" si="0"/>
        <v>2023</v>
      </c>
      <c r="H10">
        <f t="shared" si="0"/>
        <v>2024</v>
      </c>
      <c r="I10">
        <f t="shared" si="0"/>
        <v>2025</v>
      </c>
      <c r="J10">
        <f t="shared" si="0"/>
        <v>2026</v>
      </c>
      <c r="K10">
        <f t="shared" si="0"/>
        <v>2027</v>
      </c>
      <c r="L10">
        <f t="shared" si="0"/>
        <v>2028</v>
      </c>
      <c r="M10">
        <f t="shared" si="0"/>
        <v>2029</v>
      </c>
      <c r="N10">
        <f t="shared" si="0"/>
        <v>2030</v>
      </c>
      <c r="O10">
        <f t="shared" si="0"/>
        <v>2031</v>
      </c>
      <c r="P10">
        <f t="shared" si="0"/>
        <v>2032</v>
      </c>
    </row>
    <row r="11" spans="2:22">
      <c r="B11" s="31" t="s">
        <v>709</v>
      </c>
      <c r="C11" s="31"/>
      <c r="D11" s="31"/>
      <c r="E11" s="31"/>
      <c r="F11" s="31"/>
      <c r="G11" s="1324">
        <v>1</v>
      </c>
      <c r="H11" s="31">
        <f>G11+1</f>
        <v>2</v>
      </c>
      <c r="I11" s="31">
        <f t="shared" si="0"/>
        <v>3</v>
      </c>
      <c r="J11" s="31">
        <f t="shared" si="0"/>
        <v>4</v>
      </c>
      <c r="K11" s="31">
        <f t="shared" si="0"/>
        <v>5</v>
      </c>
      <c r="L11" s="31">
        <f t="shared" si="0"/>
        <v>6</v>
      </c>
      <c r="M11" s="31">
        <f t="shared" si="0"/>
        <v>7</v>
      </c>
      <c r="N11" s="31">
        <f t="shared" si="0"/>
        <v>8</v>
      </c>
      <c r="O11" s="31">
        <f t="shared" si="0"/>
        <v>9</v>
      </c>
      <c r="P11" s="31">
        <f t="shared" si="0"/>
        <v>10</v>
      </c>
    </row>
    <row r="12" spans="2:22" hidden="1" outlineLevel="1">
      <c r="B12" t="s">
        <v>710</v>
      </c>
    </row>
    <row r="13" spans="2:22" collapsed="1">
      <c r="B13" t="s">
        <v>711</v>
      </c>
      <c r="D13" s="1325" t="s">
        <v>712</v>
      </c>
      <c r="E13" s="1325" t="s">
        <v>712</v>
      </c>
      <c r="F13" s="1325" t="s">
        <v>712</v>
      </c>
      <c r="G13" s="1325" t="s">
        <v>712</v>
      </c>
      <c r="H13" s="1325" t="s">
        <v>712</v>
      </c>
      <c r="I13" s="1325" t="s">
        <v>712</v>
      </c>
      <c r="J13" s="1325" t="s">
        <v>712</v>
      </c>
      <c r="K13" s="1325" t="s">
        <v>712</v>
      </c>
      <c r="L13" s="1325" t="s">
        <v>712</v>
      </c>
      <c r="M13" s="1325" t="s">
        <v>712</v>
      </c>
      <c r="N13" s="1325" t="s">
        <v>712</v>
      </c>
      <c r="O13" s="1325" t="s">
        <v>713</v>
      </c>
      <c r="P13" s="1325" t="s">
        <v>713</v>
      </c>
    </row>
    <row r="14" spans="2:22">
      <c r="B14" t="s">
        <v>714</v>
      </c>
      <c r="D14" s="1325"/>
      <c r="E14" s="1325"/>
      <c r="F14" s="1325"/>
      <c r="G14" s="1325"/>
      <c r="H14" s="1325"/>
      <c r="I14" s="1326">
        <v>0</v>
      </c>
      <c r="J14" s="1325"/>
      <c r="K14" s="1325"/>
      <c r="L14" s="1325"/>
      <c r="M14" s="1325"/>
      <c r="N14" s="1326">
        <v>0.1</v>
      </c>
      <c r="O14" s="1325"/>
      <c r="P14" s="1325"/>
    </row>
    <row r="15" spans="2:22">
      <c r="B15" s="1327" t="s">
        <v>715</v>
      </c>
    </row>
    <row r="16" spans="2:22">
      <c r="B16" s="1328" t="s">
        <v>43</v>
      </c>
      <c r="D16" s="1329"/>
      <c r="E16" s="1329"/>
      <c r="F16" s="1329"/>
      <c r="G16" s="1329">
        <f>-'Annual-CF'!L88</f>
        <v>5200000</v>
      </c>
      <c r="H16" s="1329">
        <f>-'Annual-CF'!M88</f>
        <v>0</v>
      </c>
      <c r="I16" s="1329">
        <f>-'Annual-CF'!N88</f>
        <v>0</v>
      </c>
      <c r="J16" s="1329">
        <f>-'Annual-CF'!O88</f>
        <v>0</v>
      </c>
      <c r="K16" s="1329">
        <f>-'Annual-CF'!P88</f>
        <v>0</v>
      </c>
      <c r="L16" s="1329">
        <f>-'Annual-CF'!Q88</f>
        <v>0</v>
      </c>
      <c r="M16" s="1329">
        <f>-'Annual-CF'!R88</f>
        <v>0</v>
      </c>
      <c r="N16" s="1329">
        <f>-'Annual-CF'!S88</f>
        <v>0</v>
      </c>
      <c r="O16" s="1329">
        <f>-'Annual-CF'!T88</f>
        <v>0</v>
      </c>
      <c r="P16" s="1329">
        <f>-'Annual-CF'!U88</f>
        <v>0</v>
      </c>
    </row>
    <row r="17" spans="2:18">
      <c r="B17" s="1328" t="s">
        <v>21</v>
      </c>
      <c r="D17" s="1329"/>
      <c r="E17" s="1329"/>
      <c r="F17" s="1329"/>
      <c r="G17" s="1329">
        <f ca="1">-'Annual-CF'!L89</f>
        <v>22611939.94117647</v>
      </c>
      <c r="H17" s="1329">
        <f ca="1">-'Annual-CF'!M89</f>
        <v>15828357.95882353</v>
      </c>
      <c r="I17" s="1329">
        <f>-'Annual-CF'!N89</f>
        <v>0</v>
      </c>
      <c r="J17" s="1329">
        <f>-'Annual-CF'!O89</f>
        <v>0</v>
      </c>
      <c r="K17" s="1329">
        <f>-'Annual-CF'!P89</f>
        <v>0</v>
      </c>
      <c r="L17" s="1329">
        <f>-'Annual-CF'!Q89</f>
        <v>0</v>
      </c>
      <c r="M17" s="1329">
        <f>-'Annual-CF'!R89</f>
        <v>0</v>
      </c>
      <c r="N17" s="1329">
        <f>-'Annual-CF'!S89</f>
        <v>0</v>
      </c>
      <c r="O17" s="1329">
        <f>-'Annual-CF'!T89</f>
        <v>0</v>
      </c>
      <c r="P17" s="1329">
        <f>-'Annual-CF'!U89</f>
        <v>0</v>
      </c>
    </row>
    <row r="18" spans="2:18">
      <c r="B18" s="1330" t="s">
        <v>20</v>
      </c>
      <c r="C18" s="31"/>
      <c r="D18" s="1331"/>
      <c r="E18" s="1331"/>
      <c r="F18" s="1331"/>
      <c r="G18" s="1331">
        <f ca="1">-'Annual-CF'!L90</f>
        <v>4302683.078669616</v>
      </c>
      <c r="H18" s="1331">
        <f ca="1">-'Annual-CF'!M90</f>
        <v>2346918.0429106993</v>
      </c>
      <c r="I18" s="1331">
        <f>-'Annual-CF'!N90</f>
        <v>0</v>
      </c>
      <c r="J18" s="1331">
        <f>-'Annual-CF'!O90</f>
        <v>0</v>
      </c>
      <c r="K18" s="1331">
        <f>-'Annual-CF'!P90</f>
        <v>0</v>
      </c>
      <c r="L18" s="1331">
        <f>-'Annual-CF'!Q90</f>
        <v>0</v>
      </c>
      <c r="M18" s="1331">
        <f>-'Annual-CF'!R90</f>
        <v>0</v>
      </c>
      <c r="N18" s="1331">
        <f>-'Annual-CF'!S90</f>
        <v>0</v>
      </c>
      <c r="O18" s="1331">
        <f>-'Annual-CF'!T90</f>
        <v>0</v>
      </c>
      <c r="P18" s="1331">
        <f>-'Annual-CF'!U90</f>
        <v>0</v>
      </c>
    </row>
    <row r="19" spans="2:18">
      <c r="B19" s="1328" t="s">
        <v>52</v>
      </c>
      <c r="D19" s="1316">
        <f t="shared" ref="D19:F19" si="1">SUM(D16:D18)</f>
        <v>0</v>
      </c>
      <c r="E19" s="1316">
        <f t="shared" si="1"/>
        <v>0</v>
      </c>
      <c r="F19" s="1316">
        <f t="shared" si="1"/>
        <v>0</v>
      </c>
      <c r="G19" s="1316">
        <f ca="1">SUM(G16:G18)</f>
        <v>32114623.019846085</v>
      </c>
      <c r="H19" s="1316">
        <f t="shared" ref="H19:P19" ca="1" si="2">SUM(H16:H18)</f>
        <v>18175276.001734231</v>
      </c>
      <c r="I19" s="1316">
        <f t="shared" si="2"/>
        <v>0</v>
      </c>
      <c r="J19" s="1316">
        <f t="shared" si="2"/>
        <v>0</v>
      </c>
      <c r="K19" s="1316">
        <f t="shared" si="2"/>
        <v>0</v>
      </c>
      <c r="L19" s="1316">
        <f t="shared" si="2"/>
        <v>0</v>
      </c>
      <c r="M19" s="1316">
        <f t="shared" si="2"/>
        <v>0</v>
      </c>
      <c r="N19" s="1316">
        <f t="shared" si="2"/>
        <v>0</v>
      </c>
      <c r="O19" s="1316">
        <f t="shared" si="2"/>
        <v>0</v>
      </c>
      <c r="P19" s="1316">
        <f t="shared" si="2"/>
        <v>0</v>
      </c>
    </row>
    <row r="20" spans="2:18">
      <c r="B20" s="1328" t="s">
        <v>716</v>
      </c>
      <c r="D20" s="1316">
        <f t="shared" ref="D20:F20" si="3">D19+C20</f>
        <v>0</v>
      </c>
      <c r="E20" s="1316">
        <f t="shared" si="3"/>
        <v>0</v>
      </c>
      <c r="F20" s="1316">
        <f t="shared" si="3"/>
        <v>0</v>
      </c>
      <c r="G20" s="1316">
        <f ca="1">G19+F20</f>
        <v>32114623.019846085</v>
      </c>
      <c r="H20" s="1316">
        <f t="shared" ref="H20:P20" ca="1" si="4">H19+G20</f>
        <v>50289899.021580316</v>
      </c>
      <c r="I20" s="1316">
        <f t="shared" ca="1" si="4"/>
        <v>50289899.021580316</v>
      </c>
      <c r="J20" s="1316">
        <f t="shared" ca="1" si="4"/>
        <v>50289899.021580316</v>
      </c>
      <c r="K20" s="1316">
        <f t="shared" ca="1" si="4"/>
        <v>50289899.021580316</v>
      </c>
      <c r="L20" s="1316">
        <f t="shared" ca="1" si="4"/>
        <v>50289899.021580316</v>
      </c>
      <c r="M20" s="1316">
        <f t="shared" ca="1" si="4"/>
        <v>50289899.021580316</v>
      </c>
      <c r="N20" s="1316">
        <f t="shared" ca="1" si="4"/>
        <v>50289899.021580316</v>
      </c>
      <c r="O20" s="1316">
        <f t="shared" ca="1" si="4"/>
        <v>50289899.021580316</v>
      </c>
      <c r="P20" s="1316">
        <f t="shared" ca="1" si="4"/>
        <v>50289899.021580316</v>
      </c>
    </row>
    <row r="21" spans="2:18">
      <c r="B21" s="1328" t="s">
        <v>717</v>
      </c>
      <c r="D21" s="1332">
        <f t="shared" ref="D21:F21" ca="1" si="5">D20/$D$7</f>
        <v>0</v>
      </c>
      <c r="E21" s="1332">
        <f t="shared" ca="1" si="5"/>
        <v>0</v>
      </c>
      <c r="F21" s="1332">
        <f t="shared" ca="1" si="5"/>
        <v>0</v>
      </c>
      <c r="G21" s="1332">
        <f ca="1">G20/$D$7</f>
        <v>0.65400524093050572</v>
      </c>
      <c r="H21" s="1332">
        <f t="shared" ref="H21:P21" ca="1" si="6">H20/$D$7</f>
        <v>1.024139610969566</v>
      </c>
      <c r="I21" s="1332">
        <f t="shared" ca="1" si="6"/>
        <v>1.024139610969566</v>
      </c>
      <c r="J21" s="1332">
        <f t="shared" ca="1" si="6"/>
        <v>1.024139610969566</v>
      </c>
      <c r="K21" s="1332">
        <f t="shared" ca="1" si="6"/>
        <v>1.024139610969566</v>
      </c>
      <c r="L21" s="1332">
        <f t="shared" ca="1" si="6"/>
        <v>1.024139610969566</v>
      </c>
      <c r="M21" s="1332">
        <f t="shared" ca="1" si="6"/>
        <v>1.024139610969566</v>
      </c>
      <c r="N21" s="1332">
        <f t="shared" ca="1" si="6"/>
        <v>1.024139610969566</v>
      </c>
      <c r="O21" s="1332">
        <f t="shared" ca="1" si="6"/>
        <v>1.024139610969566</v>
      </c>
      <c r="P21" s="1332">
        <f t="shared" ca="1" si="6"/>
        <v>1.024139610969566</v>
      </c>
      <c r="R21" s="1333"/>
    </row>
    <row r="22" spans="2:18">
      <c r="B22" s="1328" t="s">
        <v>43</v>
      </c>
    </row>
    <row r="23" spans="2:18">
      <c r="B23" s="1334" t="s">
        <v>43</v>
      </c>
      <c r="D23" s="1335">
        <v>1</v>
      </c>
      <c r="E23" s="1335">
        <v>1</v>
      </c>
      <c r="F23" s="1335">
        <v>1</v>
      </c>
      <c r="G23" s="1335">
        <v>1</v>
      </c>
      <c r="H23" s="1335">
        <v>1</v>
      </c>
      <c r="I23" s="1335">
        <v>1</v>
      </c>
      <c r="J23" s="1335">
        <v>1</v>
      </c>
      <c r="K23" s="1335">
        <v>1</v>
      </c>
      <c r="L23" s="1335">
        <v>1</v>
      </c>
      <c r="M23" s="1335">
        <v>1</v>
      </c>
      <c r="N23" s="1335">
        <v>1</v>
      </c>
      <c r="O23" s="1335">
        <v>1</v>
      </c>
      <c r="P23" s="1335">
        <v>1</v>
      </c>
    </row>
    <row r="24" spans="2:18">
      <c r="B24" s="1334" t="s">
        <v>21</v>
      </c>
      <c r="D24" s="1335">
        <v>1</v>
      </c>
      <c r="E24" s="1335">
        <v>1</v>
      </c>
      <c r="F24" s="1335">
        <v>1</v>
      </c>
      <c r="G24" s="1335">
        <v>1</v>
      </c>
      <c r="H24" s="1335">
        <v>1</v>
      </c>
      <c r="I24" s="1335">
        <v>1</v>
      </c>
      <c r="J24" s="1335">
        <v>1</v>
      </c>
      <c r="K24" s="1335">
        <v>1</v>
      </c>
      <c r="L24" s="1335">
        <v>1</v>
      </c>
      <c r="M24" s="1335">
        <v>1</v>
      </c>
      <c r="N24" s="1335">
        <v>1</v>
      </c>
      <c r="O24" s="1335">
        <v>1</v>
      </c>
      <c r="P24" s="1335">
        <v>1</v>
      </c>
    </row>
    <row r="25" spans="2:18">
      <c r="B25" s="1336" t="s">
        <v>20</v>
      </c>
      <c r="C25" s="31"/>
      <c r="D25" s="1337">
        <v>0.5</v>
      </c>
      <c r="E25" s="1337">
        <v>0.5</v>
      </c>
      <c r="F25" s="1337">
        <v>0.5</v>
      </c>
      <c r="G25" s="1337">
        <v>0.5</v>
      </c>
      <c r="H25" s="1337">
        <v>0.5</v>
      </c>
      <c r="I25" s="1337">
        <v>0.5</v>
      </c>
      <c r="J25" s="1337">
        <v>0.5</v>
      </c>
      <c r="K25" s="1337">
        <v>0.5</v>
      </c>
      <c r="L25" s="1337">
        <v>0.5</v>
      </c>
      <c r="M25" s="1337">
        <v>0.5</v>
      </c>
      <c r="N25" s="1337">
        <v>0.5</v>
      </c>
      <c r="O25" s="1337">
        <v>0.5</v>
      </c>
      <c r="P25" s="1337">
        <v>0.5</v>
      </c>
    </row>
    <row r="26" spans="2:18">
      <c r="B26" s="1334" t="s">
        <v>718</v>
      </c>
      <c r="D26" s="1181">
        <f>(D16*D23)+(D24*D17)+(D25*D18)</f>
        <v>0</v>
      </c>
      <c r="E26" s="1181">
        <f t="shared" ref="E26:F26" si="7">(E16*E23)+(E24*E17)+(E25*E18)</f>
        <v>0</v>
      </c>
      <c r="F26" s="1181">
        <f t="shared" si="7"/>
        <v>0</v>
      </c>
      <c r="G26" s="1181">
        <f>(G23*SUM($D$16:G16))+(G24*SUM($D$17:F17))+(G25*SUM($D$18:F18))</f>
        <v>5200000</v>
      </c>
      <c r="H26" s="1181">
        <f ca="1">(H23*SUM($D$16:H16))+(H24*SUM($D$17:G17))+(H25*SUM($D$18:G18))</f>
        <v>29963281.480511278</v>
      </c>
      <c r="I26" s="1181">
        <f ca="1">(I23*SUM($D$16:I16))+(I24*SUM($D$17:H17))+(I25*SUM($D$18:H18))</f>
        <v>46965098.460790157</v>
      </c>
      <c r="J26" s="1181">
        <f ca="1">(J23*SUM($D$16:J16))+(J24*SUM($D$17:I17))+(J25*SUM($D$18:I18))</f>
        <v>46965098.460790157</v>
      </c>
      <c r="K26" s="1181">
        <f ca="1">(K23*SUM($D$16:K16))+(K24*SUM($D$17:J17))+(K25*SUM($D$18:J18))</f>
        <v>46965098.460790157</v>
      </c>
      <c r="L26" s="1181">
        <f ca="1">(L23*SUM($D$16:L16))+(L24*SUM($D$17:K17))+(L25*SUM($D$18:K18))</f>
        <v>46965098.460790157</v>
      </c>
      <c r="M26" s="1181">
        <f ca="1">(M23*SUM($D$16:M16))+(M24*SUM($D$17:L17))+(M25*SUM($D$18:L18))</f>
        <v>46965098.460790157</v>
      </c>
      <c r="N26" s="1181">
        <f ca="1">(N23*SUM($D$16:N16))+(N24*SUM($D$17:M17))+(N25*SUM($D$18:M18))</f>
        <v>46965098.460790157</v>
      </c>
      <c r="O26" s="1181">
        <f ca="1">(O23*SUM($D$16:O16))+(O24*SUM($D$17:N17))+(O25*SUM($D$18:N18))</f>
        <v>46965098.460790157</v>
      </c>
      <c r="P26" s="1181">
        <f ca="1">(P23*SUM($D$16:P16))+(P24*SUM($D$17:O17))+(P25*SUM($D$18:O18))</f>
        <v>46965098.460790157</v>
      </c>
    </row>
    <row r="27" spans="2:18">
      <c r="B27" s="1327" t="s">
        <v>719</v>
      </c>
      <c r="D27" s="1181"/>
      <c r="E27" s="1181"/>
      <c r="F27" s="1181"/>
      <c r="G27" s="1181"/>
      <c r="H27" s="1181"/>
      <c r="I27" s="1181"/>
      <c r="J27" s="1181"/>
      <c r="K27" s="1181"/>
      <c r="L27" s="1181"/>
      <c r="M27" s="1181"/>
      <c r="N27" s="1181"/>
      <c r="O27" s="1181"/>
      <c r="P27" s="1181"/>
    </row>
    <row r="28" spans="2:18">
      <c r="B28" s="1334" t="s">
        <v>720</v>
      </c>
      <c r="D28" s="1338"/>
      <c r="E28" s="1338"/>
      <c r="F28" s="1338"/>
      <c r="G28" s="1338">
        <f ca="1">'Annual-CF'!L44</f>
        <v>0</v>
      </c>
      <c r="H28" s="1338">
        <f ca="1">'Annual-CF'!M44</f>
        <v>726160.52931783197</v>
      </c>
      <c r="I28" s="1338">
        <f ca="1">'Annual-CF'!N44</f>
        <v>3338285.6778895007</v>
      </c>
      <c r="J28" s="1338">
        <f ca="1">'Annual-CF'!O44</f>
        <v>4327984.841741194</v>
      </c>
      <c r="K28" s="1338">
        <f ca="1">'Annual-CF'!P44</f>
        <v>4361818.0820642086</v>
      </c>
      <c r="L28" s="1338">
        <f ca="1">'Annual-CF'!Q44</f>
        <v>4382340.2267960068</v>
      </c>
      <c r="M28" s="1338">
        <f ca="1">'Annual-CF'!R44</f>
        <v>4417944.5411504516</v>
      </c>
      <c r="N28" s="1338">
        <f ca="1">'Annual-CF'!S44</f>
        <v>4532549.8617299926</v>
      </c>
      <c r="O28" s="1338">
        <f ca="1">'Annual-CF'!T44</f>
        <v>4428311.2431395343</v>
      </c>
      <c r="P28" s="1338">
        <f ca="1">'Annual-CF'!U44</f>
        <v>4541489.0832965681</v>
      </c>
    </row>
    <row r="29" spans="2:18">
      <c r="B29" s="1334" t="s">
        <v>721</v>
      </c>
      <c r="D29" s="1338"/>
      <c r="E29" s="1338"/>
      <c r="F29" s="1338"/>
      <c r="G29" s="1338"/>
      <c r="H29" s="1338"/>
      <c r="I29" s="1338"/>
      <c r="J29" s="1338"/>
      <c r="K29" s="1338"/>
      <c r="L29" s="1338"/>
      <c r="M29" s="1338"/>
      <c r="N29" s="1338"/>
      <c r="O29" s="1338"/>
      <c r="P29" s="1338"/>
    </row>
    <row r="30" spans="2:18">
      <c r="B30" s="1334" t="s">
        <v>722</v>
      </c>
      <c r="D30" s="1335">
        <v>0.06</v>
      </c>
      <c r="E30" s="1335">
        <v>0.06</v>
      </c>
      <c r="F30" s="1335">
        <v>0.06</v>
      </c>
      <c r="G30" s="1335">
        <v>0.06</v>
      </c>
      <c r="H30" s="1335">
        <v>0.06</v>
      </c>
      <c r="I30" s="1335">
        <v>0.06</v>
      </c>
      <c r="J30" s="1335">
        <v>0.06</v>
      </c>
      <c r="K30" s="1335">
        <v>0.06</v>
      </c>
      <c r="L30" s="1335">
        <v>0.06</v>
      </c>
      <c r="M30" s="1335">
        <v>0.06</v>
      </c>
      <c r="N30" s="1335">
        <v>0.06</v>
      </c>
      <c r="O30" s="1335">
        <v>0.06</v>
      </c>
      <c r="P30" s="1335">
        <v>0.06</v>
      </c>
    </row>
    <row r="31" spans="2:18" outlineLevel="1">
      <c r="B31" s="1334" t="s">
        <v>723</v>
      </c>
      <c r="D31" s="1339">
        <v>330</v>
      </c>
      <c r="E31" s="1339">
        <v>330</v>
      </c>
      <c r="F31" s="1339">
        <v>330</v>
      </c>
      <c r="G31" s="1339">
        <v>330</v>
      </c>
      <c r="H31" s="1339">
        <v>330</v>
      </c>
      <c r="I31" s="1339">
        <v>330</v>
      </c>
      <c r="J31" s="1339">
        <v>330</v>
      </c>
      <c r="K31" s="1339">
        <v>330</v>
      </c>
      <c r="L31" s="1339">
        <v>330</v>
      </c>
      <c r="M31" s="1339">
        <v>330</v>
      </c>
      <c r="N31" s="1339">
        <v>330</v>
      </c>
      <c r="O31" s="1339">
        <v>330</v>
      </c>
      <c r="P31" s="1339">
        <v>330</v>
      </c>
    </row>
    <row r="32" spans="2:18">
      <c r="B32" s="1334" t="s">
        <v>724</v>
      </c>
      <c r="D32" s="1181">
        <f>D28/D30</f>
        <v>0</v>
      </c>
      <c r="E32" s="1181">
        <f t="shared" ref="E32:P32" si="8">E28/E30</f>
        <v>0</v>
      </c>
      <c r="F32" s="1181">
        <f t="shared" si="8"/>
        <v>0</v>
      </c>
      <c r="G32" s="1181">
        <f t="shared" ca="1" si="8"/>
        <v>0</v>
      </c>
      <c r="H32" s="1181">
        <f t="shared" ca="1" si="8"/>
        <v>12102675.488630533</v>
      </c>
      <c r="I32" s="1181">
        <f t="shared" ca="1" si="8"/>
        <v>55638094.631491683</v>
      </c>
      <c r="J32" s="1181">
        <f t="shared" ca="1" si="8"/>
        <v>72133080.695686564</v>
      </c>
      <c r="K32" s="1181">
        <f t="shared" ca="1" si="8"/>
        <v>72696968.034403473</v>
      </c>
      <c r="L32" s="1181">
        <f t="shared" ca="1" si="8"/>
        <v>73039003.779933453</v>
      </c>
      <c r="M32" s="1181">
        <f t="shared" ca="1" si="8"/>
        <v>73632409.019174203</v>
      </c>
      <c r="N32" s="1181">
        <f t="shared" ca="1" si="8"/>
        <v>75542497.695499882</v>
      </c>
      <c r="O32" s="1181">
        <f t="shared" ca="1" si="8"/>
        <v>73805187.385658905</v>
      </c>
      <c r="P32" s="1181">
        <f t="shared" ca="1" si="8"/>
        <v>75691484.721609473</v>
      </c>
    </row>
    <row r="33" spans="2:16">
      <c r="B33" s="1336" t="s">
        <v>725</v>
      </c>
      <c r="C33" s="31"/>
      <c r="D33" s="1340">
        <f>IF(D29&gt;0,$D$5*D31,0)</f>
        <v>0</v>
      </c>
      <c r="E33" s="1340">
        <f t="shared" ref="E33:P33" si="9">IF(E29&gt;0,$D$5*E31,0)</f>
        <v>0</v>
      </c>
      <c r="F33" s="1340">
        <f t="shared" si="9"/>
        <v>0</v>
      </c>
      <c r="G33" s="1340">
        <f t="shared" si="9"/>
        <v>0</v>
      </c>
      <c r="H33" s="1340">
        <f t="shared" si="9"/>
        <v>0</v>
      </c>
      <c r="I33" s="1340">
        <f t="shared" si="9"/>
        <v>0</v>
      </c>
      <c r="J33" s="1340">
        <f t="shared" si="9"/>
        <v>0</v>
      </c>
      <c r="K33" s="1340">
        <f t="shared" si="9"/>
        <v>0</v>
      </c>
      <c r="L33" s="1340">
        <f t="shared" si="9"/>
        <v>0</v>
      </c>
      <c r="M33" s="1340">
        <f t="shared" si="9"/>
        <v>0</v>
      </c>
      <c r="N33" s="1340">
        <f t="shared" si="9"/>
        <v>0</v>
      </c>
      <c r="O33" s="1340">
        <f t="shared" si="9"/>
        <v>0</v>
      </c>
      <c r="P33" s="1340">
        <f t="shared" si="9"/>
        <v>0</v>
      </c>
    </row>
    <row r="34" spans="2:16">
      <c r="B34" s="1334" t="s">
        <v>726</v>
      </c>
      <c r="D34" s="1181">
        <f>SUM(D32:D33)</f>
        <v>0</v>
      </c>
      <c r="E34" s="1181">
        <f t="shared" ref="E34:P34" si="10">SUM(E32:E33)</f>
        <v>0</v>
      </c>
      <c r="F34" s="1181">
        <f t="shared" si="10"/>
        <v>0</v>
      </c>
      <c r="G34" s="1181">
        <f t="shared" ca="1" si="10"/>
        <v>0</v>
      </c>
      <c r="H34" s="1181">
        <f t="shared" ca="1" si="10"/>
        <v>12102675.488630533</v>
      </c>
      <c r="I34" s="1181">
        <f t="shared" ca="1" si="10"/>
        <v>55638094.631491683</v>
      </c>
      <c r="J34" s="1181">
        <f t="shared" ca="1" si="10"/>
        <v>72133080.695686564</v>
      </c>
      <c r="K34" s="1181">
        <f t="shared" ca="1" si="10"/>
        <v>72696968.034403473</v>
      </c>
      <c r="L34" s="1181">
        <f t="shared" ca="1" si="10"/>
        <v>73039003.779933453</v>
      </c>
      <c r="M34" s="1181">
        <f t="shared" ca="1" si="10"/>
        <v>73632409.019174203</v>
      </c>
      <c r="N34" s="1181">
        <f t="shared" ca="1" si="10"/>
        <v>75542497.695499882</v>
      </c>
      <c r="O34" s="1181">
        <f t="shared" ca="1" si="10"/>
        <v>73805187.385658905</v>
      </c>
      <c r="P34" s="1181">
        <f t="shared" ca="1" si="10"/>
        <v>75691484.721609473</v>
      </c>
    </row>
    <row r="35" spans="2:16">
      <c r="B35" s="1334"/>
      <c r="D35" s="1181"/>
      <c r="E35" s="1181"/>
      <c r="F35" s="1181"/>
      <c r="G35" s="1181"/>
      <c r="H35" s="1181"/>
      <c r="I35" s="1181"/>
      <c r="J35" s="1181"/>
      <c r="K35" s="1181"/>
      <c r="L35" s="1181"/>
      <c r="M35" s="1181"/>
      <c r="N35" s="1181"/>
      <c r="O35" s="1181"/>
      <c r="P35" s="1181"/>
    </row>
    <row r="36" spans="2:16">
      <c r="B36" s="1341" t="s">
        <v>727</v>
      </c>
      <c r="D36" s="1181">
        <f>IF(D13="Cost",D26,IF(D13="Income",D34,0))*(1+SUM($D$14:D14))</f>
        <v>0</v>
      </c>
      <c r="E36" s="1181">
        <f>IF(E13="Cost",E26,IF(E13="Income",E34,0))*(1+SUM($D$14:E14))</f>
        <v>0</v>
      </c>
      <c r="F36" s="1181">
        <f>IF(F13="Cost",F26,IF(F13="Income",F34,0))*(1+SUM($D$14:F14))</f>
        <v>0</v>
      </c>
      <c r="G36" s="1181">
        <f>IF(G13="Cost",G26,IF(G13="Income",G34,0))*(1+SUM($D$14:G14))</f>
        <v>5200000</v>
      </c>
      <c r="H36" s="1181">
        <f ca="1">IF(H13="Cost",H26,IF(H13="Income",H34,0))*(1+SUM($D$14:H14))</f>
        <v>29963281.480511278</v>
      </c>
      <c r="I36" s="1181">
        <f ca="1">IF(I13="Cost",I26,IF(I13="Income",I34,0))*(1+SUM($D$14:I14))</f>
        <v>46965098.460790157</v>
      </c>
      <c r="J36" s="1181">
        <f ca="1">IF(J13="Cost",J26,IF(J13="Income",J34,0))*(1+SUM($D$14:J14))</f>
        <v>46965098.460790157</v>
      </c>
      <c r="K36" s="1181">
        <f ca="1">IF(K13="Cost",K26,IF(K13="Income",K34,0))*(1+SUM($D$14:K14))</f>
        <v>46965098.460790157</v>
      </c>
      <c r="L36" s="1181">
        <f ca="1">IF(L13="Cost",L26,IF(L13="Income",L34,0))*(1+SUM($D$14:L14))</f>
        <v>46965098.460790157</v>
      </c>
      <c r="M36" s="1181">
        <f ca="1">IF(M13="Cost",M26,IF(M13="Income",M34,0))*(1+SUM($D$14:M14))</f>
        <v>46965098.460790157</v>
      </c>
      <c r="N36" s="1181">
        <f ca="1">IF(N13="Cost",N26,IF(N13="Income",N34,0))*(1+SUM($D$14:N14))</f>
        <v>51661608.306869179</v>
      </c>
      <c r="O36" s="1181">
        <f ca="1">IF(O13="Cost",O26,IF(O13="Income",O34,0))*(1+SUM($D$14:O14))</f>
        <v>81185706.124224797</v>
      </c>
      <c r="P36" s="1181">
        <f ca="1">IF(P13="Cost",P26,IF(P13="Income",P34,0))*(1+SUM($D$14:P14))</f>
        <v>83260633.193770424</v>
      </c>
    </row>
    <row r="37" spans="2:16">
      <c r="B37" s="1328" t="s">
        <v>231</v>
      </c>
      <c r="D37" s="1181">
        <f>D26/$D$3</f>
        <v>0</v>
      </c>
      <c r="E37" s="1181">
        <f t="shared" ref="E37:P37" si="11">E26/$D$3</f>
        <v>0</v>
      </c>
      <c r="F37" s="1181">
        <f t="shared" si="11"/>
        <v>0</v>
      </c>
      <c r="G37" s="1181">
        <f t="shared" si="11"/>
        <v>39694.656488549619</v>
      </c>
      <c r="H37" s="1181">
        <f t="shared" ca="1" si="11"/>
        <v>228727.3395458876</v>
      </c>
      <c r="I37" s="1181">
        <f t="shared" ca="1" si="11"/>
        <v>358512.20199076459</v>
      </c>
      <c r="J37" s="1181">
        <f t="shared" ca="1" si="11"/>
        <v>358512.20199076459</v>
      </c>
      <c r="K37" s="1181">
        <f t="shared" ca="1" si="11"/>
        <v>358512.20199076459</v>
      </c>
      <c r="L37" s="1181">
        <f t="shared" ca="1" si="11"/>
        <v>358512.20199076459</v>
      </c>
      <c r="M37" s="1181">
        <f t="shared" ca="1" si="11"/>
        <v>358512.20199076459</v>
      </c>
      <c r="N37" s="1181">
        <f t="shared" ca="1" si="11"/>
        <v>358512.20199076459</v>
      </c>
      <c r="O37" s="1181">
        <f t="shared" ca="1" si="11"/>
        <v>358512.20199076459</v>
      </c>
      <c r="P37" s="1181">
        <f t="shared" ca="1" si="11"/>
        <v>358512.20199076459</v>
      </c>
    </row>
    <row r="38" spans="2:16">
      <c r="B38" s="1328" t="s">
        <v>692</v>
      </c>
      <c r="D38" s="1335">
        <v>0.4</v>
      </c>
      <c r="E38" s="1335">
        <v>0.4</v>
      </c>
      <c r="F38" s="1335">
        <v>0.4</v>
      </c>
      <c r="G38" s="1335">
        <v>0.4</v>
      </c>
      <c r="H38" s="1335">
        <v>0.4</v>
      </c>
      <c r="I38" s="1335">
        <v>0.4</v>
      </c>
      <c r="J38" s="1335">
        <v>0.4</v>
      </c>
      <c r="K38" s="1335">
        <v>0.4</v>
      </c>
      <c r="L38" s="1335">
        <v>0.4</v>
      </c>
      <c r="M38" s="1335">
        <v>0.4</v>
      </c>
      <c r="N38" s="1335">
        <v>0.4</v>
      </c>
      <c r="O38" s="1335">
        <v>0.4</v>
      </c>
      <c r="P38" s="1335">
        <v>0.4</v>
      </c>
    </row>
    <row r="39" spans="2:16">
      <c r="B39" s="1328" t="s">
        <v>728</v>
      </c>
      <c r="D39" s="1181">
        <f>D36*D38</f>
        <v>0</v>
      </c>
      <c r="E39" s="1181">
        <f t="shared" ref="E39:P39" si="12">E36*E38</f>
        <v>0</v>
      </c>
      <c r="F39" s="1181">
        <f t="shared" si="12"/>
        <v>0</v>
      </c>
      <c r="G39" s="1181">
        <f t="shared" si="12"/>
        <v>2080000</v>
      </c>
      <c r="H39" s="1181">
        <f t="shared" ca="1" si="12"/>
        <v>11985312.592204511</v>
      </c>
      <c r="I39" s="1181">
        <f t="shared" ca="1" si="12"/>
        <v>18786039.384316064</v>
      </c>
      <c r="J39" s="1181">
        <f t="shared" ca="1" si="12"/>
        <v>18786039.384316064</v>
      </c>
      <c r="K39" s="1181">
        <f t="shared" ca="1" si="12"/>
        <v>18786039.384316064</v>
      </c>
      <c r="L39" s="1181">
        <f t="shared" ca="1" si="12"/>
        <v>18786039.384316064</v>
      </c>
      <c r="M39" s="1181">
        <f t="shared" ca="1" si="12"/>
        <v>18786039.384316064</v>
      </c>
      <c r="N39" s="1181">
        <f t="shared" ca="1" si="12"/>
        <v>20664643.322747674</v>
      </c>
      <c r="O39" s="1181">
        <f t="shared" ca="1" si="12"/>
        <v>32474282.449689921</v>
      </c>
      <c r="P39" s="1181">
        <f t="shared" ca="1" si="12"/>
        <v>33304253.277508169</v>
      </c>
    </row>
    <row r="40" spans="2:16">
      <c r="B40" s="1328" t="s">
        <v>232</v>
      </c>
      <c r="D40" s="1181"/>
      <c r="E40" s="1181"/>
      <c r="F40" s="1181"/>
      <c r="G40" s="1181"/>
      <c r="H40" s="1181"/>
      <c r="I40" s="1181"/>
      <c r="J40" s="1181"/>
      <c r="K40" s="1181"/>
      <c r="L40" s="1181"/>
      <c r="M40" s="1181"/>
      <c r="N40" s="1181"/>
      <c r="O40" s="1181"/>
      <c r="P40" s="1181"/>
    </row>
    <row r="41" spans="2:16">
      <c r="B41" s="1328" t="s">
        <v>729</v>
      </c>
      <c r="D41" s="1181"/>
      <c r="E41" s="1186"/>
      <c r="F41" s="1350"/>
      <c r="G41" s="1350">
        <f>(G42-F42)/F42</f>
        <v>5.0092194222496446E-3</v>
      </c>
      <c r="H41" s="1350">
        <f t="shared" ref="H41" si="13">(H42-G42)/G42</f>
        <v>4.9842522092773279E-3</v>
      </c>
      <c r="I41" s="1342">
        <v>-0.2</v>
      </c>
      <c r="J41" s="1342">
        <v>5.0000000000000001E-3</v>
      </c>
      <c r="K41" s="1342">
        <v>5.0000000000000001E-3</v>
      </c>
      <c r="L41" s="1342">
        <v>5.0000000000000001E-3</v>
      </c>
      <c r="M41" s="1342">
        <v>5.0000000000000001E-3</v>
      </c>
      <c r="N41" s="1342">
        <v>-0.15</v>
      </c>
      <c r="O41" s="1342">
        <v>5.0000000000000001E-3</v>
      </c>
      <c r="P41" s="1342">
        <v>5.0000000000000001E-3</v>
      </c>
    </row>
    <row r="42" spans="2:16">
      <c r="B42" s="1330" t="s">
        <v>232</v>
      </c>
      <c r="C42" s="31"/>
      <c r="D42" s="1343"/>
      <c r="E42" s="1343"/>
      <c r="F42" s="1343">
        <v>3.2539999999999999E-2</v>
      </c>
      <c r="G42" s="1343">
        <v>3.2703000000000003E-2</v>
      </c>
      <c r="H42" s="1343">
        <v>3.2865999999999999E-2</v>
      </c>
      <c r="I42" s="1351">
        <f t="shared" ref="I42:P42" si="14">H42*(1+I41)</f>
        <v>2.6292800000000002E-2</v>
      </c>
      <c r="J42" s="1351">
        <f t="shared" si="14"/>
        <v>2.6424263999999999E-2</v>
      </c>
      <c r="K42" s="1351">
        <f t="shared" si="14"/>
        <v>2.6556385319999997E-2</v>
      </c>
      <c r="L42" s="1351">
        <f t="shared" si="14"/>
        <v>2.6689167246599994E-2</v>
      </c>
      <c r="M42" s="1351">
        <f t="shared" si="14"/>
        <v>2.6822613082832989E-2</v>
      </c>
      <c r="N42" s="1351">
        <f t="shared" si="14"/>
        <v>2.2799221120408039E-2</v>
      </c>
      <c r="O42" s="1351">
        <f t="shared" si="14"/>
        <v>2.2913217226010078E-2</v>
      </c>
      <c r="P42" s="1351">
        <f t="shared" si="14"/>
        <v>2.3027783312140126E-2</v>
      </c>
    </row>
    <row r="43" spans="2:16">
      <c r="B43" s="1344" t="s">
        <v>730</v>
      </c>
      <c r="C43" s="1345"/>
      <c r="D43" s="1346">
        <f t="shared" ref="D43:F43" si="15">D42*D39</f>
        <v>0</v>
      </c>
      <c r="E43" s="1346">
        <f t="shared" si="15"/>
        <v>0</v>
      </c>
      <c r="F43" s="1346">
        <f t="shared" si="15"/>
        <v>0</v>
      </c>
      <c r="G43" s="1346">
        <f>G42*G39</f>
        <v>68022.240000000005</v>
      </c>
      <c r="H43" s="1346">
        <f t="shared" ref="H43:P43" ca="1" si="16">H42*H39</f>
        <v>393909.28365539346</v>
      </c>
      <c r="I43" s="1346">
        <f t="shared" ca="1" si="16"/>
        <v>493937.57632394542</v>
      </c>
      <c r="J43" s="1346">
        <f t="shared" ca="1" si="16"/>
        <v>496407.26420556515</v>
      </c>
      <c r="K43" s="1346">
        <f t="shared" ca="1" si="16"/>
        <v>498889.30052659294</v>
      </c>
      <c r="L43" s="1346">
        <f t="shared" ca="1" si="16"/>
        <v>501383.74702922581</v>
      </c>
      <c r="M43" s="1346">
        <f t="shared" ca="1" si="16"/>
        <v>503890.66576437186</v>
      </c>
      <c r="N43" s="1346">
        <f t="shared" ca="1" si="16"/>
        <v>471137.77248968772</v>
      </c>
      <c r="O43" s="1346">
        <f t="shared" ca="1" si="16"/>
        <v>744090.28802855185</v>
      </c>
      <c r="P43" s="1346">
        <f t="shared" ca="1" si="16"/>
        <v>766923.12784709071</v>
      </c>
    </row>
    <row r="44" spans="2:16">
      <c r="B44" s="1347" t="s">
        <v>731</v>
      </c>
      <c r="C44" s="1348"/>
      <c r="D44" s="1349">
        <f>D43/$D$3</f>
        <v>0</v>
      </c>
      <c r="E44" s="1349">
        <f t="shared" ref="E44:P44" si="17">E43/$D$3</f>
        <v>0</v>
      </c>
      <c r="F44" s="1349">
        <f t="shared" si="17"/>
        <v>0</v>
      </c>
      <c r="G44" s="1349">
        <f t="shared" si="17"/>
        <v>519.25374045801527</v>
      </c>
      <c r="H44" s="1349">
        <f t="shared" ca="1" si="17"/>
        <v>3006.9410966060568</v>
      </c>
      <c r="I44" s="1349">
        <f t="shared" ca="1" si="17"/>
        <v>3770.5158498011101</v>
      </c>
      <c r="J44" s="1349">
        <f t="shared" ca="1" si="17"/>
        <v>3789.3684290501155</v>
      </c>
      <c r="K44" s="1349">
        <f t="shared" ca="1" si="17"/>
        <v>3808.3152711953658</v>
      </c>
      <c r="L44" s="1349">
        <f t="shared" ca="1" si="17"/>
        <v>3827.3568475513421</v>
      </c>
      <c r="M44" s="1349">
        <f t="shared" ca="1" si="17"/>
        <v>3846.4936317890983</v>
      </c>
      <c r="N44" s="1349">
        <f t="shared" ca="1" si="17"/>
        <v>3596.4715457228072</v>
      </c>
      <c r="O44" s="1349">
        <f t="shared" ca="1" si="17"/>
        <v>5680.0785345690983</v>
      </c>
      <c r="P44" s="1349">
        <f t="shared" ca="1" si="17"/>
        <v>5854.3750217335173</v>
      </c>
    </row>
    <row r="46" spans="2:16">
      <c r="G46" s="1314"/>
      <c r="H46" s="1314"/>
      <c r="I46" s="1314"/>
      <c r="J46" s="1314"/>
      <c r="K46" s="1314"/>
      <c r="L46" s="1314"/>
      <c r="M46" s="1314"/>
      <c r="N46" s="1314"/>
      <c r="O46" s="1314"/>
      <c r="P46" s="1314"/>
    </row>
    <row r="52" spans="2:11">
      <c r="D52" s="1314"/>
      <c r="K52" s="4"/>
    </row>
    <row r="53" spans="2:11">
      <c r="B53" s="930"/>
      <c r="G53" s="1353"/>
      <c r="K53" s="4"/>
    </row>
    <row r="54" spans="2:11">
      <c r="B54" s="4"/>
      <c r="G54" s="4"/>
      <c r="K54" s="1183"/>
    </row>
    <row r="55" spans="2:11">
      <c r="K55" s="1183"/>
    </row>
    <row r="56" spans="2:11">
      <c r="G56" s="1183"/>
      <c r="I56" s="1352"/>
    </row>
    <row r="58" spans="2:11">
      <c r="K58" s="118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78B8-BF79-485C-84DC-4C40D3A98156}">
  <sheetPr>
    <tabColor theme="3" tint="0.59999389629810485"/>
  </sheetPr>
  <dimension ref="A2:I28"/>
  <sheetViews>
    <sheetView showGridLines="0" workbookViewId="0">
      <selection activeCell="H6" sqref="H6"/>
    </sheetView>
  </sheetViews>
  <sheetFormatPr defaultColWidth="12.42578125" defaultRowHeight="12.75"/>
  <cols>
    <col min="1" max="1" width="2.7109375" style="1487" customWidth="1"/>
    <col min="2" max="3" width="20.42578125" style="1485" customWidth="1"/>
    <col min="4" max="4" width="14.140625" style="1485" bestFit="1" customWidth="1"/>
    <col min="5" max="5" width="14.42578125" style="1504" bestFit="1" customWidth="1"/>
    <col min="6" max="6" width="12.42578125" style="1504"/>
    <col min="7" max="7" width="12.42578125" style="1505"/>
    <col min="8" max="8" width="12.42578125" style="1487"/>
    <col min="9" max="9" width="2.42578125" style="1485" customWidth="1"/>
    <col min="10" max="16384" width="12.42578125" style="1485"/>
  </cols>
  <sheetData>
    <row r="2" spans="2:9" ht="16.5" thickBot="1">
      <c r="B2" s="1482" t="str">
        <f>'Assumptions MH'!$B$2</f>
        <v>1425 4th Ave (Nashville, TN) | Mint House Management Agreement Model</v>
      </c>
      <c r="C2" s="1483"/>
      <c r="D2" s="1483"/>
      <c r="E2" s="1484"/>
      <c r="F2" s="1484"/>
      <c r="G2" s="1484"/>
      <c r="H2" s="1484"/>
      <c r="I2" s="1483"/>
    </row>
    <row r="3" spans="2:9" ht="15" thickTop="1">
      <c r="B3" s="1486" t="s">
        <v>1139</v>
      </c>
      <c r="E3" s="1487"/>
      <c r="F3" s="1487"/>
      <c r="G3" s="1487"/>
    </row>
    <row r="5" spans="2:9">
      <c r="B5" s="1488" t="s">
        <v>796</v>
      </c>
      <c r="C5" s="1489" t="s">
        <v>797</v>
      </c>
      <c r="D5" s="1489" t="s">
        <v>798</v>
      </c>
      <c r="E5" s="1490" t="s">
        <v>799</v>
      </c>
      <c r="F5" s="1490" t="s">
        <v>800</v>
      </c>
      <c r="G5" s="1491" t="s">
        <v>801</v>
      </c>
      <c r="H5" s="1492" t="s">
        <v>802</v>
      </c>
    </row>
    <row r="6" spans="2:9">
      <c r="B6" s="1493" t="s">
        <v>803</v>
      </c>
      <c r="C6" s="1494" t="s">
        <v>804</v>
      </c>
      <c r="D6" s="1494" t="s">
        <v>805</v>
      </c>
      <c r="E6" s="1495">
        <v>4</v>
      </c>
      <c r="F6" s="1495">
        <v>59</v>
      </c>
      <c r="G6" s="1496">
        <v>170048.79</v>
      </c>
      <c r="H6" s="1497">
        <f t="shared" ref="H6:H27" si="0">+G6/F6</f>
        <v>2882.1828813559323</v>
      </c>
    </row>
    <row r="7" spans="2:9">
      <c r="B7" s="1493" t="s">
        <v>806</v>
      </c>
      <c r="C7" s="1494" t="s">
        <v>807</v>
      </c>
      <c r="D7" s="1494" t="s">
        <v>805</v>
      </c>
      <c r="E7" s="1495">
        <v>4</v>
      </c>
      <c r="F7" s="1495">
        <v>205</v>
      </c>
      <c r="G7" s="1496">
        <v>598476.5</v>
      </c>
      <c r="H7" s="1497">
        <f t="shared" si="0"/>
        <v>2919.3975609756098</v>
      </c>
    </row>
    <row r="8" spans="2:9">
      <c r="B8" s="1493" t="s">
        <v>808</v>
      </c>
      <c r="C8" s="1494" t="s">
        <v>809</v>
      </c>
      <c r="D8" s="1494" t="s">
        <v>805</v>
      </c>
      <c r="E8" s="1495">
        <v>4</v>
      </c>
      <c r="F8" s="1495">
        <v>164</v>
      </c>
      <c r="G8" s="1496">
        <v>497293.38</v>
      </c>
      <c r="H8" s="1497">
        <f t="shared" si="0"/>
        <v>3032.276707317073</v>
      </c>
    </row>
    <row r="9" spans="2:9">
      <c r="B9" s="1493" t="s">
        <v>810</v>
      </c>
      <c r="C9" s="1494" t="s">
        <v>811</v>
      </c>
      <c r="D9" s="1494" t="s">
        <v>805</v>
      </c>
      <c r="E9" s="1495">
        <v>4</v>
      </c>
      <c r="F9" s="1495">
        <v>78</v>
      </c>
      <c r="G9" s="1496">
        <v>119687.15</v>
      </c>
      <c r="H9" s="1497">
        <f t="shared" si="0"/>
        <v>1534.4506410256411</v>
      </c>
    </row>
    <row r="10" spans="2:9">
      <c r="B10" s="1493" t="s">
        <v>812</v>
      </c>
      <c r="C10" s="1494" t="s">
        <v>813</v>
      </c>
      <c r="D10" s="1494" t="s">
        <v>805</v>
      </c>
      <c r="E10" s="1495">
        <v>4</v>
      </c>
      <c r="F10" s="1495">
        <v>15</v>
      </c>
      <c r="G10" s="1496">
        <v>42263.95</v>
      </c>
      <c r="H10" s="1497">
        <f t="shared" si="0"/>
        <v>2817.5966666666664</v>
      </c>
    </row>
    <row r="11" spans="2:9">
      <c r="B11" s="1493" t="s">
        <v>814</v>
      </c>
      <c r="C11" s="1494" t="s">
        <v>815</v>
      </c>
      <c r="D11" s="1494" t="s">
        <v>805</v>
      </c>
      <c r="E11" s="1495">
        <v>4</v>
      </c>
      <c r="F11" s="1495">
        <v>194</v>
      </c>
      <c r="G11" s="1496">
        <v>464648.31</v>
      </c>
      <c r="H11" s="1497">
        <f t="shared" si="0"/>
        <v>2395.094381443299</v>
      </c>
    </row>
    <row r="12" spans="2:9">
      <c r="B12" s="1493" t="s">
        <v>816</v>
      </c>
      <c r="C12" s="1494" t="s">
        <v>817</v>
      </c>
      <c r="D12" s="1494" t="s">
        <v>805</v>
      </c>
      <c r="E12" s="1495">
        <v>4</v>
      </c>
      <c r="F12" s="1495">
        <v>208</v>
      </c>
      <c r="G12" s="1496">
        <v>599390.55000000005</v>
      </c>
      <c r="H12" s="1497">
        <f t="shared" si="0"/>
        <v>2881.6853365384618</v>
      </c>
    </row>
    <row r="13" spans="2:9">
      <c r="B13" s="1493" t="s">
        <v>818</v>
      </c>
      <c r="C13" s="1494" t="s">
        <v>819</v>
      </c>
      <c r="D13" s="1494" t="s">
        <v>805</v>
      </c>
      <c r="E13" s="1495">
        <v>4</v>
      </c>
      <c r="F13" s="1495">
        <v>210</v>
      </c>
      <c r="G13" s="1496">
        <v>726755.85</v>
      </c>
      <c r="H13" s="1497">
        <f t="shared" si="0"/>
        <v>3460.7421428571429</v>
      </c>
    </row>
    <row r="14" spans="2:9">
      <c r="B14" s="1493" t="s">
        <v>820</v>
      </c>
      <c r="C14" s="1494" t="s">
        <v>821</v>
      </c>
      <c r="D14" s="1494" t="s">
        <v>805</v>
      </c>
      <c r="E14" s="1495">
        <v>4</v>
      </c>
      <c r="F14" s="1495">
        <v>118</v>
      </c>
      <c r="G14" s="1496">
        <v>726755.85</v>
      </c>
      <c r="H14" s="1497">
        <f t="shared" si="0"/>
        <v>6158.9478813559317</v>
      </c>
    </row>
    <row r="15" spans="2:9">
      <c r="B15" s="1493" t="s">
        <v>822</v>
      </c>
      <c r="C15" s="1494" t="s">
        <v>823</v>
      </c>
      <c r="D15" s="1494" t="s">
        <v>805</v>
      </c>
      <c r="E15" s="1495">
        <v>4</v>
      </c>
      <c r="F15" s="1495">
        <v>19</v>
      </c>
      <c r="G15" s="1496">
        <v>177025.92000000001</v>
      </c>
      <c r="H15" s="1497">
        <f t="shared" si="0"/>
        <v>9317.153684210527</v>
      </c>
    </row>
    <row r="16" spans="2:9">
      <c r="B16" s="1493" t="s">
        <v>824</v>
      </c>
      <c r="C16" s="1494" t="s">
        <v>825</v>
      </c>
      <c r="D16" s="1494" t="s">
        <v>805</v>
      </c>
      <c r="E16" s="1495">
        <v>4</v>
      </c>
      <c r="F16" s="1495">
        <v>100</v>
      </c>
      <c r="G16" s="1496">
        <v>861673</v>
      </c>
      <c r="H16" s="1497">
        <f t="shared" si="0"/>
        <v>8616.73</v>
      </c>
    </row>
    <row r="17" spans="1:8">
      <c r="B17" s="1493" t="s">
        <v>826</v>
      </c>
      <c r="C17" s="1494" t="s">
        <v>827</v>
      </c>
      <c r="D17" s="1494" t="s">
        <v>805</v>
      </c>
      <c r="E17" s="1495">
        <v>4</v>
      </c>
      <c r="F17" s="1495">
        <v>192</v>
      </c>
      <c r="G17" s="1496">
        <v>505390.6</v>
      </c>
      <c r="H17" s="1497">
        <f t="shared" si="0"/>
        <v>2632.2427083333332</v>
      </c>
    </row>
    <row r="18" spans="1:8">
      <c r="B18" s="1493" t="s">
        <v>828</v>
      </c>
      <c r="C18" s="1494" t="s">
        <v>829</v>
      </c>
      <c r="D18" s="1494" t="s">
        <v>805</v>
      </c>
      <c r="E18" s="1495">
        <v>4</v>
      </c>
      <c r="F18" s="1495">
        <v>315</v>
      </c>
      <c r="G18" s="1496">
        <v>967023.15</v>
      </c>
      <c r="H18" s="1497">
        <f t="shared" si="0"/>
        <v>3069.9147619047621</v>
      </c>
    </row>
    <row r="19" spans="1:8">
      <c r="B19" s="1493" t="s">
        <v>830</v>
      </c>
      <c r="C19" s="1494" t="s">
        <v>831</v>
      </c>
      <c r="D19" s="1494" t="s">
        <v>805</v>
      </c>
      <c r="E19" s="1495">
        <v>4</v>
      </c>
      <c r="F19" s="1495">
        <v>145</v>
      </c>
      <c r="G19" s="1496">
        <v>383975.28</v>
      </c>
      <c r="H19" s="1497">
        <f t="shared" si="0"/>
        <v>2648.1053793103451</v>
      </c>
    </row>
    <row r="20" spans="1:8">
      <c r="B20" s="1493" t="s">
        <v>832</v>
      </c>
      <c r="C20" s="1494" t="s">
        <v>833</v>
      </c>
      <c r="D20" s="1494" t="s">
        <v>805</v>
      </c>
      <c r="E20" s="1495">
        <v>4</v>
      </c>
      <c r="F20" s="1495">
        <v>105</v>
      </c>
      <c r="G20" s="1496">
        <v>244436.49</v>
      </c>
      <c r="H20" s="1497">
        <f t="shared" si="0"/>
        <v>2327.9665714285711</v>
      </c>
    </row>
    <row r="21" spans="1:8">
      <c r="B21" s="1493" t="s">
        <v>834</v>
      </c>
      <c r="C21" s="1494" t="s">
        <v>835</v>
      </c>
      <c r="D21" s="1494" t="s">
        <v>805</v>
      </c>
      <c r="E21" s="1495">
        <v>4</v>
      </c>
      <c r="F21" s="1495">
        <v>201</v>
      </c>
      <c r="G21" s="1496">
        <v>593946.94999999995</v>
      </c>
      <c r="H21" s="1497">
        <f t="shared" si="0"/>
        <v>2954.9599502487558</v>
      </c>
    </row>
    <row r="22" spans="1:8">
      <c r="B22" s="1493" t="s">
        <v>836</v>
      </c>
      <c r="C22" s="1494" t="s">
        <v>837</v>
      </c>
      <c r="D22" s="1494" t="s">
        <v>805</v>
      </c>
      <c r="E22" s="1495">
        <v>5</v>
      </c>
      <c r="F22" s="1495">
        <v>47</v>
      </c>
      <c r="G22" s="1496">
        <v>400245.61</v>
      </c>
      <c r="H22" s="1497">
        <f t="shared" si="0"/>
        <v>8515.8640425531903</v>
      </c>
    </row>
    <row r="23" spans="1:8">
      <c r="B23" s="1493" t="s">
        <v>838</v>
      </c>
      <c r="C23" s="1494" t="s">
        <v>839</v>
      </c>
      <c r="D23" s="1494" t="s">
        <v>805</v>
      </c>
      <c r="E23" s="1495">
        <v>4</v>
      </c>
      <c r="F23" s="1495">
        <v>262</v>
      </c>
      <c r="G23" s="1496">
        <v>831660.33</v>
      </c>
      <c r="H23" s="1497">
        <f t="shared" si="0"/>
        <v>3174.2760687022901</v>
      </c>
    </row>
    <row r="24" spans="1:8">
      <c r="B24" s="1493" t="s">
        <v>840</v>
      </c>
      <c r="C24" s="1494" t="s">
        <v>841</v>
      </c>
      <c r="D24" s="1494" t="s">
        <v>805</v>
      </c>
      <c r="E24" s="1495">
        <v>4</v>
      </c>
      <c r="F24" s="1495">
        <v>287</v>
      </c>
      <c r="G24" s="1496">
        <v>358848.37</v>
      </c>
      <c r="H24" s="1497">
        <f t="shared" si="0"/>
        <v>1250.3427526132405</v>
      </c>
    </row>
    <row r="25" spans="1:8">
      <c r="B25" s="1493" t="s">
        <v>842</v>
      </c>
      <c r="C25" s="1494" t="s">
        <v>843</v>
      </c>
      <c r="D25" s="1494" t="s">
        <v>805</v>
      </c>
      <c r="E25" s="1495">
        <v>4</v>
      </c>
      <c r="F25" s="1495">
        <v>139</v>
      </c>
      <c r="G25" s="1496">
        <v>277972.78000000003</v>
      </c>
      <c r="H25" s="1497">
        <f t="shared" si="0"/>
        <v>1999.8041726618708</v>
      </c>
    </row>
    <row r="26" spans="1:8">
      <c r="B26" s="1493" t="s">
        <v>844</v>
      </c>
      <c r="C26" s="1494" t="s">
        <v>845</v>
      </c>
      <c r="D26" s="1494" t="s">
        <v>805</v>
      </c>
      <c r="E26" s="1495">
        <v>4</v>
      </c>
      <c r="F26" s="1495">
        <v>226</v>
      </c>
      <c r="G26" s="1496">
        <v>767071.99</v>
      </c>
      <c r="H26" s="1497">
        <f t="shared" si="0"/>
        <v>3394.1238495575221</v>
      </c>
    </row>
    <row r="27" spans="1:8">
      <c r="B27" s="1493" t="s">
        <v>846</v>
      </c>
      <c r="C27" s="1494" t="s">
        <v>847</v>
      </c>
      <c r="D27" s="1494" t="s">
        <v>805</v>
      </c>
      <c r="E27" s="1495">
        <v>4</v>
      </c>
      <c r="F27" s="1495">
        <v>45</v>
      </c>
      <c r="G27" s="1496">
        <v>54997.71</v>
      </c>
      <c r="H27" s="1497">
        <f t="shared" si="0"/>
        <v>1222.1713333333332</v>
      </c>
    </row>
    <row r="28" spans="1:8" s="1503" customFormat="1">
      <c r="A28" s="1487"/>
      <c r="B28" s="1498" t="s">
        <v>848</v>
      </c>
      <c r="C28" s="1499"/>
      <c r="D28" s="1499"/>
      <c r="E28" s="1499"/>
      <c r="F28" s="1500">
        <f>SUM(F6:F27)</f>
        <v>3334</v>
      </c>
      <c r="G28" s="1501">
        <f>SUMPRODUCT(G6:G27,F6:F27)/F28</f>
        <v>576937.08370725857</v>
      </c>
      <c r="H28" s="1502">
        <f>AVERAGE(H6:H27)</f>
        <v>3600.274067017886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05E7-AD76-4C68-A4B6-42526AFE0602}">
  <sheetPr>
    <tabColor theme="3" tint="0.59999389629810485"/>
    <outlinePr summaryBelow="0" summaryRight="0"/>
  </sheetPr>
  <dimension ref="A1:J1006"/>
  <sheetViews>
    <sheetView showGridLines="0" zoomScaleNormal="100" workbookViewId="0">
      <selection activeCell="D45" sqref="D45"/>
    </sheetView>
  </sheetViews>
  <sheetFormatPr defaultColWidth="12.42578125" defaultRowHeight="15.75" customHeight="1"/>
  <cols>
    <col min="1" max="1" width="2.7109375" style="1916" customWidth="1"/>
    <col min="2" max="2" width="23.85546875" style="1917" customWidth="1"/>
    <col min="3" max="6" width="12.7109375" style="1917" customWidth="1"/>
    <col min="7" max="7" width="14.5703125" style="1917" customWidth="1"/>
    <col min="8" max="8" width="17.42578125" style="1917" bestFit="1" customWidth="1"/>
    <col min="9" max="9" width="2.42578125" style="1917" customWidth="1"/>
    <col min="10" max="16384" width="12.42578125" style="1917"/>
  </cols>
  <sheetData>
    <row r="1" spans="2:10" ht="12.95" customHeight="1"/>
    <row r="2" spans="2:10" ht="15.75" customHeight="1" thickBot="1">
      <c r="B2" s="1918" t="str">
        <f>'Assumptions MH'!$B$2</f>
        <v>1425 4th Ave (Nashville, TN) | Mint House Management Agreement Model</v>
      </c>
      <c r="C2" s="1919"/>
      <c r="D2" s="1919"/>
      <c r="E2" s="1919"/>
      <c r="F2" s="1919"/>
      <c r="G2" s="1919"/>
      <c r="H2" s="1919"/>
      <c r="I2" s="1919"/>
    </row>
    <row r="3" spans="2:10" ht="15.75" customHeight="1" thickTop="1">
      <c r="B3" s="1920" t="s">
        <v>1138</v>
      </c>
      <c r="C3" s="1864"/>
      <c r="D3" s="1864"/>
      <c r="E3" s="1864"/>
      <c r="F3" s="1864"/>
      <c r="G3" s="1864"/>
      <c r="H3" s="1864"/>
      <c r="I3" s="1864"/>
    </row>
    <row r="5" spans="2:10" ht="15.75" customHeight="1">
      <c r="B5" s="1921" t="s">
        <v>849</v>
      </c>
      <c r="C5" s="1922"/>
      <c r="D5" s="1923">
        <f>+'Assumptions MH'!G31</f>
        <v>131</v>
      </c>
      <c r="E5" s="1924"/>
      <c r="F5" s="1921" t="s">
        <v>850</v>
      </c>
      <c r="G5" s="1922"/>
      <c r="H5" s="1925" t="str">
        <f>+'Assumptions MH'!G8</f>
        <v>Nashville</v>
      </c>
      <c r="I5" s="1924"/>
      <c r="J5" s="1924"/>
    </row>
    <row r="6" spans="2:10" ht="15.75" customHeight="1">
      <c r="B6" s="1926"/>
      <c r="C6" s="1926"/>
      <c r="D6" s="1927"/>
      <c r="E6" s="1924"/>
      <c r="F6" s="1926"/>
      <c r="G6" s="1926"/>
      <c r="H6" s="1928"/>
      <c r="I6" s="1924"/>
      <c r="J6" s="1924"/>
    </row>
    <row r="7" spans="2:10" ht="15.75" customHeight="1">
      <c r="B7" s="1921" t="s">
        <v>851</v>
      </c>
      <c r="C7" s="1929"/>
      <c r="D7" s="1930">
        <f>+D5+63+18</f>
        <v>212</v>
      </c>
      <c r="E7" s="1924"/>
      <c r="F7" s="1921" t="s">
        <v>852</v>
      </c>
      <c r="G7" s="1929"/>
      <c r="H7" s="1931" t="str">
        <f>+'Assumptions MH'!G12</f>
        <v>Wedgewood-Houston</v>
      </c>
      <c r="I7" s="1924"/>
      <c r="J7" s="1924"/>
    </row>
    <row r="8" spans="2:10" ht="15.75" customHeight="1">
      <c r="B8" s="1926"/>
      <c r="C8" s="1926"/>
      <c r="D8" s="1932"/>
      <c r="E8" s="1924"/>
      <c r="F8" s="1926"/>
      <c r="G8" s="1926"/>
      <c r="H8" s="1928"/>
      <c r="I8" s="1924"/>
      <c r="J8" s="1924"/>
    </row>
    <row r="9" spans="2:10" ht="15.75" customHeight="1">
      <c r="B9" s="1933" t="s">
        <v>853</v>
      </c>
      <c r="C9" s="1934"/>
      <c r="D9" s="1935" t="s">
        <v>1136</v>
      </c>
      <c r="E9" s="1924"/>
      <c r="F9" s="1933" t="s">
        <v>854</v>
      </c>
      <c r="G9" s="1934"/>
      <c r="H9" s="1936" t="s">
        <v>1137</v>
      </c>
      <c r="I9" s="1924"/>
      <c r="J9" s="1924"/>
    </row>
    <row r="10" spans="2:10" ht="15.75" customHeight="1">
      <c r="B10" s="1924"/>
      <c r="C10" s="1924"/>
      <c r="D10" s="1924"/>
      <c r="E10" s="1937"/>
      <c r="F10" s="1924"/>
      <c r="G10" s="1924"/>
      <c r="H10" s="1924"/>
      <c r="I10" s="1924"/>
      <c r="J10" s="1924"/>
    </row>
    <row r="11" spans="2:10" ht="15.75" customHeight="1">
      <c r="B11" s="1981" t="s">
        <v>855</v>
      </c>
      <c r="C11" s="1957"/>
      <c r="D11" s="1982">
        <f>YEAR('Assumptions MH'!G20)</f>
        <v>2025</v>
      </c>
      <c r="E11" s="1924"/>
      <c r="F11" s="1981" t="s">
        <v>856</v>
      </c>
      <c r="G11" s="1957"/>
      <c r="H11" s="1983">
        <v>40</v>
      </c>
      <c r="I11" s="1924"/>
      <c r="J11" s="1924"/>
    </row>
    <row r="12" spans="2:10" ht="15.75" customHeight="1">
      <c r="B12" s="1979"/>
      <c r="C12" s="1979"/>
      <c r="D12" s="1928"/>
      <c r="E12" s="1924"/>
      <c r="F12" s="1979"/>
      <c r="G12" s="1979"/>
      <c r="H12" s="1980"/>
      <c r="I12" s="1924"/>
      <c r="J12" s="1924"/>
    </row>
    <row r="13" spans="2:10" ht="15.75" customHeight="1">
      <c r="B13" s="1938" t="s">
        <v>1208</v>
      </c>
      <c r="C13" s="1939"/>
      <c r="D13" s="1939"/>
      <c r="E13" s="1939"/>
      <c r="F13" s="1939"/>
      <c r="G13" s="1939"/>
      <c r="H13" s="1940"/>
      <c r="I13" s="1924"/>
      <c r="J13" s="1924"/>
    </row>
    <row r="14" spans="2:10" ht="3" customHeight="1">
      <c r="B14" s="1924"/>
      <c r="C14" s="1924"/>
      <c r="D14" s="1924"/>
      <c r="E14" s="1924"/>
      <c r="F14" s="1924"/>
      <c r="G14" s="1924"/>
      <c r="H14" s="1924"/>
      <c r="I14" s="1924"/>
    </row>
    <row r="15" spans="2:10" ht="15.75" customHeight="1">
      <c r="B15" s="1990" t="s">
        <v>857</v>
      </c>
      <c r="C15" s="1991"/>
      <c r="D15" s="1991"/>
      <c r="E15" s="1991"/>
      <c r="F15" s="1991"/>
      <c r="G15" s="1991"/>
      <c r="H15" s="1992"/>
      <c r="I15" s="1924"/>
    </row>
    <row r="16" spans="2:10" ht="25.5">
      <c r="B16" s="1984" t="s">
        <v>858</v>
      </c>
      <c r="C16" s="1985" t="s">
        <v>859</v>
      </c>
      <c r="D16" s="1985" t="s">
        <v>860</v>
      </c>
      <c r="E16" s="1985" t="s">
        <v>861</v>
      </c>
      <c r="F16" s="1985" t="s">
        <v>862</v>
      </c>
      <c r="G16" s="1985" t="s">
        <v>863</v>
      </c>
      <c r="H16" s="1986" t="s">
        <v>864</v>
      </c>
      <c r="I16" s="1924"/>
    </row>
    <row r="17" spans="1:9" ht="15.75" customHeight="1">
      <c r="B17" s="1941" t="s">
        <v>865</v>
      </c>
      <c r="C17" s="1971" t="s">
        <v>866</v>
      </c>
      <c r="D17" s="1972">
        <v>1</v>
      </c>
      <c r="E17" s="1942">
        <f ca="1">25*$H$11*52*((1+'Assumptions MH'!$T$9)^(YEAR('Assumptions MH'!$G$20)-YEAR(TODAY())))</f>
        <v>55166.799999999996</v>
      </c>
      <c r="F17" s="1943">
        <f ca="1">E17*1.11+4500</f>
        <v>65735.148000000001</v>
      </c>
      <c r="G17" s="1943">
        <f t="shared" ref="G17:G19" ca="1" si="0">F17*D17</f>
        <v>65735.148000000001</v>
      </c>
      <c r="H17" s="1944">
        <f t="shared" ref="H17:H19" ca="1" si="1">G17/$D$5/12</f>
        <v>41.816251908396943</v>
      </c>
      <c r="I17" s="1945"/>
    </row>
    <row r="18" spans="1:9" ht="15.75" customHeight="1">
      <c r="B18" s="1941" t="s">
        <v>867</v>
      </c>
      <c r="C18" s="1971" t="s">
        <v>866</v>
      </c>
      <c r="D18" s="1972">
        <v>4</v>
      </c>
      <c r="E18" s="1942">
        <f ca="1">25*$H$11*52*((1+'Assumptions MH'!$T$9)^(YEAR('Assumptions MH'!$G$20)-YEAR(TODAY())))</f>
        <v>55166.799999999996</v>
      </c>
      <c r="F18" s="1943">
        <f t="shared" ref="F18:F19" ca="1" si="2">E18*1.11+4500</f>
        <v>65735.148000000001</v>
      </c>
      <c r="G18" s="1943">
        <f t="shared" ca="1" si="0"/>
        <v>262940.592</v>
      </c>
      <c r="H18" s="1944">
        <f t="shared" ca="1" si="1"/>
        <v>167.26500763358777</v>
      </c>
      <c r="I18" s="1924"/>
    </row>
    <row r="19" spans="1:9" ht="15.75" customHeight="1">
      <c r="B19" s="1941" t="s">
        <v>868</v>
      </c>
      <c r="C19" s="1971" t="s">
        <v>866</v>
      </c>
      <c r="D19" s="1972">
        <v>2</v>
      </c>
      <c r="E19" s="1942">
        <f ca="1">27*$H$11*52*((1+'Assumptions MH'!$T$9)^(YEAR('Assumptions MH'!$G$20)-YEAR(TODAY())))</f>
        <v>59580.144</v>
      </c>
      <c r="F19" s="1943">
        <f t="shared" ca="1" si="2"/>
        <v>70633.95984000001</v>
      </c>
      <c r="G19" s="1943">
        <f t="shared" ca="1" si="0"/>
        <v>141267.91968000002</v>
      </c>
      <c r="H19" s="1944">
        <f t="shared" ca="1" si="1"/>
        <v>89.865088854961854</v>
      </c>
      <c r="I19" s="1945"/>
    </row>
    <row r="20" spans="1:9" ht="15.75" customHeight="1">
      <c r="B20" s="1946" t="s">
        <v>11</v>
      </c>
      <c r="C20" s="1973"/>
      <c r="D20" s="1973">
        <f>SUM(D17:D19)</f>
        <v>7</v>
      </c>
      <c r="E20" s="1947">
        <f ca="1">SUM(E17:E19)</f>
        <v>169913.74400000001</v>
      </c>
      <c r="F20" s="1947">
        <f ca="1">SUM(F17:F19)</f>
        <v>202104.25584</v>
      </c>
      <c r="G20" s="1947">
        <f ca="1">SUM(G17:G19)</f>
        <v>469943.65968000004</v>
      </c>
      <c r="H20" s="1948">
        <f ca="1">SUM(H17:H19)</f>
        <v>298.94634839694658</v>
      </c>
      <c r="I20" s="1945"/>
    </row>
    <row r="21" spans="1:9" ht="3" customHeight="1">
      <c r="B21" s="1924"/>
      <c r="C21" s="1971"/>
      <c r="D21" s="1971"/>
      <c r="E21" s="1971"/>
      <c r="F21" s="1971"/>
      <c r="G21" s="1971"/>
      <c r="H21" s="1971"/>
      <c r="I21" s="1924"/>
    </row>
    <row r="22" spans="1:9" ht="15.75" customHeight="1">
      <c r="B22" s="1990" t="s">
        <v>869</v>
      </c>
      <c r="C22" s="1990"/>
      <c r="D22" s="1990"/>
      <c r="E22" s="1990"/>
      <c r="F22" s="1990"/>
      <c r="G22" s="1990"/>
      <c r="H22" s="1990"/>
      <c r="I22" s="1924"/>
    </row>
    <row r="23" spans="1:9" ht="25.5">
      <c r="B23" s="1984" t="s">
        <v>858</v>
      </c>
      <c r="C23" s="1985" t="s">
        <v>859</v>
      </c>
      <c r="D23" s="1985" t="s">
        <v>860</v>
      </c>
      <c r="E23" s="1985" t="s">
        <v>861</v>
      </c>
      <c r="F23" s="1985" t="s">
        <v>862</v>
      </c>
      <c r="G23" s="1985" t="s">
        <v>863</v>
      </c>
      <c r="H23" s="1986" t="s">
        <v>864</v>
      </c>
      <c r="I23" s="1924"/>
    </row>
    <row r="24" spans="1:9" ht="15.75" customHeight="1">
      <c r="B24" s="1949" t="s">
        <v>870</v>
      </c>
      <c r="C24" s="1974" t="s">
        <v>866</v>
      </c>
      <c r="D24" s="1975">
        <v>1</v>
      </c>
      <c r="E24" s="1950">
        <f ca="1">135000*((1+'Assumptions MH'!$T$9)^(YEAR('Assumptions MH'!$G$20)-YEAR(TODAY())))</f>
        <v>143221.5</v>
      </c>
      <c r="F24" s="1951">
        <f ca="1">E24*1.11+6000</f>
        <v>164975.86500000002</v>
      </c>
      <c r="G24" s="1951">
        <f ca="1">F24*D24*($D$5/$D$7)</f>
        <v>101942.63356132078</v>
      </c>
      <c r="H24" s="1952">
        <f t="shared" ref="H24:H27" ca="1" si="3">G24/$D$5/12</f>
        <v>64.849003537735868</v>
      </c>
      <c r="I24" s="1924"/>
    </row>
    <row r="25" spans="1:9" ht="15.75" customHeight="1">
      <c r="B25" s="1941" t="s">
        <v>871</v>
      </c>
      <c r="C25" s="1971" t="s">
        <v>866</v>
      </c>
      <c r="D25" s="1972">
        <v>1</v>
      </c>
      <c r="E25" s="1942">
        <f ca="1">82000*((1+'Assumptions MH'!$T$9)^(YEAR('Assumptions MH'!$G$20)-YEAR(TODAY())))</f>
        <v>86993.8</v>
      </c>
      <c r="F25" s="1943">
        <f t="shared" ref="F25:F27" ca="1" si="4">E25*1.11+6000</f>
        <v>102563.11800000002</v>
      </c>
      <c r="G25" s="1943">
        <f t="shared" ref="G25" ca="1" si="5">F25*D25</f>
        <v>102563.11800000002</v>
      </c>
      <c r="H25" s="1944">
        <f t="shared" ca="1" si="3"/>
        <v>65.243713740458034</v>
      </c>
      <c r="I25" s="1924"/>
    </row>
    <row r="26" spans="1:9" ht="15.75" customHeight="1">
      <c r="B26" s="1941" t="s">
        <v>872</v>
      </c>
      <c r="C26" s="1971" t="s">
        <v>866</v>
      </c>
      <c r="D26" s="1972">
        <v>1</v>
      </c>
      <c r="E26" s="1942">
        <f ca="1">105000*((1+'Assumptions MH'!$T$9)^(YEAR('Assumptions MH'!$G$20)-YEAR(TODAY())))</f>
        <v>111394.5</v>
      </c>
      <c r="F26" s="1943">
        <f t="shared" ca="1" si="4"/>
        <v>129647.895</v>
      </c>
      <c r="G26" s="1943">
        <f ca="1">F26*D26</f>
        <v>129647.895</v>
      </c>
      <c r="H26" s="1944">
        <f t="shared" ca="1" si="3"/>
        <v>82.473215648854961</v>
      </c>
      <c r="I26" s="1924"/>
    </row>
    <row r="27" spans="1:9" ht="15.75" customHeight="1">
      <c r="B27" s="1941" t="s">
        <v>873</v>
      </c>
      <c r="C27" s="1971" t="s">
        <v>866</v>
      </c>
      <c r="D27" s="1972">
        <v>1</v>
      </c>
      <c r="E27" s="1942">
        <f ca="1">90000*((1+'Assumptions MH'!$T$9)^(YEAR('Assumptions MH'!$G$20)-YEAR(TODAY())))</f>
        <v>95481</v>
      </c>
      <c r="F27" s="1943">
        <f t="shared" ca="1" si="4"/>
        <v>111983.91</v>
      </c>
      <c r="G27" s="1943">
        <f ca="1">F27*D27</f>
        <v>111983.91</v>
      </c>
      <c r="H27" s="1944">
        <f t="shared" ca="1" si="3"/>
        <v>71.236583969465656</v>
      </c>
      <c r="I27" s="1924"/>
    </row>
    <row r="28" spans="1:9" ht="15.75" customHeight="1">
      <c r="B28" s="1946" t="s">
        <v>11</v>
      </c>
      <c r="C28" s="1973"/>
      <c r="D28" s="1973">
        <f>SUM(D24:D27)</f>
        <v>4</v>
      </c>
      <c r="E28" s="1947">
        <f ca="1">SUM(E24:E27)</f>
        <v>437090.8</v>
      </c>
      <c r="F28" s="1947">
        <f ca="1">SUM(F24:F27)</f>
        <v>509170.78800000006</v>
      </c>
      <c r="G28" s="1947">
        <f ca="1">SUM(G24:G27)</f>
        <v>446137.55656132079</v>
      </c>
      <c r="H28" s="1948">
        <f ca="1">SUM(H24:H27)</f>
        <v>283.80251689651453</v>
      </c>
      <c r="I28" s="1924"/>
    </row>
    <row r="29" spans="1:9" ht="3" customHeight="1">
      <c r="B29" s="1953"/>
      <c r="C29" s="1976"/>
      <c r="D29" s="1976"/>
      <c r="E29" s="1976"/>
      <c r="F29" s="1976"/>
      <c r="G29" s="1976"/>
      <c r="H29" s="1971"/>
      <c r="I29" s="1924"/>
    </row>
    <row r="30" spans="1:9" s="1956" customFormat="1" ht="15.75" customHeight="1">
      <c r="A30" s="1954"/>
      <c r="B30" s="1990" t="s">
        <v>874</v>
      </c>
      <c r="C30" s="1990"/>
      <c r="D30" s="1990"/>
      <c r="E30" s="1990"/>
      <c r="F30" s="1990"/>
      <c r="G30" s="1990"/>
      <c r="H30" s="1990"/>
      <c r="I30" s="1955"/>
    </row>
    <row r="31" spans="1:9" ht="25.5">
      <c r="B31" s="1987" t="s">
        <v>858</v>
      </c>
      <c r="C31" s="1988" t="s">
        <v>859</v>
      </c>
      <c r="D31" s="1988" t="s">
        <v>860</v>
      </c>
      <c r="E31" s="1988" t="s">
        <v>861</v>
      </c>
      <c r="F31" s="1988" t="s">
        <v>862</v>
      </c>
      <c r="G31" s="1988" t="s">
        <v>863</v>
      </c>
      <c r="H31" s="1989" t="s">
        <v>864</v>
      </c>
      <c r="I31" s="1924"/>
    </row>
    <row r="32" spans="1:9" ht="15.75" customHeight="1">
      <c r="B32" s="1958" t="s">
        <v>875</v>
      </c>
      <c r="C32" s="1977" t="s">
        <v>866</v>
      </c>
      <c r="D32" s="1978">
        <v>1</v>
      </c>
      <c r="E32" s="1959">
        <f ca="1">125000*((1+'Assumptions MH'!$T$9)^(YEAR('Assumptions MH'!$G$20)-YEAR(TODAY())))</f>
        <v>132612.5</v>
      </c>
      <c r="F32" s="1960">
        <f ca="1">E32*1.11+6000</f>
        <v>153199.875</v>
      </c>
      <c r="G32" s="1960">
        <f ca="1">F32*D32</f>
        <v>153199.875</v>
      </c>
      <c r="H32" s="1961">
        <f ca="1">G32/D5/12</f>
        <v>97.455391221374043</v>
      </c>
      <c r="I32" s="1924"/>
    </row>
    <row r="33" spans="2:9" ht="4.5" customHeight="1">
      <c r="B33" s="1924"/>
      <c r="C33" s="1924"/>
      <c r="D33" s="1924"/>
      <c r="E33" s="1924"/>
      <c r="F33" s="1924"/>
      <c r="G33" s="1924"/>
      <c r="H33" s="1924"/>
      <c r="I33" s="1924"/>
    </row>
    <row r="34" spans="2:9" ht="15.75" customHeight="1">
      <c r="B34" s="1945" t="s">
        <v>1207</v>
      </c>
      <c r="C34" s="1924"/>
      <c r="D34" s="1924"/>
      <c r="E34" s="1924"/>
      <c r="F34" s="1924"/>
      <c r="G34" s="1924"/>
      <c r="H34" s="1924"/>
      <c r="I34" s="1924"/>
    </row>
    <row r="35" spans="2:9" ht="15.75" customHeight="1">
      <c r="B35" s="1924"/>
      <c r="C35" s="1924"/>
      <c r="D35" s="1924"/>
      <c r="E35" s="1924"/>
      <c r="F35" s="1924"/>
      <c r="G35" s="1924"/>
      <c r="H35" s="1924"/>
      <c r="I35" s="1924"/>
    </row>
    <row r="36" spans="2:9" ht="15.75" customHeight="1">
      <c r="B36" s="1924"/>
      <c r="C36" s="1924"/>
      <c r="D36" s="1924"/>
      <c r="E36" s="1924"/>
      <c r="F36" s="1924"/>
      <c r="G36" s="1924"/>
      <c r="H36" s="1924"/>
      <c r="I36" s="1924"/>
    </row>
    <row r="37" spans="2:9" ht="15.75" customHeight="1">
      <c r="B37" s="1924"/>
      <c r="C37" s="1924"/>
      <c r="D37" s="1924"/>
      <c r="E37" s="1924"/>
      <c r="F37" s="1924"/>
      <c r="G37" s="1924"/>
      <c r="H37" s="1924"/>
      <c r="I37" s="1924"/>
    </row>
    <row r="38" spans="2:9" ht="15.75" customHeight="1">
      <c r="B38" s="1924"/>
      <c r="C38" s="1924"/>
      <c r="D38" s="1924"/>
      <c r="E38" s="1924"/>
      <c r="F38" s="1924"/>
      <c r="G38" s="1924"/>
      <c r="H38" s="1924"/>
      <c r="I38" s="1924"/>
    </row>
    <row r="39" spans="2:9" ht="15.75" customHeight="1">
      <c r="B39" s="1924"/>
      <c r="C39" s="1924"/>
      <c r="D39" s="1924"/>
      <c r="E39" s="1924"/>
      <c r="F39" s="1924"/>
      <c r="G39" s="1924"/>
      <c r="H39" s="1924"/>
      <c r="I39" s="1924"/>
    </row>
    <row r="40" spans="2:9" ht="15.75" customHeight="1">
      <c r="B40" s="1924"/>
      <c r="C40" s="1924"/>
      <c r="D40" s="1924"/>
      <c r="E40" s="1924"/>
      <c r="F40" s="1924"/>
      <c r="G40" s="1924"/>
      <c r="H40" s="1924"/>
      <c r="I40" s="1924"/>
    </row>
    <row r="41" spans="2:9" ht="15.75" customHeight="1">
      <c r="B41" s="1924"/>
      <c r="C41" s="1924"/>
      <c r="D41" s="1924"/>
      <c r="E41" s="1924"/>
      <c r="F41" s="1924"/>
      <c r="G41" s="1924"/>
      <c r="H41" s="1924"/>
      <c r="I41" s="1924"/>
    </row>
    <row r="42" spans="2:9" ht="12.75">
      <c r="B42" s="1924"/>
      <c r="C42" s="1924"/>
      <c r="D42" s="1924"/>
      <c r="E42" s="1924"/>
      <c r="F42" s="1924"/>
      <c r="G42" s="1924"/>
      <c r="H42" s="1924"/>
      <c r="I42" s="1924"/>
    </row>
    <row r="43" spans="2:9" ht="12.75">
      <c r="B43" s="1924"/>
      <c r="C43" s="1924"/>
      <c r="D43" s="1924"/>
      <c r="E43" s="1924"/>
      <c r="F43" s="1924"/>
      <c r="G43" s="1924"/>
      <c r="H43" s="1924"/>
      <c r="I43" s="1924"/>
    </row>
    <row r="44" spans="2:9" ht="12.75">
      <c r="B44" s="1924"/>
      <c r="C44" s="1924"/>
      <c r="D44" s="1924"/>
      <c r="E44" s="1924"/>
      <c r="F44" s="1924"/>
      <c r="G44" s="1924"/>
      <c r="H44" s="1924"/>
      <c r="I44" s="1924"/>
    </row>
    <row r="45" spans="2:9" ht="12.75">
      <c r="B45" s="1924"/>
      <c r="C45" s="1924"/>
      <c r="D45" s="1924"/>
      <c r="E45" s="1924"/>
      <c r="F45" s="1924"/>
      <c r="G45" s="1924"/>
      <c r="H45" s="1924"/>
      <c r="I45" s="1924"/>
    </row>
    <row r="46" spans="2:9" ht="12.75">
      <c r="B46" s="1924"/>
      <c r="C46" s="1924"/>
      <c r="D46" s="1924"/>
      <c r="E46" s="1924"/>
      <c r="F46" s="1924"/>
      <c r="G46" s="1924"/>
      <c r="H46" s="1924"/>
      <c r="I46" s="1924"/>
    </row>
    <row r="47" spans="2:9" ht="12.75">
      <c r="B47" s="1924"/>
      <c r="C47" s="1924"/>
      <c r="D47" s="1924"/>
      <c r="E47" s="1924"/>
      <c r="F47" s="1924"/>
      <c r="G47" s="1924"/>
      <c r="H47" s="1924"/>
      <c r="I47" s="1924"/>
    </row>
    <row r="48" spans="2:9" ht="12.75">
      <c r="B48" s="1924"/>
      <c r="C48" s="1924"/>
      <c r="D48" s="1924"/>
      <c r="E48" s="1924"/>
      <c r="F48" s="1924"/>
      <c r="G48" s="1924"/>
      <c r="H48" s="1924"/>
      <c r="I48" s="1924"/>
    </row>
    <row r="49" spans="2:9" ht="12.75">
      <c r="B49" s="1924"/>
      <c r="C49" s="1924"/>
      <c r="D49" s="1924"/>
      <c r="E49" s="1924"/>
      <c r="F49" s="1924"/>
      <c r="G49" s="1924"/>
      <c r="H49" s="1924"/>
      <c r="I49" s="1924"/>
    </row>
    <row r="50" spans="2:9" ht="12.75">
      <c r="B50" s="1924"/>
      <c r="C50" s="1924"/>
      <c r="D50" s="1924"/>
      <c r="E50" s="1924"/>
      <c r="F50" s="1924"/>
      <c r="G50" s="1924"/>
      <c r="H50" s="1924"/>
      <c r="I50" s="1924"/>
    </row>
    <row r="51" spans="2:9" ht="12.75">
      <c r="B51" s="1924"/>
      <c r="C51" s="1924"/>
      <c r="D51" s="1924"/>
      <c r="E51" s="1924"/>
      <c r="F51" s="1924"/>
      <c r="G51" s="1924"/>
      <c r="H51" s="1924"/>
      <c r="I51" s="1924"/>
    </row>
    <row r="52" spans="2:9" ht="12.75">
      <c r="B52" s="1924"/>
      <c r="C52" s="1924"/>
      <c r="D52" s="1924"/>
      <c r="E52" s="1924"/>
      <c r="F52" s="1924"/>
      <c r="G52" s="1924"/>
      <c r="H52" s="1924"/>
      <c r="I52" s="1924"/>
    </row>
    <row r="53" spans="2:9" ht="12.75">
      <c r="B53" s="1924"/>
      <c r="C53" s="1924"/>
      <c r="D53" s="1924"/>
      <c r="E53" s="1924"/>
      <c r="F53" s="1924"/>
      <c r="G53" s="1924"/>
      <c r="H53" s="1924"/>
      <c r="I53" s="1924"/>
    </row>
    <row r="54" spans="2:9" ht="12.75">
      <c r="B54" s="1924"/>
      <c r="C54" s="1924"/>
      <c r="D54" s="1924"/>
      <c r="E54" s="1924"/>
      <c r="F54" s="1924"/>
      <c r="G54" s="1924"/>
      <c r="H54" s="1924"/>
      <c r="I54" s="1924"/>
    </row>
    <row r="55" spans="2:9" ht="12.75">
      <c r="B55" s="1924"/>
      <c r="C55" s="1924"/>
      <c r="D55" s="1924"/>
      <c r="E55" s="1924"/>
      <c r="F55" s="1924"/>
      <c r="G55" s="1924"/>
      <c r="H55" s="1924"/>
      <c r="I55" s="1924"/>
    </row>
    <row r="56" spans="2:9" ht="12.75">
      <c r="B56" s="1924"/>
      <c r="C56" s="1924"/>
      <c r="D56" s="1924"/>
      <c r="E56" s="1924"/>
      <c r="F56" s="1924"/>
      <c r="G56" s="1924"/>
      <c r="H56" s="1924"/>
      <c r="I56" s="1924"/>
    </row>
    <row r="57" spans="2:9" ht="12.75">
      <c r="B57" s="1924"/>
      <c r="C57" s="1924"/>
      <c r="D57" s="1924"/>
      <c r="E57" s="1924"/>
      <c r="F57" s="1924"/>
      <c r="G57" s="1924"/>
      <c r="H57" s="1924"/>
      <c r="I57" s="1924"/>
    </row>
    <row r="58" spans="2:9" ht="12.75">
      <c r="B58" s="1924"/>
      <c r="C58" s="1924"/>
      <c r="D58" s="1924"/>
      <c r="E58" s="1924"/>
      <c r="F58" s="1924"/>
      <c r="G58" s="1924"/>
      <c r="H58" s="1924"/>
      <c r="I58" s="1924"/>
    </row>
    <row r="59" spans="2:9" ht="12.75">
      <c r="B59" s="1924"/>
      <c r="C59" s="1924"/>
      <c r="D59" s="1924"/>
      <c r="E59" s="1924"/>
      <c r="F59" s="1924"/>
      <c r="G59" s="1924"/>
      <c r="H59" s="1924"/>
      <c r="I59" s="1924"/>
    </row>
    <row r="60" spans="2:9" ht="12.75">
      <c r="B60" s="1924"/>
      <c r="C60" s="1924"/>
      <c r="D60" s="1924"/>
      <c r="E60" s="1924"/>
      <c r="F60" s="1924"/>
      <c r="G60" s="1924"/>
      <c r="H60" s="1924"/>
      <c r="I60" s="1924"/>
    </row>
    <row r="61" spans="2:9" ht="12.75">
      <c r="B61" s="1924"/>
      <c r="C61" s="1924"/>
      <c r="D61" s="1924"/>
      <c r="E61" s="1924"/>
      <c r="F61" s="1924"/>
      <c r="G61" s="1924"/>
      <c r="H61" s="1924"/>
      <c r="I61" s="1924"/>
    </row>
    <row r="62" spans="2:9" ht="12.75">
      <c r="B62" s="1924"/>
      <c r="C62" s="1924"/>
      <c r="D62" s="1924"/>
      <c r="E62" s="1924"/>
      <c r="F62" s="1924"/>
      <c r="G62" s="1924"/>
      <c r="H62" s="1924"/>
      <c r="I62" s="1924"/>
    </row>
    <row r="63" spans="2:9" ht="12.75">
      <c r="B63" s="1924"/>
      <c r="C63" s="1924"/>
      <c r="D63" s="1924"/>
      <c r="E63" s="1924"/>
      <c r="F63" s="1924"/>
      <c r="G63" s="1924"/>
      <c r="H63" s="1924"/>
      <c r="I63" s="1924"/>
    </row>
    <row r="64" spans="2:9" ht="12.75">
      <c r="B64" s="1924"/>
      <c r="C64" s="1924"/>
      <c r="D64" s="1924"/>
      <c r="E64" s="1924"/>
      <c r="F64" s="1924"/>
      <c r="G64" s="1924"/>
      <c r="H64" s="1924"/>
      <c r="I64" s="1924"/>
    </row>
    <row r="65" spans="2:9" ht="12.75">
      <c r="B65" s="1924"/>
      <c r="C65" s="1924"/>
      <c r="D65" s="1924"/>
      <c r="E65" s="1924"/>
      <c r="F65" s="1924"/>
      <c r="G65" s="1924"/>
      <c r="H65" s="1924"/>
      <c r="I65" s="1924"/>
    </row>
    <row r="66" spans="2:9" ht="12.75">
      <c r="B66" s="1924"/>
      <c r="C66" s="1924"/>
      <c r="D66" s="1924"/>
      <c r="E66" s="1924"/>
      <c r="F66" s="1924"/>
      <c r="G66" s="1924"/>
      <c r="H66" s="1924"/>
      <c r="I66" s="1924"/>
    </row>
    <row r="67" spans="2:9" ht="12.75">
      <c r="B67" s="1924"/>
      <c r="C67" s="1924"/>
      <c r="D67" s="1924"/>
      <c r="E67" s="1924"/>
      <c r="F67" s="1924"/>
      <c r="G67" s="1924"/>
      <c r="H67" s="1924"/>
      <c r="I67" s="1924"/>
    </row>
    <row r="68" spans="2:9" ht="12.75">
      <c r="B68" s="1924"/>
      <c r="C68" s="1924"/>
      <c r="D68" s="1924"/>
      <c r="E68" s="1924"/>
      <c r="F68" s="1924"/>
      <c r="G68" s="1924"/>
      <c r="H68" s="1924"/>
      <c r="I68" s="1924"/>
    </row>
    <row r="69" spans="2:9" ht="12.75">
      <c r="B69" s="1924"/>
      <c r="C69" s="1924"/>
      <c r="D69" s="1924"/>
      <c r="E69" s="1924"/>
      <c r="F69" s="1924"/>
      <c r="G69" s="1924"/>
      <c r="H69" s="1924"/>
      <c r="I69" s="1924"/>
    </row>
    <row r="70" spans="2:9" ht="12.75">
      <c r="B70" s="1924"/>
      <c r="C70" s="1924"/>
      <c r="D70" s="1924"/>
      <c r="E70" s="1924"/>
      <c r="F70" s="1924"/>
      <c r="G70" s="1924"/>
      <c r="H70" s="1924"/>
      <c r="I70" s="1924"/>
    </row>
    <row r="71" spans="2:9" ht="12.75">
      <c r="B71" s="1924"/>
      <c r="C71" s="1924"/>
      <c r="D71" s="1924"/>
      <c r="E71" s="1924"/>
      <c r="F71" s="1924"/>
      <c r="G71" s="1924"/>
      <c r="H71" s="1924"/>
      <c r="I71" s="1924"/>
    </row>
    <row r="72" spans="2:9" ht="12.75">
      <c r="B72" s="1924"/>
      <c r="C72" s="1924"/>
      <c r="D72" s="1924"/>
      <c r="E72" s="1924"/>
      <c r="F72" s="1924"/>
      <c r="G72" s="1924"/>
      <c r="H72" s="1924"/>
      <c r="I72" s="1924"/>
    </row>
    <row r="73" spans="2:9" ht="12.75">
      <c r="B73" s="1924"/>
      <c r="C73" s="1924"/>
      <c r="D73" s="1924"/>
      <c r="E73" s="1924"/>
      <c r="F73" s="1924"/>
      <c r="G73" s="1924"/>
      <c r="H73" s="1924"/>
      <c r="I73" s="1924"/>
    </row>
    <row r="74" spans="2:9" ht="12.75">
      <c r="B74" s="1924"/>
      <c r="C74" s="1924"/>
      <c r="D74" s="1924"/>
      <c r="E74" s="1924"/>
      <c r="F74" s="1924"/>
      <c r="G74" s="1924"/>
      <c r="H74" s="1924"/>
      <c r="I74" s="1924"/>
    </row>
    <row r="75" spans="2:9" ht="12.75">
      <c r="B75" s="1924"/>
      <c r="C75" s="1924"/>
      <c r="D75" s="1924"/>
      <c r="E75" s="1924"/>
      <c r="F75" s="1924"/>
      <c r="G75" s="1924"/>
      <c r="H75" s="1924"/>
      <c r="I75" s="1924"/>
    </row>
    <row r="76" spans="2:9" ht="12.75">
      <c r="B76" s="1924"/>
      <c r="C76" s="1924"/>
      <c r="D76" s="1924"/>
      <c r="E76" s="1924"/>
      <c r="F76" s="1924"/>
      <c r="G76" s="1924"/>
      <c r="H76" s="1924"/>
      <c r="I76" s="1924"/>
    </row>
    <row r="77" spans="2:9" ht="12.75">
      <c r="B77" s="1924"/>
      <c r="C77" s="1924"/>
      <c r="D77" s="1924"/>
      <c r="E77" s="1924"/>
      <c r="F77" s="1924"/>
      <c r="G77" s="1924"/>
      <c r="H77" s="1924"/>
      <c r="I77" s="1924"/>
    </row>
    <row r="78" spans="2:9" ht="12.75">
      <c r="B78" s="1924"/>
      <c r="C78" s="1924"/>
      <c r="D78" s="1924"/>
      <c r="E78" s="1924"/>
      <c r="F78" s="1924"/>
      <c r="G78" s="1924"/>
      <c r="H78" s="1924"/>
      <c r="I78" s="1924"/>
    </row>
    <row r="79" spans="2:9" ht="12.75">
      <c r="B79" s="1924"/>
      <c r="C79" s="1924"/>
      <c r="D79" s="1924"/>
      <c r="E79" s="1924"/>
      <c r="F79" s="1924"/>
      <c r="G79" s="1924"/>
      <c r="H79" s="1924"/>
      <c r="I79" s="1924"/>
    </row>
    <row r="80" spans="2:9" ht="12.75">
      <c r="B80" s="1924"/>
      <c r="C80" s="1924"/>
      <c r="D80" s="1924"/>
      <c r="E80" s="1924"/>
      <c r="F80" s="1924"/>
      <c r="G80" s="1924"/>
      <c r="H80" s="1924"/>
      <c r="I80" s="1924"/>
    </row>
    <row r="81" spans="2:9" ht="12.75">
      <c r="B81" s="1924"/>
      <c r="C81" s="1924"/>
      <c r="D81" s="1924"/>
      <c r="E81" s="1924"/>
      <c r="F81" s="1924"/>
      <c r="G81" s="1924"/>
      <c r="H81" s="1924"/>
      <c r="I81" s="1924"/>
    </row>
    <row r="82" spans="2:9" ht="12.75">
      <c r="B82" s="1924"/>
      <c r="C82" s="1924"/>
      <c r="D82" s="1924"/>
      <c r="E82" s="1924"/>
      <c r="F82" s="1924"/>
      <c r="G82" s="1924"/>
      <c r="H82" s="1924"/>
      <c r="I82" s="1924"/>
    </row>
    <row r="83" spans="2:9" ht="12.75">
      <c r="B83" s="1924"/>
      <c r="C83" s="1924"/>
      <c r="D83" s="1924"/>
      <c r="E83" s="1924"/>
      <c r="F83" s="1924"/>
      <c r="G83" s="1924"/>
      <c r="H83" s="1924"/>
      <c r="I83" s="1924"/>
    </row>
    <row r="84" spans="2:9" ht="12.75">
      <c r="B84" s="1924"/>
      <c r="C84" s="1924"/>
      <c r="D84" s="1924"/>
      <c r="E84" s="1924"/>
      <c r="F84" s="1924"/>
      <c r="G84" s="1924"/>
      <c r="H84" s="1924"/>
      <c r="I84" s="1924"/>
    </row>
    <row r="85" spans="2:9" ht="12.75">
      <c r="B85" s="1924"/>
      <c r="C85" s="1924"/>
      <c r="D85" s="1924"/>
      <c r="E85" s="1924"/>
      <c r="F85" s="1924"/>
      <c r="G85" s="1924"/>
      <c r="H85" s="1924"/>
      <c r="I85" s="1924"/>
    </row>
    <row r="86" spans="2:9" ht="12.75">
      <c r="B86" s="1924"/>
      <c r="C86" s="1924"/>
      <c r="D86" s="1924"/>
      <c r="E86" s="1924"/>
      <c r="F86" s="1924"/>
      <c r="G86" s="1924"/>
      <c r="H86" s="1924"/>
      <c r="I86" s="1924"/>
    </row>
    <row r="87" spans="2:9" ht="12.75">
      <c r="B87" s="1924"/>
      <c r="C87" s="1924"/>
      <c r="D87" s="1924"/>
      <c r="E87" s="1924"/>
      <c r="F87" s="1924"/>
      <c r="G87" s="1924"/>
      <c r="H87" s="1924"/>
      <c r="I87" s="1924"/>
    </row>
    <row r="88" spans="2:9" ht="12.75">
      <c r="B88" s="1924"/>
      <c r="C88" s="1924"/>
      <c r="D88" s="1924"/>
      <c r="E88" s="1924"/>
      <c r="F88" s="1924"/>
      <c r="G88" s="1924"/>
      <c r="H88" s="1924"/>
      <c r="I88" s="1924"/>
    </row>
    <row r="89" spans="2:9" ht="12.75">
      <c r="B89" s="1924"/>
      <c r="C89" s="1924"/>
      <c r="D89" s="1924"/>
      <c r="E89" s="1924"/>
      <c r="F89" s="1924"/>
      <c r="G89" s="1924"/>
      <c r="H89" s="1924"/>
      <c r="I89" s="1924"/>
    </row>
    <row r="90" spans="2:9" ht="12.75">
      <c r="B90" s="1924"/>
      <c r="C90" s="1924"/>
      <c r="D90" s="1924"/>
      <c r="E90" s="1924"/>
      <c r="F90" s="1924"/>
      <c r="G90" s="1924"/>
      <c r="H90" s="1924"/>
      <c r="I90" s="1924"/>
    </row>
    <row r="91" spans="2:9" ht="12.75">
      <c r="B91" s="1924"/>
      <c r="C91" s="1924"/>
      <c r="D91" s="1924"/>
      <c r="E91" s="1924"/>
      <c r="F91" s="1924"/>
      <c r="G91" s="1924"/>
      <c r="H91" s="1924"/>
      <c r="I91" s="1924"/>
    </row>
    <row r="92" spans="2:9" ht="12.75">
      <c r="B92" s="1924"/>
      <c r="C92" s="1924"/>
      <c r="D92" s="1924"/>
      <c r="E92" s="1924"/>
      <c r="F92" s="1924"/>
      <c r="G92" s="1924"/>
      <c r="H92" s="1924"/>
      <c r="I92" s="1924"/>
    </row>
    <row r="93" spans="2:9" ht="12.75">
      <c r="B93" s="1924"/>
      <c r="C93" s="1924"/>
      <c r="D93" s="1924"/>
      <c r="E93" s="1924"/>
      <c r="F93" s="1924"/>
      <c r="G93" s="1924"/>
      <c r="H93" s="1924"/>
      <c r="I93" s="1924"/>
    </row>
    <row r="94" spans="2:9" ht="12.75">
      <c r="B94" s="1924"/>
      <c r="C94" s="1924"/>
      <c r="D94" s="1924"/>
      <c r="E94" s="1924"/>
      <c r="F94" s="1924"/>
      <c r="G94" s="1924"/>
      <c r="H94" s="1924"/>
      <c r="I94" s="1924"/>
    </row>
    <row r="95" spans="2:9" ht="12.75">
      <c r="B95" s="1924"/>
      <c r="C95" s="1924"/>
      <c r="D95" s="1924"/>
      <c r="E95" s="1924"/>
      <c r="F95" s="1924"/>
      <c r="G95" s="1924"/>
      <c r="H95" s="1924"/>
      <c r="I95" s="1924"/>
    </row>
    <row r="96" spans="2:9" ht="12.75">
      <c r="B96" s="1924"/>
      <c r="C96" s="1924"/>
      <c r="D96" s="1924"/>
      <c r="E96" s="1924"/>
      <c r="F96" s="1924"/>
      <c r="G96" s="1924"/>
      <c r="H96" s="1924"/>
      <c r="I96" s="1924"/>
    </row>
    <row r="97" spans="2:9" ht="12.75">
      <c r="B97" s="1924"/>
      <c r="C97" s="1924"/>
      <c r="D97" s="1924"/>
      <c r="E97" s="1924"/>
      <c r="F97" s="1924"/>
      <c r="G97" s="1924"/>
      <c r="H97" s="1924"/>
      <c r="I97" s="1924"/>
    </row>
    <row r="98" spans="2:9" ht="12.75">
      <c r="B98" s="1924"/>
      <c r="C98" s="1924"/>
      <c r="D98" s="1924"/>
      <c r="E98" s="1924"/>
      <c r="F98" s="1924"/>
      <c r="G98" s="1924"/>
      <c r="H98" s="1924"/>
      <c r="I98" s="1924"/>
    </row>
    <row r="99" spans="2:9" ht="12.75">
      <c r="B99" s="1924"/>
      <c r="C99" s="1924"/>
      <c r="D99" s="1924"/>
      <c r="E99" s="1924"/>
      <c r="F99" s="1924"/>
      <c r="G99" s="1924"/>
      <c r="H99" s="1924"/>
      <c r="I99" s="1924"/>
    </row>
    <row r="100" spans="2:9" ht="12.75">
      <c r="B100" s="1924"/>
      <c r="C100" s="1924"/>
      <c r="D100" s="1924"/>
      <c r="E100" s="1924"/>
      <c r="F100" s="1924"/>
      <c r="G100" s="1924"/>
      <c r="H100" s="1924"/>
      <c r="I100" s="1924"/>
    </row>
    <row r="101" spans="2:9" ht="12.75">
      <c r="B101" s="1924"/>
      <c r="C101" s="1924"/>
      <c r="D101" s="1924"/>
      <c r="E101" s="1924"/>
      <c r="F101" s="1924"/>
      <c r="G101" s="1924"/>
      <c r="H101" s="1924"/>
      <c r="I101" s="1924"/>
    </row>
    <row r="102" spans="2:9" ht="12.75">
      <c r="B102" s="1924"/>
      <c r="C102" s="1924"/>
      <c r="D102" s="1924"/>
      <c r="E102" s="1924"/>
      <c r="F102" s="1924"/>
      <c r="G102" s="1924"/>
      <c r="H102" s="1924"/>
      <c r="I102" s="1924"/>
    </row>
    <row r="103" spans="2:9" ht="12.75">
      <c r="B103" s="1924"/>
      <c r="C103" s="1924"/>
      <c r="D103" s="1924"/>
      <c r="E103" s="1924"/>
      <c r="F103" s="1924"/>
      <c r="G103" s="1924"/>
      <c r="H103" s="1924"/>
      <c r="I103" s="1924"/>
    </row>
    <row r="104" spans="2:9" ht="12.75">
      <c r="B104" s="1924"/>
      <c r="C104" s="1924"/>
      <c r="D104" s="1924"/>
      <c r="E104" s="1924"/>
      <c r="F104" s="1924"/>
      <c r="G104" s="1924"/>
      <c r="H104" s="1924"/>
      <c r="I104" s="1924"/>
    </row>
    <row r="105" spans="2:9" ht="12.75">
      <c r="B105" s="1924"/>
      <c r="C105" s="1924"/>
      <c r="D105" s="1924"/>
      <c r="E105" s="1924"/>
      <c r="F105" s="1924"/>
      <c r="G105" s="1924"/>
      <c r="H105" s="1924"/>
      <c r="I105" s="1924"/>
    </row>
    <row r="106" spans="2:9" ht="12.75">
      <c r="B106" s="1924"/>
      <c r="C106" s="1924"/>
      <c r="D106" s="1924"/>
      <c r="E106" s="1924"/>
      <c r="F106" s="1924"/>
      <c r="G106" s="1924"/>
      <c r="H106" s="1924"/>
      <c r="I106" s="1924"/>
    </row>
    <row r="107" spans="2:9" ht="12.75">
      <c r="B107" s="1924"/>
      <c r="C107" s="1924"/>
      <c r="D107" s="1924"/>
      <c r="E107" s="1924"/>
      <c r="F107" s="1924"/>
      <c r="G107" s="1924"/>
      <c r="H107" s="1924"/>
      <c r="I107" s="1924"/>
    </row>
    <row r="108" spans="2:9" ht="12.75">
      <c r="B108" s="1924"/>
      <c r="C108" s="1924"/>
      <c r="D108" s="1924"/>
      <c r="E108" s="1924"/>
      <c r="F108" s="1924"/>
      <c r="G108" s="1924"/>
      <c r="H108" s="1924"/>
      <c r="I108" s="1924"/>
    </row>
    <row r="109" spans="2:9" ht="12.75">
      <c r="B109" s="1924"/>
      <c r="C109" s="1924"/>
      <c r="D109" s="1924"/>
      <c r="E109" s="1924"/>
      <c r="F109" s="1924"/>
      <c r="G109" s="1924"/>
      <c r="H109" s="1924"/>
      <c r="I109" s="1924"/>
    </row>
    <row r="110" spans="2:9" ht="12.75">
      <c r="B110" s="1924"/>
      <c r="C110" s="1924"/>
      <c r="D110" s="1924"/>
      <c r="E110" s="1924"/>
      <c r="F110" s="1924"/>
      <c r="G110" s="1924"/>
      <c r="H110" s="1924"/>
      <c r="I110" s="1924"/>
    </row>
    <row r="111" spans="2:9" ht="12.75">
      <c r="B111" s="1924"/>
      <c r="C111" s="1924"/>
      <c r="D111" s="1924"/>
      <c r="E111" s="1924"/>
      <c r="F111" s="1924"/>
      <c r="G111" s="1924"/>
      <c r="H111" s="1924"/>
      <c r="I111" s="1924"/>
    </row>
    <row r="112" spans="2:9" ht="12.75">
      <c r="B112" s="1924"/>
      <c r="C112" s="1924"/>
      <c r="D112" s="1924"/>
      <c r="E112" s="1924"/>
      <c r="F112" s="1924"/>
      <c r="G112" s="1924"/>
      <c r="H112" s="1924"/>
      <c r="I112" s="1924"/>
    </row>
    <row r="113" spans="2:9" ht="12.75">
      <c r="B113" s="1924"/>
      <c r="C113" s="1924"/>
      <c r="D113" s="1924"/>
      <c r="E113" s="1924"/>
      <c r="F113" s="1924"/>
      <c r="G113" s="1924"/>
      <c r="H113" s="1924"/>
      <c r="I113" s="1924"/>
    </row>
    <row r="114" spans="2:9" ht="12.75">
      <c r="B114" s="1924"/>
      <c r="C114" s="1924"/>
      <c r="D114" s="1924"/>
      <c r="E114" s="1924"/>
      <c r="F114" s="1924"/>
      <c r="G114" s="1924"/>
      <c r="H114" s="1924"/>
      <c r="I114" s="1924"/>
    </row>
    <row r="115" spans="2:9" ht="12.75">
      <c r="B115" s="1924"/>
      <c r="C115" s="1924"/>
      <c r="D115" s="1924"/>
      <c r="E115" s="1924"/>
      <c r="F115" s="1924"/>
      <c r="G115" s="1924"/>
      <c r="H115" s="1924"/>
      <c r="I115" s="1924"/>
    </row>
    <row r="116" spans="2:9" ht="12.75">
      <c r="B116" s="1924"/>
      <c r="C116" s="1924"/>
      <c r="D116" s="1924"/>
      <c r="E116" s="1924"/>
      <c r="F116" s="1924"/>
      <c r="G116" s="1924"/>
      <c r="H116" s="1924"/>
      <c r="I116" s="1924"/>
    </row>
    <row r="117" spans="2:9" ht="12.75">
      <c r="B117" s="1924"/>
      <c r="C117" s="1924"/>
      <c r="D117" s="1924"/>
      <c r="E117" s="1924"/>
      <c r="F117" s="1924"/>
      <c r="G117" s="1924"/>
      <c r="H117" s="1924"/>
      <c r="I117" s="1924"/>
    </row>
    <row r="118" spans="2:9" ht="12.75">
      <c r="B118" s="1924"/>
      <c r="C118" s="1924"/>
      <c r="D118" s="1924"/>
      <c r="E118" s="1924"/>
      <c r="F118" s="1924"/>
      <c r="G118" s="1924"/>
      <c r="H118" s="1924"/>
      <c r="I118" s="1924"/>
    </row>
    <row r="119" spans="2:9" ht="12.75">
      <c r="B119" s="1924"/>
      <c r="C119" s="1924"/>
      <c r="D119" s="1924"/>
      <c r="E119" s="1924"/>
      <c r="F119" s="1924"/>
      <c r="G119" s="1924"/>
      <c r="H119" s="1924"/>
      <c r="I119" s="1924"/>
    </row>
    <row r="120" spans="2:9" ht="12.75">
      <c r="B120" s="1924"/>
      <c r="C120" s="1924"/>
      <c r="D120" s="1924"/>
      <c r="E120" s="1924"/>
      <c r="F120" s="1924"/>
      <c r="G120" s="1924"/>
      <c r="H120" s="1924"/>
      <c r="I120" s="1924"/>
    </row>
    <row r="121" spans="2:9" ht="12.75">
      <c r="B121" s="1924"/>
      <c r="C121" s="1924"/>
      <c r="D121" s="1924"/>
      <c r="E121" s="1924"/>
      <c r="F121" s="1924"/>
      <c r="G121" s="1924"/>
      <c r="H121" s="1924"/>
      <c r="I121" s="1924"/>
    </row>
    <row r="122" spans="2:9" ht="12.75">
      <c r="B122" s="1924"/>
      <c r="C122" s="1924"/>
      <c r="D122" s="1924"/>
      <c r="E122" s="1924"/>
      <c r="F122" s="1924"/>
      <c r="G122" s="1924"/>
      <c r="H122" s="1924"/>
      <c r="I122" s="1924"/>
    </row>
    <row r="123" spans="2:9" ht="12.75">
      <c r="B123" s="1924"/>
      <c r="C123" s="1924"/>
      <c r="D123" s="1924"/>
      <c r="E123" s="1924"/>
      <c r="F123" s="1924"/>
      <c r="G123" s="1924"/>
      <c r="H123" s="1924"/>
      <c r="I123" s="1924"/>
    </row>
    <row r="124" spans="2:9" ht="12.75">
      <c r="B124" s="1924"/>
      <c r="C124" s="1924"/>
      <c r="D124" s="1924"/>
      <c r="E124" s="1924"/>
      <c r="F124" s="1924"/>
      <c r="G124" s="1924"/>
      <c r="H124" s="1924"/>
      <c r="I124" s="1924"/>
    </row>
    <row r="125" spans="2:9" ht="12.75">
      <c r="B125" s="1924"/>
      <c r="C125" s="1924"/>
      <c r="D125" s="1924"/>
      <c r="E125" s="1924"/>
      <c r="F125" s="1924"/>
      <c r="G125" s="1924"/>
      <c r="H125" s="1924"/>
      <c r="I125" s="1924"/>
    </row>
    <row r="126" spans="2:9" ht="12.75">
      <c r="B126" s="1924"/>
      <c r="C126" s="1924"/>
      <c r="D126" s="1924"/>
      <c r="E126" s="1924"/>
      <c r="F126" s="1924"/>
      <c r="G126" s="1924"/>
      <c r="H126" s="1924"/>
      <c r="I126" s="1924"/>
    </row>
    <row r="127" spans="2:9" ht="12.75">
      <c r="B127" s="1924"/>
      <c r="C127" s="1924"/>
      <c r="D127" s="1924"/>
      <c r="E127" s="1924"/>
      <c r="F127" s="1924"/>
      <c r="G127" s="1924"/>
      <c r="H127" s="1924"/>
      <c r="I127" s="1924"/>
    </row>
    <row r="128" spans="2:9" ht="12.75">
      <c r="B128" s="1924"/>
      <c r="C128" s="1924"/>
      <c r="D128" s="1924"/>
      <c r="E128" s="1924"/>
      <c r="F128" s="1924"/>
      <c r="G128" s="1924"/>
      <c r="H128" s="1924"/>
      <c r="I128" s="1924"/>
    </row>
    <row r="129" spans="2:9" ht="12.75">
      <c r="B129" s="1924"/>
      <c r="C129" s="1924"/>
      <c r="D129" s="1924"/>
      <c r="E129" s="1924"/>
      <c r="F129" s="1924"/>
      <c r="G129" s="1924"/>
      <c r="H129" s="1924"/>
      <c r="I129" s="1924"/>
    </row>
    <row r="130" spans="2:9" ht="12.75">
      <c r="B130" s="1924"/>
      <c r="C130" s="1924"/>
      <c r="D130" s="1924"/>
      <c r="E130" s="1924"/>
      <c r="F130" s="1924"/>
      <c r="G130" s="1924"/>
      <c r="H130" s="1924"/>
      <c r="I130" s="1924"/>
    </row>
    <row r="131" spans="2:9" ht="12.75">
      <c r="B131" s="1924"/>
      <c r="C131" s="1924"/>
      <c r="D131" s="1924"/>
      <c r="E131" s="1924"/>
      <c r="F131" s="1924"/>
      <c r="G131" s="1924"/>
      <c r="H131" s="1924"/>
      <c r="I131" s="1924"/>
    </row>
    <row r="132" spans="2:9" ht="12.75">
      <c r="B132" s="1924"/>
      <c r="C132" s="1924"/>
      <c r="D132" s="1924"/>
      <c r="E132" s="1924"/>
      <c r="F132" s="1924"/>
      <c r="G132" s="1924"/>
      <c r="H132" s="1924"/>
      <c r="I132" s="1924"/>
    </row>
    <row r="133" spans="2:9" ht="12.75">
      <c r="B133" s="1924"/>
      <c r="C133" s="1924"/>
      <c r="D133" s="1924"/>
      <c r="E133" s="1924"/>
      <c r="F133" s="1924"/>
      <c r="G133" s="1924"/>
      <c r="H133" s="1924"/>
      <c r="I133" s="1924"/>
    </row>
    <row r="134" spans="2:9" ht="12.75">
      <c r="B134" s="1924"/>
      <c r="C134" s="1924"/>
      <c r="D134" s="1924"/>
      <c r="E134" s="1924"/>
      <c r="F134" s="1924"/>
      <c r="G134" s="1924"/>
      <c r="H134" s="1924"/>
      <c r="I134" s="1924"/>
    </row>
    <row r="135" spans="2:9" ht="12.75">
      <c r="B135" s="1924"/>
      <c r="C135" s="1924"/>
      <c r="D135" s="1924"/>
      <c r="E135" s="1924"/>
      <c r="F135" s="1924"/>
      <c r="G135" s="1924"/>
      <c r="H135" s="1924"/>
      <c r="I135" s="1924"/>
    </row>
    <row r="136" spans="2:9" ht="12.75">
      <c r="B136" s="1924"/>
      <c r="C136" s="1924"/>
      <c r="D136" s="1924"/>
      <c r="E136" s="1924"/>
      <c r="F136" s="1924"/>
      <c r="G136" s="1924"/>
      <c r="H136" s="1924"/>
      <c r="I136" s="1924"/>
    </row>
    <row r="137" spans="2:9" ht="12.75">
      <c r="B137" s="1924"/>
      <c r="C137" s="1924"/>
      <c r="D137" s="1924"/>
      <c r="E137" s="1924"/>
      <c r="F137" s="1924"/>
      <c r="G137" s="1924"/>
      <c r="H137" s="1924"/>
      <c r="I137" s="1924"/>
    </row>
    <row r="138" spans="2:9" ht="12.75">
      <c r="B138" s="1924"/>
      <c r="C138" s="1924"/>
      <c r="D138" s="1924"/>
      <c r="E138" s="1924"/>
      <c r="F138" s="1924"/>
      <c r="G138" s="1924"/>
      <c r="H138" s="1924"/>
      <c r="I138" s="1924"/>
    </row>
    <row r="139" spans="2:9" ht="12.75">
      <c r="B139" s="1924"/>
      <c r="C139" s="1924"/>
      <c r="D139" s="1924"/>
      <c r="E139" s="1924"/>
      <c r="F139" s="1924"/>
      <c r="G139" s="1924"/>
      <c r="H139" s="1924"/>
      <c r="I139" s="1924"/>
    </row>
    <row r="140" spans="2:9" ht="12.75">
      <c r="B140" s="1924"/>
      <c r="C140" s="1924"/>
      <c r="D140" s="1924"/>
      <c r="E140" s="1924"/>
      <c r="F140" s="1924"/>
      <c r="G140" s="1924"/>
      <c r="H140" s="1924"/>
      <c r="I140" s="1924"/>
    </row>
    <row r="141" spans="2:9" ht="12.75">
      <c r="B141" s="1924"/>
      <c r="C141" s="1924"/>
      <c r="D141" s="1924"/>
      <c r="E141" s="1924"/>
      <c r="F141" s="1924"/>
      <c r="G141" s="1924"/>
      <c r="H141" s="1924"/>
      <c r="I141" s="1924"/>
    </row>
    <row r="142" spans="2:9" ht="12.75">
      <c r="B142" s="1924"/>
      <c r="C142" s="1924"/>
      <c r="D142" s="1924"/>
      <c r="E142" s="1924"/>
      <c r="F142" s="1924"/>
      <c r="G142" s="1924"/>
      <c r="H142" s="1924"/>
      <c r="I142" s="1924"/>
    </row>
    <row r="143" spans="2:9" ht="12.75">
      <c r="B143" s="1924"/>
      <c r="C143" s="1924"/>
      <c r="D143" s="1924"/>
      <c r="E143" s="1924"/>
      <c r="F143" s="1924"/>
      <c r="G143" s="1924"/>
      <c r="H143" s="1924"/>
      <c r="I143" s="1924"/>
    </row>
    <row r="144" spans="2:9" ht="12.75">
      <c r="B144" s="1924"/>
      <c r="C144" s="1924"/>
      <c r="D144" s="1924"/>
      <c r="E144" s="1924"/>
      <c r="F144" s="1924"/>
      <c r="G144" s="1924"/>
      <c r="H144" s="1924"/>
      <c r="I144" s="1924"/>
    </row>
    <row r="145" spans="2:9" ht="12.75">
      <c r="B145" s="1924"/>
      <c r="C145" s="1924"/>
      <c r="D145" s="1924"/>
      <c r="E145" s="1924"/>
      <c r="F145" s="1924"/>
      <c r="G145" s="1924"/>
      <c r="H145" s="1924"/>
      <c r="I145" s="1924"/>
    </row>
    <row r="146" spans="2:9" ht="12.75">
      <c r="B146" s="1924"/>
      <c r="C146" s="1924"/>
      <c r="D146" s="1924"/>
      <c r="E146" s="1924"/>
      <c r="F146" s="1924"/>
      <c r="G146" s="1924"/>
      <c r="H146" s="1924"/>
      <c r="I146" s="1924"/>
    </row>
    <row r="147" spans="2:9" ht="12.75">
      <c r="B147" s="1924"/>
      <c r="C147" s="1924"/>
      <c r="D147" s="1924"/>
      <c r="E147" s="1924"/>
      <c r="F147" s="1924"/>
      <c r="G147" s="1924"/>
      <c r="H147" s="1924"/>
      <c r="I147" s="1924"/>
    </row>
    <row r="148" spans="2:9" ht="12.75">
      <c r="B148" s="1924"/>
      <c r="C148" s="1924"/>
      <c r="D148" s="1924"/>
      <c r="E148" s="1924"/>
      <c r="F148" s="1924"/>
      <c r="G148" s="1924"/>
      <c r="H148" s="1924"/>
      <c r="I148" s="1924"/>
    </row>
    <row r="149" spans="2:9" ht="12.75">
      <c r="B149" s="1924"/>
      <c r="C149" s="1924"/>
      <c r="D149" s="1924"/>
      <c r="E149" s="1924"/>
      <c r="F149" s="1924"/>
      <c r="G149" s="1924"/>
      <c r="H149" s="1924"/>
      <c r="I149" s="1924"/>
    </row>
    <row r="150" spans="2:9" ht="12.75">
      <c r="B150" s="1924"/>
      <c r="C150" s="1924"/>
      <c r="D150" s="1924"/>
      <c r="E150" s="1924"/>
      <c r="F150" s="1924"/>
      <c r="G150" s="1924"/>
      <c r="H150" s="1924"/>
      <c r="I150" s="1924"/>
    </row>
    <row r="151" spans="2:9" ht="12.75">
      <c r="B151" s="1924"/>
      <c r="C151" s="1924"/>
      <c r="D151" s="1924"/>
      <c r="E151" s="1924"/>
      <c r="F151" s="1924"/>
      <c r="G151" s="1924"/>
      <c r="H151" s="1924"/>
      <c r="I151" s="1924"/>
    </row>
    <row r="152" spans="2:9" ht="12.75">
      <c r="B152" s="1924"/>
      <c r="C152" s="1924"/>
      <c r="D152" s="1924"/>
      <c r="E152" s="1924"/>
      <c r="F152" s="1924"/>
      <c r="G152" s="1924"/>
      <c r="H152" s="1924"/>
      <c r="I152" s="1924"/>
    </row>
    <row r="153" spans="2:9" ht="12.75">
      <c r="B153" s="1924"/>
      <c r="C153" s="1924"/>
      <c r="D153" s="1924"/>
      <c r="E153" s="1924"/>
      <c r="F153" s="1924"/>
      <c r="G153" s="1924"/>
      <c r="H153" s="1924"/>
      <c r="I153" s="1924"/>
    </row>
    <row r="154" spans="2:9" ht="12.75">
      <c r="B154" s="1924"/>
      <c r="C154" s="1924"/>
      <c r="D154" s="1924"/>
      <c r="E154" s="1924"/>
      <c r="F154" s="1924"/>
      <c r="G154" s="1924"/>
      <c r="H154" s="1924"/>
      <c r="I154" s="1924"/>
    </row>
    <row r="155" spans="2:9" ht="12.75">
      <c r="B155" s="1924"/>
      <c r="C155" s="1924"/>
      <c r="D155" s="1924"/>
      <c r="E155" s="1924"/>
      <c r="F155" s="1924"/>
      <c r="G155" s="1924"/>
      <c r="H155" s="1924"/>
      <c r="I155" s="1924"/>
    </row>
    <row r="156" spans="2:9" ht="12.75">
      <c r="B156" s="1924"/>
      <c r="C156" s="1924"/>
      <c r="D156" s="1924"/>
      <c r="E156" s="1924"/>
      <c r="F156" s="1924"/>
      <c r="G156" s="1924"/>
      <c r="H156" s="1924"/>
      <c r="I156" s="1924"/>
    </row>
    <row r="157" spans="2:9" ht="12.75">
      <c r="B157" s="1924"/>
      <c r="C157" s="1924"/>
      <c r="D157" s="1924"/>
      <c r="E157" s="1924"/>
      <c r="F157" s="1924"/>
      <c r="G157" s="1924"/>
      <c r="H157" s="1924"/>
      <c r="I157" s="1924"/>
    </row>
    <row r="158" spans="2:9" ht="12.75">
      <c r="B158" s="1924"/>
      <c r="C158" s="1924"/>
      <c r="D158" s="1924"/>
      <c r="E158" s="1924"/>
      <c r="F158" s="1924"/>
      <c r="G158" s="1924"/>
      <c r="H158" s="1924"/>
      <c r="I158" s="1924"/>
    </row>
    <row r="159" spans="2:9" ht="12.75">
      <c r="B159" s="1924"/>
      <c r="C159" s="1924"/>
      <c r="D159" s="1924"/>
      <c r="E159" s="1924"/>
      <c r="F159" s="1924"/>
      <c r="G159" s="1924"/>
      <c r="H159" s="1924"/>
      <c r="I159" s="1924"/>
    </row>
    <row r="160" spans="2:9" ht="12.75">
      <c r="B160" s="1924"/>
      <c r="C160" s="1924"/>
      <c r="D160" s="1924"/>
      <c r="E160" s="1924"/>
      <c r="F160" s="1924"/>
      <c r="G160" s="1924"/>
      <c r="H160" s="1924"/>
      <c r="I160" s="1924"/>
    </row>
    <row r="161" spans="2:9" ht="12.75">
      <c r="B161" s="1924"/>
      <c r="C161" s="1924"/>
      <c r="D161" s="1924"/>
      <c r="E161" s="1924"/>
      <c r="F161" s="1924"/>
      <c r="G161" s="1924"/>
      <c r="H161" s="1924"/>
      <c r="I161" s="1924"/>
    </row>
    <row r="162" spans="2:9" ht="12.75">
      <c r="B162" s="1924"/>
      <c r="C162" s="1924"/>
      <c r="D162" s="1924"/>
      <c r="E162" s="1924"/>
      <c r="F162" s="1924"/>
      <c r="G162" s="1924"/>
      <c r="H162" s="1924"/>
      <c r="I162" s="1924"/>
    </row>
    <row r="163" spans="2:9" ht="12.75">
      <c r="B163" s="1924"/>
      <c r="C163" s="1924"/>
      <c r="D163" s="1924"/>
      <c r="E163" s="1924"/>
      <c r="F163" s="1924"/>
      <c r="G163" s="1924"/>
      <c r="H163" s="1924"/>
      <c r="I163" s="1924"/>
    </row>
    <row r="164" spans="2:9" ht="12.75">
      <c r="B164" s="1924"/>
      <c r="C164" s="1924"/>
      <c r="D164" s="1924"/>
      <c r="E164" s="1924"/>
      <c r="F164" s="1924"/>
      <c r="G164" s="1924"/>
      <c r="H164" s="1924"/>
      <c r="I164" s="1924"/>
    </row>
    <row r="165" spans="2:9" ht="12.75">
      <c r="B165" s="1924"/>
      <c r="C165" s="1924"/>
      <c r="D165" s="1924"/>
      <c r="E165" s="1924"/>
      <c r="F165" s="1924"/>
      <c r="G165" s="1924"/>
      <c r="H165" s="1924"/>
      <c r="I165" s="1924"/>
    </row>
    <row r="166" spans="2:9" ht="12.75">
      <c r="B166" s="1924"/>
      <c r="C166" s="1924"/>
      <c r="D166" s="1924"/>
      <c r="E166" s="1924"/>
      <c r="F166" s="1924"/>
      <c r="G166" s="1924"/>
      <c r="H166" s="1924"/>
      <c r="I166" s="1924"/>
    </row>
    <row r="167" spans="2:9" ht="12.75">
      <c r="B167" s="1924"/>
      <c r="C167" s="1924"/>
      <c r="D167" s="1924"/>
      <c r="E167" s="1924"/>
      <c r="F167" s="1924"/>
      <c r="G167" s="1924"/>
      <c r="H167" s="1924"/>
      <c r="I167" s="1924"/>
    </row>
    <row r="168" spans="2:9" ht="12.75">
      <c r="B168" s="1924"/>
      <c r="C168" s="1924"/>
      <c r="D168" s="1924"/>
      <c r="E168" s="1924"/>
      <c r="F168" s="1924"/>
      <c r="G168" s="1924"/>
      <c r="H168" s="1924"/>
      <c r="I168" s="1924"/>
    </row>
    <row r="169" spans="2:9" ht="12.75">
      <c r="B169" s="1924"/>
      <c r="C169" s="1924"/>
      <c r="D169" s="1924"/>
      <c r="E169" s="1924"/>
      <c r="F169" s="1924"/>
      <c r="G169" s="1924"/>
      <c r="H169" s="1924"/>
      <c r="I169" s="1924"/>
    </row>
    <row r="170" spans="2:9" ht="12.75">
      <c r="B170" s="1924"/>
      <c r="C170" s="1924"/>
      <c r="D170" s="1924"/>
      <c r="E170" s="1924"/>
      <c r="F170" s="1924"/>
      <c r="G170" s="1924"/>
      <c r="H170" s="1924"/>
      <c r="I170" s="1924"/>
    </row>
    <row r="171" spans="2:9" ht="12.75">
      <c r="B171" s="1924"/>
      <c r="C171" s="1924"/>
      <c r="D171" s="1924"/>
      <c r="E171" s="1924"/>
      <c r="F171" s="1924"/>
      <c r="G171" s="1924"/>
      <c r="H171" s="1924"/>
      <c r="I171" s="1924"/>
    </row>
    <row r="172" spans="2:9" ht="12.75">
      <c r="B172" s="1924"/>
      <c r="C172" s="1924"/>
      <c r="D172" s="1924"/>
      <c r="E172" s="1924"/>
      <c r="F172" s="1924"/>
      <c r="G172" s="1924"/>
      <c r="H172" s="1924"/>
      <c r="I172" s="1924"/>
    </row>
    <row r="173" spans="2:9" ht="12.75">
      <c r="B173" s="1924"/>
      <c r="C173" s="1924"/>
      <c r="D173" s="1924"/>
      <c r="E173" s="1924"/>
      <c r="F173" s="1924"/>
      <c r="G173" s="1924"/>
      <c r="H173" s="1924"/>
      <c r="I173" s="1924"/>
    </row>
    <row r="174" spans="2:9" ht="12.75">
      <c r="B174" s="1924"/>
      <c r="C174" s="1924"/>
      <c r="D174" s="1924"/>
      <c r="E174" s="1924"/>
      <c r="F174" s="1924"/>
      <c r="G174" s="1924"/>
      <c r="H174" s="1924"/>
      <c r="I174" s="1924"/>
    </row>
    <row r="175" spans="2:9" ht="12.75">
      <c r="B175" s="1924"/>
      <c r="C175" s="1924"/>
      <c r="D175" s="1924"/>
      <c r="E175" s="1924"/>
      <c r="F175" s="1924"/>
      <c r="G175" s="1924"/>
      <c r="H175" s="1924"/>
      <c r="I175" s="1924"/>
    </row>
    <row r="176" spans="2:9" ht="12.75">
      <c r="B176" s="1924"/>
      <c r="C176" s="1924"/>
      <c r="D176" s="1924"/>
      <c r="E176" s="1924"/>
      <c r="F176" s="1924"/>
      <c r="G176" s="1924"/>
      <c r="H176" s="1924"/>
      <c r="I176" s="1924"/>
    </row>
    <row r="177" spans="2:9" ht="12.75">
      <c r="B177" s="1924"/>
      <c r="C177" s="1924"/>
      <c r="D177" s="1924"/>
      <c r="E177" s="1924"/>
      <c r="F177" s="1924"/>
      <c r="G177" s="1924"/>
      <c r="H177" s="1924"/>
      <c r="I177" s="1924"/>
    </row>
    <row r="178" spans="2:9" ht="12.75">
      <c r="B178" s="1924"/>
      <c r="C178" s="1924"/>
      <c r="D178" s="1924"/>
      <c r="E178" s="1924"/>
      <c r="F178" s="1924"/>
      <c r="G178" s="1924"/>
      <c r="H178" s="1924"/>
      <c r="I178" s="1924"/>
    </row>
    <row r="179" spans="2:9" ht="12.75">
      <c r="B179" s="1924"/>
      <c r="C179" s="1924"/>
      <c r="D179" s="1924"/>
      <c r="E179" s="1924"/>
      <c r="F179" s="1924"/>
      <c r="G179" s="1924"/>
      <c r="H179" s="1924"/>
      <c r="I179" s="1924"/>
    </row>
    <row r="180" spans="2:9" ht="12.75">
      <c r="B180" s="1924"/>
      <c r="C180" s="1924"/>
      <c r="D180" s="1924"/>
      <c r="E180" s="1924"/>
      <c r="F180" s="1924"/>
      <c r="G180" s="1924"/>
      <c r="H180" s="1924"/>
      <c r="I180" s="1924"/>
    </row>
    <row r="181" spans="2:9" ht="12.75">
      <c r="B181" s="1924"/>
      <c r="C181" s="1924"/>
      <c r="D181" s="1924"/>
      <c r="E181" s="1924"/>
      <c r="F181" s="1924"/>
      <c r="G181" s="1924"/>
      <c r="H181" s="1924"/>
      <c r="I181" s="1924"/>
    </row>
    <row r="182" spans="2:9" ht="12.75">
      <c r="B182" s="1924"/>
      <c r="C182" s="1924"/>
      <c r="D182" s="1924"/>
      <c r="E182" s="1924"/>
      <c r="F182" s="1924"/>
      <c r="G182" s="1924"/>
      <c r="H182" s="1924"/>
      <c r="I182" s="1924"/>
    </row>
    <row r="183" spans="2:9" ht="12.75">
      <c r="B183" s="1924"/>
      <c r="C183" s="1924"/>
      <c r="D183" s="1924"/>
      <c r="E183" s="1924"/>
      <c r="F183" s="1924"/>
      <c r="G183" s="1924"/>
      <c r="H183" s="1924"/>
      <c r="I183" s="1924"/>
    </row>
    <row r="184" spans="2:9" ht="12.75">
      <c r="B184" s="1924"/>
      <c r="C184" s="1924"/>
      <c r="D184" s="1924"/>
      <c r="E184" s="1924"/>
      <c r="F184" s="1924"/>
      <c r="G184" s="1924"/>
      <c r="H184" s="1924"/>
      <c r="I184" s="1924"/>
    </row>
    <row r="185" spans="2:9" ht="12.75">
      <c r="B185" s="1924"/>
      <c r="C185" s="1924"/>
      <c r="D185" s="1924"/>
      <c r="E185" s="1924"/>
      <c r="F185" s="1924"/>
      <c r="G185" s="1924"/>
      <c r="H185" s="1924"/>
      <c r="I185" s="1924"/>
    </row>
    <row r="186" spans="2:9" ht="12.75">
      <c r="B186" s="1924"/>
      <c r="C186" s="1924"/>
      <c r="D186" s="1924"/>
      <c r="E186" s="1924"/>
      <c r="F186" s="1924"/>
      <c r="G186" s="1924"/>
      <c r="H186" s="1924"/>
      <c r="I186" s="1924"/>
    </row>
    <row r="187" spans="2:9" ht="12.75">
      <c r="B187" s="1924"/>
      <c r="C187" s="1924"/>
      <c r="D187" s="1924"/>
      <c r="E187" s="1924"/>
      <c r="F187" s="1924"/>
      <c r="G187" s="1924"/>
      <c r="H187" s="1924"/>
      <c r="I187" s="1924"/>
    </row>
    <row r="188" spans="2:9" ht="12.75">
      <c r="B188" s="1924"/>
      <c r="C188" s="1924"/>
      <c r="D188" s="1924"/>
      <c r="E188" s="1924"/>
      <c r="F188" s="1924"/>
      <c r="G188" s="1924"/>
      <c r="H188" s="1924"/>
      <c r="I188" s="1924"/>
    </row>
    <row r="189" spans="2:9" ht="12.75">
      <c r="B189" s="1924"/>
      <c r="C189" s="1924"/>
      <c r="D189" s="1924"/>
      <c r="E189" s="1924"/>
      <c r="F189" s="1924"/>
      <c r="G189" s="1924"/>
      <c r="H189" s="1924"/>
      <c r="I189" s="1924"/>
    </row>
    <row r="190" spans="2:9" ht="12.75">
      <c r="B190" s="1924"/>
      <c r="C190" s="1924"/>
      <c r="D190" s="1924"/>
      <c r="E190" s="1924"/>
      <c r="F190" s="1924"/>
      <c r="G190" s="1924"/>
      <c r="H190" s="1924"/>
      <c r="I190" s="1924"/>
    </row>
    <row r="191" spans="2:9" ht="12.75">
      <c r="B191" s="1924"/>
      <c r="C191" s="1924"/>
      <c r="D191" s="1924"/>
      <c r="E191" s="1924"/>
      <c r="F191" s="1924"/>
      <c r="G191" s="1924"/>
      <c r="H191" s="1924"/>
      <c r="I191" s="1924"/>
    </row>
    <row r="192" spans="2:9" ht="12.75">
      <c r="B192" s="1924"/>
      <c r="C192" s="1924"/>
      <c r="D192" s="1924"/>
      <c r="E192" s="1924"/>
      <c r="F192" s="1924"/>
      <c r="G192" s="1924"/>
      <c r="H192" s="1924"/>
      <c r="I192" s="1924"/>
    </row>
    <row r="193" spans="2:9" ht="12.75">
      <c r="B193" s="1924"/>
      <c r="C193" s="1924"/>
      <c r="D193" s="1924"/>
      <c r="E193" s="1924"/>
      <c r="F193" s="1924"/>
      <c r="G193" s="1924"/>
      <c r="H193" s="1924"/>
      <c r="I193" s="1924"/>
    </row>
    <row r="194" spans="2:9" ht="12.75">
      <c r="B194" s="1924"/>
      <c r="C194" s="1924"/>
      <c r="D194" s="1924"/>
      <c r="E194" s="1924"/>
      <c r="F194" s="1924"/>
      <c r="G194" s="1924"/>
      <c r="H194" s="1924"/>
      <c r="I194" s="1924"/>
    </row>
    <row r="195" spans="2:9" ht="12.75">
      <c r="B195" s="1924"/>
      <c r="C195" s="1924"/>
      <c r="D195" s="1924"/>
      <c r="E195" s="1924"/>
      <c r="F195" s="1924"/>
      <c r="G195" s="1924"/>
      <c r="H195" s="1924"/>
      <c r="I195" s="1924"/>
    </row>
    <row r="196" spans="2:9" ht="12.75">
      <c r="B196" s="1924"/>
      <c r="C196" s="1924"/>
      <c r="D196" s="1924"/>
      <c r="E196" s="1924"/>
      <c r="F196" s="1924"/>
      <c r="G196" s="1924"/>
      <c r="H196" s="1924"/>
      <c r="I196" s="1924"/>
    </row>
    <row r="197" spans="2:9" ht="12.75">
      <c r="B197" s="1924"/>
      <c r="C197" s="1924"/>
      <c r="D197" s="1924"/>
      <c r="E197" s="1924"/>
      <c r="F197" s="1924"/>
      <c r="G197" s="1924"/>
      <c r="H197" s="1924"/>
      <c r="I197" s="1924"/>
    </row>
    <row r="198" spans="2:9" ht="12.75">
      <c r="B198" s="1924"/>
      <c r="C198" s="1924"/>
      <c r="D198" s="1924"/>
      <c r="E198" s="1924"/>
      <c r="F198" s="1924"/>
      <c r="G198" s="1924"/>
      <c r="H198" s="1924"/>
      <c r="I198" s="1924"/>
    </row>
    <row r="199" spans="2:9" ht="12.75">
      <c r="B199" s="1924"/>
      <c r="C199" s="1924"/>
      <c r="D199" s="1924"/>
      <c r="E199" s="1924"/>
      <c r="F199" s="1924"/>
      <c r="G199" s="1924"/>
      <c r="H199" s="1924"/>
      <c r="I199" s="1924"/>
    </row>
    <row r="200" spans="2:9" ht="12.75">
      <c r="B200" s="1924"/>
      <c r="C200" s="1924"/>
      <c r="D200" s="1924"/>
      <c r="E200" s="1924"/>
      <c r="F200" s="1924"/>
      <c r="G200" s="1924"/>
      <c r="H200" s="1924"/>
      <c r="I200" s="1924"/>
    </row>
    <row r="201" spans="2:9" ht="12.75">
      <c r="B201" s="1924"/>
      <c r="C201" s="1924"/>
      <c r="D201" s="1924"/>
      <c r="E201" s="1924"/>
      <c r="F201" s="1924"/>
      <c r="G201" s="1924"/>
      <c r="H201" s="1924"/>
      <c r="I201" s="1924"/>
    </row>
    <row r="202" spans="2:9" ht="12.75">
      <c r="B202" s="1924"/>
      <c r="C202" s="1924"/>
      <c r="D202" s="1924"/>
      <c r="E202" s="1924"/>
      <c r="F202" s="1924"/>
      <c r="G202" s="1924"/>
      <c r="H202" s="1924"/>
      <c r="I202" s="1924"/>
    </row>
    <row r="203" spans="2:9" ht="12.75">
      <c r="B203" s="1924"/>
      <c r="C203" s="1924"/>
      <c r="D203" s="1924"/>
      <c r="E203" s="1924"/>
      <c r="F203" s="1924"/>
      <c r="G203" s="1924"/>
      <c r="H203" s="1924"/>
      <c r="I203" s="1924"/>
    </row>
    <row r="204" spans="2:9" ht="12.75">
      <c r="B204" s="1924"/>
      <c r="C204" s="1924"/>
      <c r="D204" s="1924"/>
      <c r="E204" s="1924"/>
      <c r="F204" s="1924"/>
      <c r="G204" s="1924"/>
      <c r="H204" s="1924"/>
      <c r="I204" s="1924"/>
    </row>
    <row r="205" spans="2:9" ht="12.75">
      <c r="B205" s="1924"/>
      <c r="C205" s="1924"/>
      <c r="D205" s="1924"/>
      <c r="E205" s="1924"/>
      <c r="F205" s="1924"/>
      <c r="G205" s="1924"/>
      <c r="H205" s="1924"/>
      <c r="I205" s="1924"/>
    </row>
    <row r="206" spans="2:9" ht="12.75">
      <c r="B206" s="1924"/>
      <c r="C206" s="1924"/>
      <c r="D206" s="1924"/>
      <c r="E206" s="1924"/>
      <c r="F206" s="1924"/>
      <c r="G206" s="1924"/>
      <c r="H206" s="1924"/>
      <c r="I206" s="1924"/>
    </row>
    <row r="207" spans="2:9" ht="12.75">
      <c r="B207" s="1924"/>
      <c r="C207" s="1924"/>
      <c r="D207" s="1924"/>
      <c r="E207" s="1924"/>
      <c r="F207" s="1924"/>
      <c r="G207" s="1924"/>
      <c r="H207" s="1924"/>
      <c r="I207" s="1924"/>
    </row>
    <row r="208" spans="2:9" ht="12.75">
      <c r="B208" s="1924"/>
      <c r="C208" s="1924"/>
      <c r="D208" s="1924"/>
      <c r="E208" s="1924"/>
      <c r="F208" s="1924"/>
      <c r="G208" s="1924"/>
      <c r="H208" s="1924"/>
      <c r="I208" s="1924"/>
    </row>
    <row r="209" spans="2:9" ht="12.75">
      <c r="B209" s="1924"/>
      <c r="C209" s="1924"/>
      <c r="D209" s="1924"/>
      <c r="E209" s="1924"/>
      <c r="F209" s="1924"/>
      <c r="G209" s="1924"/>
      <c r="H209" s="1924"/>
      <c r="I209" s="1924"/>
    </row>
    <row r="210" spans="2:9" ht="12.75">
      <c r="B210" s="1924"/>
      <c r="C210" s="1924"/>
      <c r="D210" s="1924"/>
      <c r="E210" s="1924"/>
      <c r="F210" s="1924"/>
      <c r="G210" s="1924"/>
      <c r="H210" s="1924"/>
      <c r="I210" s="1924"/>
    </row>
    <row r="211" spans="2:9" ht="12.75">
      <c r="B211" s="1924"/>
      <c r="C211" s="1924"/>
      <c r="D211" s="1924"/>
      <c r="E211" s="1924"/>
      <c r="F211" s="1924"/>
      <c r="G211" s="1924"/>
      <c r="H211" s="1924"/>
      <c r="I211" s="1924"/>
    </row>
    <row r="212" spans="2:9" ht="12.75">
      <c r="B212" s="1924"/>
      <c r="C212" s="1924"/>
      <c r="D212" s="1924"/>
      <c r="E212" s="1924"/>
      <c r="F212" s="1924"/>
      <c r="G212" s="1924"/>
      <c r="H212" s="1924"/>
      <c r="I212" s="1924"/>
    </row>
    <row r="213" spans="2:9" ht="12.75">
      <c r="B213" s="1924"/>
      <c r="C213" s="1924"/>
      <c r="D213" s="1924"/>
      <c r="E213" s="1924"/>
      <c r="F213" s="1924"/>
      <c r="G213" s="1924"/>
      <c r="H213" s="1924"/>
      <c r="I213" s="1924"/>
    </row>
    <row r="214" spans="2:9" ht="12.75">
      <c r="B214" s="1924"/>
      <c r="C214" s="1924"/>
      <c r="D214" s="1924"/>
      <c r="E214" s="1924"/>
      <c r="F214" s="1924"/>
      <c r="G214" s="1924"/>
      <c r="H214" s="1924"/>
      <c r="I214" s="1924"/>
    </row>
    <row r="215" spans="2:9" ht="12.75">
      <c r="B215" s="1924"/>
      <c r="C215" s="1924"/>
      <c r="D215" s="1924"/>
      <c r="E215" s="1924"/>
      <c r="F215" s="1924"/>
      <c r="G215" s="1924"/>
      <c r="H215" s="1924"/>
      <c r="I215" s="1924"/>
    </row>
    <row r="216" spans="2:9" ht="12.75">
      <c r="B216" s="1924"/>
      <c r="C216" s="1924"/>
      <c r="D216" s="1924"/>
      <c r="E216" s="1924"/>
      <c r="F216" s="1924"/>
      <c r="G216" s="1924"/>
      <c r="H216" s="1924"/>
      <c r="I216" s="1924"/>
    </row>
    <row r="217" spans="2:9" ht="12.75">
      <c r="B217" s="1924"/>
      <c r="C217" s="1924"/>
      <c r="D217" s="1924"/>
      <c r="E217" s="1924"/>
      <c r="F217" s="1924"/>
      <c r="G217" s="1924"/>
      <c r="H217" s="1924"/>
      <c r="I217" s="1924"/>
    </row>
    <row r="218" spans="2:9" ht="12.75">
      <c r="B218" s="1924"/>
      <c r="C218" s="1924"/>
      <c r="D218" s="1924"/>
      <c r="E218" s="1924"/>
      <c r="F218" s="1924"/>
      <c r="G218" s="1924"/>
      <c r="H218" s="1924"/>
      <c r="I218" s="1924"/>
    </row>
    <row r="219" spans="2:9" ht="12.75">
      <c r="B219" s="1924"/>
      <c r="C219" s="1924"/>
      <c r="D219" s="1924"/>
      <c r="E219" s="1924"/>
      <c r="F219" s="1924"/>
      <c r="G219" s="1924"/>
      <c r="H219" s="1924"/>
      <c r="I219" s="1924"/>
    </row>
    <row r="220" spans="2:9" ht="12.75">
      <c r="B220" s="1924"/>
      <c r="C220" s="1924"/>
      <c r="D220" s="1924"/>
      <c r="E220" s="1924"/>
      <c r="F220" s="1924"/>
      <c r="G220" s="1924"/>
      <c r="H220" s="1924"/>
      <c r="I220" s="1924"/>
    </row>
    <row r="221" spans="2:9" ht="12.75">
      <c r="B221" s="1924"/>
      <c r="C221" s="1924"/>
      <c r="D221" s="1924"/>
      <c r="E221" s="1924"/>
      <c r="F221" s="1924"/>
      <c r="G221" s="1924"/>
      <c r="H221" s="1924"/>
      <c r="I221" s="1924"/>
    </row>
    <row r="222" spans="2:9" ht="12.75">
      <c r="B222" s="1924"/>
      <c r="C222" s="1924"/>
      <c r="D222" s="1924"/>
      <c r="E222" s="1924"/>
      <c r="F222" s="1924"/>
      <c r="G222" s="1924"/>
      <c r="H222" s="1924"/>
      <c r="I222" s="1924"/>
    </row>
    <row r="223" spans="2:9" ht="12.75">
      <c r="B223" s="1924"/>
      <c r="C223" s="1924"/>
      <c r="D223" s="1924"/>
      <c r="E223" s="1924"/>
      <c r="F223" s="1924"/>
      <c r="G223" s="1924"/>
      <c r="H223" s="1924"/>
      <c r="I223" s="1924"/>
    </row>
    <row r="224" spans="2:9" ht="12.75">
      <c r="B224" s="1924"/>
      <c r="C224" s="1924"/>
      <c r="D224" s="1924"/>
      <c r="E224" s="1924"/>
      <c r="F224" s="1924"/>
      <c r="G224" s="1924"/>
      <c r="H224" s="1924"/>
      <c r="I224" s="1924"/>
    </row>
    <row r="225" spans="2:9" ht="12.75">
      <c r="B225" s="1924"/>
      <c r="C225" s="1924"/>
      <c r="D225" s="1924"/>
      <c r="E225" s="1924"/>
      <c r="F225" s="1924"/>
      <c r="G225" s="1924"/>
      <c r="H225" s="1924"/>
      <c r="I225" s="1924"/>
    </row>
    <row r="226" spans="2:9" ht="12.75">
      <c r="B226" s="1924"/>
      <c r="C226" s="1924"/>
      <c r="D226" s="1924"/>
      <c r="E226" s="1924"/>
      <c r="F226" s="1924"/>
      <c r="G226" s="1924"/>
      <c r="H226" s="1924"/>
      <c r="I226" s="1924"/>
    </row>
    <row r="227" spans="2:9" ht="12.75">
      <c r="B227" s="1924"/>
      <c r="C227" s="1924"/>
      <c r="D227" s="1924"/>
      <c r="E227" s="1924"/>
      <c r="F227" s="1924"/>
      <c r="G227" s="1924"/>
      <c r="H227" s="1924"/>
      <c r="I227" s="1924"/>
    </row>
    <row r="228" spans="2:9" ht="12.75">
      <c r="B228" s="1924"/>
      <c r="C228" s="1924"/>
      <c r="D228" s="1924"/>
      <c r="E228" s="1924"/>
      <c r="F228" s="1924"/>
      <c r="G228" s="1924"/>
      <c r="H228" s="1924"/>
      <c r="I228" s="1924"/>
    </row>
    <row r="229" spans="2:9" ht="12.75">
      <c r="B229" s="1924"/>
      <c r="C229" s="1924"/>
      <c r="D229" s="1924"/>
      <c r="E229" s="1924"/>
      <c r="F229" s="1924"/>
      <c r="G229" s="1924"/>
      <c r="H229" s="1924"/>
      <c r="I229" s="1924"/>
    </row>
    <row r="230" spans="2:9" ht="12.75">
      <c r="B230" s="1924"/>
      <c r="C230" s="1924"/>
      <c r="D230" s="1924"/>
      <c r="E230" s="1924"/>
      <c r="F230" s="1924"/>
      <c r="G230" s="1924"/>
      <c r="H230" s="1924"/>
      <c r="I230" s="1924"/>
    </row>
    <row r="231" spans="2:9" ht="12.75">
      <c r="B231" s="1924"/>
      <c r="C231" s="1924"/>
      <c r="D231" s="1924"/>
      <c r="E231" s="1924"/>
      <c r="F231" s="1924"/>
      <c r="G231" s="1924"/>
      <c r="H231" s="1924"/>
      <c r="I231" s="1924"/>
    </row>
    <row r="232" spans="2:9" ht="12.75">
      <c r="B232" s="1924"/>
      <c r="C232" s="1924"/>
      <c r="D232" s="1924"/>
      <c r="E232" s="1924"/>
      <c r="F232" s="1924"/>
      <c r="G232" s="1924"/>
      <c r="H232" s="1924"/>
      <c r="I232" s="1924"/>
    </row>
    <row r="233" spans="2:9" ht="12.75">
      <c r="B233" s="1924"/>
      <c r="C233" s="1924"/>
      <c r="D233" s="1924"/>
      <c r="E233" s="1924"/>
      <c r="F233" s="1924"/>
      <c r="G233" s="1924"/>
      <c r="H233" s="1924"/>
      <c r="I233" s="1924"/>
    </row>
    <row r="234" spans="2:9" ht="12.75">
      <c r="B234" s="1924"/>
      <c r="C234" s="1924"/>
      <c r="D234" s="1924"/>
      <c r="E234" s="1924"/>
      <c r="F234" s="1924"/>
      <c r="G234" s="1924"/>
      <c r="H234" s="1924"/>
      <c r="I234" s="1924"/>
    </row>
    <row r="235" spans="2:9" ht="12.75">
      <c r="B235" s="1924"/>
      <c r="C235" s="1924"/>
      <c r="D235" s="1924"/>
      <c r="E235" s="1924"/>
      <c r="F235" s="1924"/>
      <c r="G235" s="1924"/>
      <c r="H235" s="1924"/>
      <c r="I235" s="1924"/>
    </row>
    <row r="236" spans="2:9" ht="12.75">
      <c r="B236" s="1924"/>
      <c r="C236" s="1924"/>
      <c r="D236" s="1924"/>
      <c r="E236" s="1924"/>
      <c r="F236" s="1924"/>
      <c r="G236" s="1924"/>
      <c r="H236" s="1924"/>
      <c r="I236" s="1924"/>
    </row>
    <row r="237" spans="2:9" ht="12.75">
      <c r="B237" s="1924"/>
      <c r="C237" s="1924"/>
      <c r="D237" s="1924"/>
      <c r="E237" s="1924"/>
      <c r="F237" s="1924"/>
      <c r="G237" s="1924"/>
      <c r="H237" s="1924"/>
      <c r="I237" s="1924"/>
    </row>
    <row r="238" spans="2:9" ht="12.75">
      <c r="B238" s="1924"/>
      <c r="C238" s="1924"/>
      <c r="D238" s="1924"/>
      <c r="E238" s="1924"/>
      <c r="F238" s="1924"/>
      <c r="G238" s="1924"/>
      <c r="H238" s="1924"/>
      <c r="I238" s="1924"/>
    </row>
    <row r="239" spans="2:9" ht="12.75">
      <c r="B239" s="1924"/>
      <c r="C239" s="1924"/>
      <c r="D239" s="1924"/>
      <c r="E239" s="1924"/>
      <c r="F239" s="1924"/>
      <c r="G239" s="1924"/>
      <c r="H239" s="1924"/>
      <c r="I239" s="1924"/>
    </row>
    <row r="240" spans="2:9" ht="12.75">
      <c r="B240" s="1924"/>
      <c r="C240" s="1924"/>
      <c r="D240" s="1924"/>
      <c r="E240" s="1924"/>
      <c r="F240" s="1924"/>
      <c r="G240" s="1924"/>
      <c r="H240" s="1924"/>
      <c r="I240" s="1924"/>
    </row>
    <row r="241" spans="2:9" ht="12.75">
      <c r="B241" s="1924"/>
      <c r="C241" s="1924"/>
      <c r="D241" s="1924"/>
      <c r="E241" s="1924"/>
      <c r="F241" s="1924"/>
      <c r="G241" s="1924"/>
      <c r="H241" s="1924"/>
      <c r="I241" s="1924"/>
    </row>
    <row r="242" spans="2:9" ht="12.75">
      <c r="B242" s="1924"/>
      <c r="C242" s="1924"/>
      <c r="D242" s="1924"/>
      <c r="E242" s="1924"/>
      <c r="F242" s="1924"/>
      <c r="G242" s="1924"/>
      <c r="H242" s="1924"/>
      <c r="I242" s="1924"/>
    </row>
    <row r="243" spans="2:9" ht="12.75">
      <c r="B243" s="1924"/>
      <c r="C243" s="1924"/>
      <c r="D243" s="1924"/>
      <c r="E243" s="1924"/>
      <c r="F243" s="1924"/>
      <c r="G243" s="1924"/>
      <c r="H243" s="1924"/>
      <c r="I243" s="1924"/>
    </row>
    <row r="244" spans="2:9" ht="12.75">
      <c r="B244" s="1924"/>
      <c r="C244" s="1924"/>
      <c r="D244" s="1924"/>
      <c r="E244" s="1924"/>
      <c r="F244" s="1924"/>
      <c r="G244" s="1924"/>
      <c r="H244" s="1924"/>
      <c r="I244" s="1924"/>
    </row>
    <row r="245" spans="2:9" ht="12.75">
      <c r="B245" s="1924"/>
      <c r="C245" s="1924"/>
      <c r="D245" s="1924"/>
      <c r="E245" s="1924"/>
      <c r="F245" s="1924"/>
      <c r="G245" s="1924"/>
      <c r="H245" s="1924"/>
      <c r="I245" s="1924"/>
    </row>
    <row r="246" spans="2:9" ht="12.75">
      <c r="B246" s="1924"/>
      <c r="C246" s="1924"/>
      <c r="D246" s="1924"/>
      <c r="E246" s="1924"/>
      <c r="F246" s="1924"/>
      <c r="G246" s="1924"/>
      <c r="H246" s="1924"/>
      <c r="I246" s="1924"/>
    </row>
    <row r="247" spans="2:9" ht="12.75">
      <c r="B247" s="1924"/>
      <c r="C247" s="1924"/>
      <c r="D247" s="1924"/>
      <c r="E247" s="1924"/>
      <c r="F247" s="1924"/>
      <c r="G247" s="1924"/>
      <c r="H247" s="1924"/>
      <c r="I247" s="1924"/>
    </row>
    <row r="248" spans="2:9" ht="12.75">
      <c r="B248" s="1924"/>
      <c r="C248" s="1924"/>
      <c r="D248" s="1924"/>
      <c r="E248" s="1924"/>
      <c r="F248" s="1924"/>
      <c r="G248" s="1924"/>
      <c r="H248" s="1924"/>
      <c r="I248" s="1924"/>
    </row>
    <row r="249" spans="2:9" ht="12.75">
      <c r="B249" s="1924"/>
      <c r="C249" s="1924"/>
      <c r="D249" s="1924"/>
      <c r="E249" s="1924"/>
      <c r="F249" s="1924"/>
      <c r="G249" s="1924"/>
      <c r="H249" s="1924"/>
      <c r="I249" s="1924"/>
    </row>
    <row r="250" spans="2:9" ht="12.75">
      <c r="B250" s="1924"/>
      <c r="C250" s="1924"/>
      <c r="D250" s="1924"/>
      <c r="E250" s="1924"/>
      <c r="F250" s="1924"/>
      <c r="G250" s="1924"/>
      <c r="H250" s="1924"/>
      <c r="I250" s="1924"/>
    </row>
    <row r="251" spans="2:9" ht="12.75">
      <c r="B251" s="1924"/>
      <c r="C251" s="1924"/>
      <c r="D251" s="1924"/>
      <c r="E251" s="1924"/>
      <c r="F251" s="1924"/>
      <c r="G251" s="1924"/>
      <c r="H251" s="1924"/>
      <c r="I251" s="1924"/>
    </row>
    <row r="252" spans="2:9" ht="12.75">
      <c r="B252" s="1924"/>
      <c r="C252" s="1924"/>
      <c r="D252" s="1924"/>
      <c r="E252" s="1924"/>
      <c r="F252" s="1924"/>
      <c r="G252" s="1924"/>
      <c r="H252" s="1924"/>
      <c r="I252" s="1924"/>
    </row>
    <row r="253" spans="2:9" ht="12.75">
      <c r="B253" s="1924"/>
      <c r="C253" s="1924"/>
      <c r="D253" s="1924"/>
      <c r="E253" s="1924"/>
      <c r="F253" s="1924"/>
      <c r="G253" s="1924"/>
      <c r="H253" s="1924"/>
      <c r="I253" s="1924"/>
    </row>
    <row r="254" spans="2:9" ht="12.75">
      <c r="B254" s="1924"/>
      <c r="C254" s="1924"/>
      <c r="D254" s="1924"/>
      <c r="E254" s="1924"/>
      <c r="F254" s="1924"/>
      <c r="G254" s="1924"/>
      <c r="H254" s="1924"/>
      <c r="I254" s="1924"/>
    </row>
    <row r="255" spans="2:9" ht="12.75">
      <c r="B255" s="1924"/>
      <c r="C255" s="1924"/>
      <c r="D255" s="1924"/>
      <c r="E255" s="1924"/>
      <c r="F255" s="1924"/>
      <c r="G255" s="1924"/>
      <c r="H255" s="1924"/>
      <c r="I255" s="1924"/>
    </row>
    <row r="256" spans="2:9" ht="12.75">
      <c r="B256" s="1924"/>
      <c r="C256" s="1924"/>
      <c r="D256" s="1924"/>
      <c r="E256" s="1924"/>
      <c r="F256" s="1924"/>
      <c r="G256" s="1924"/>
      <c r="H256" s="1924"/>
      <c r="I256" s="1924"/>
    </row>
    <row r="257" spans="2:9" ht="12.75">
      <c r="B257" s="1924"/>
      <c r="C257" s="1924"/>
      <c r="D257" s="1924"/>
      <c r="E257" s="1924"/>
      <c r="F257" s="1924"/>
      <c r="G257" s="1924"/>
      <c r="H257" s="1924"/>
      <c r="I257" s="1924"/>
    </row>
    <row r="258" spans="2:9" ht="12.75">
      <c r="B258" s="1924"/>
      <c r="C258" s="1924"/>
      <c r="D258" s="1924"/>
      <c r="E258" s="1924"/>
      <c r="F258" s="1924"/>
      <c r="G258" s="1924"/>
      <c r="H258" s="1924"/>
      <c r="I258" s="1924"/>
    </row>
    <row r="259" spans="2:9" ht="12.75">
      <c r="B259" s="1924"/>
      <c r="C259" s="1924"/>
      <c r="D259" s="1924"/>
      <c r="E259" s="1924"/>
      <c r="F259" s="1924"/>
      <c r="G259" s="1924"/>
      <c r="H259" s="1924"/>
      <c r="I259" s="1924"/>
    </row>
    <row r="260" spans="2:9" ht="12.75">
      <c r="B260" s="1924"/>
      <c r="C260" s="1924"/>
      <c r="D260" s="1924"/>
      <c r="E260" s="1924"/>
      <c r="F260" s="1924"/>
      <c r="G260" s="1924"/>
      <c r="H260" s="1924"/>
      <c r="I260" s="1924"/>
    </row>
    <row r="261" spans="2:9" ht="12.75">
      <c r="B261" s="1924"/>
      <c r="C261" s="1924"/>
      <c r="D261" s="1924"/>
      <c r="E261" s="1924"/>
      <c r="F261" s="1924"/>
      <c r="G261" s="1924"/>
      <c r="H261" s="1924"/>
      <c r="I261" s="1924"/>
    </row>
    <row r="262" spans="2:9" ht="12.75">
      <c r="B262" s="1924"/>
      <c r="C262" s="1924"/>
      <c r="D262" s="1924"/>
      <c r="E262" s="1924"/>
      <c r="F262" s="1924"/>
      <c r="G262" s="1924"/>
      <c r="H262" s="1924"/>
      <c r="I262" s="1924"/>
    </row>
    <row r="263" spans="2:9" ht="12.75">
      <c r="B263" s="1924"/>
      <c r="C263" s="1924"/>
      <c r="D263" s="1924"/>
      <c r="E263" s="1924"/>
      <c r="F263" s="1924"/>
      <c r="G263" s="1924"/>
      <c r="H263" s="1924"/>
      <c r="I263" s="1924"/>
    </row>
    <row r="264" spans="2:9" ht="12.75">
      <c r="B264" s="1924"/>
      <c r="C264" s="1924"/>
      <c r="D264" s="1924"/>
      <c r="E264" s="1924"/>
      <c r="F264" s="1924"/>
      <c r="G264" s="1924"/>
      <c r="H264" s="1924"/>
      <c r="I264" s="1924"/>
    </row>
    <row r="265" spans="2:9" ht="12.75">
      <c r="B265" s="1924"/>
      <c r="C265" s="1924"/>
      <c r="D265" s="1924"/>
      <c r="E265" s="1924"/>
      <c r="F265" s="1924"/>
      <c r="G265" s="1924"/>
      <c r="H265" s="1924"/>
      <c r="I265" s="1924"/>
    </row>
    <row r="266" spans="2:9" ht="12.75">
      <c r="B266" s="1924"/>
      <c r="C266" s="1924"/>
      <c r="D266" s="1924"/>
      <c r="E266" s="1924"/>
      <c r="F266" s="1924"/>
      <c r="G266" s="1924"/>
      <c r="H266" s="1924"/>
      <c r="I266" s="1924"/>
    </row>
    <row r="267" spans="2:9" ht="12.75">
      <c r="B267" s="1924"/>
      <c r="C267" s="1924"/>
      <c r="D267" s="1924"/>
      <c r="E267" s="1924"/>
      <c r="F267" s="1924"/>
      <c r="G267" s="1924"/>
      <c r="H267" s="1924"/>
      <c r="I267" s="1924"/>
    </row>
    <row r="268" spans="2:9" ht="12.75">
      <c r="B268" s="1924"/>
      <c r="C268" s="1924"/>
      <c r="D268" s="1924"/>
      <c r="E268" s="1924"/>
      <c r="F268" s="1924"/>
      <c r="G268" s="1924"/>
      <c r="H268" s="1924"/>
      <c r="I268" s="1924"/>
    </row>
    <row r="269" spans="2:9" ht="12.75">
      <c r="B269" s="1924"/>
      <c r="C269" s="1924"/>
      <c r="D269" s="1924"/>
      <c r="E269" s="1924"/>
      <c r="F269" s="1924"/>
      <c r="G269" s="1924"/>
      <c r="H269" s="1924"/>
      <c r="I269" s="1924"/>
    </row>
    <row r="270" spans="2:9" ht="12.75">
      <c r="B270" s="1924"/>
      <c r="C270" s="1924"/>
      <c r="D270" s="1924"/>
      <c r="E270" s="1924"/>
      <c r="F270" s="1924"/>
      <c r="G270" s="1924"/>
      <c r="H270" s="1924"/>
      <c r="I270" s="1924"/>
    </row>
    <row r="271" spans="2:9" ht="12.75">
      <c r="B271" s="1924"/>
      <c r="C271" s="1924"/>
      <c r="D271" s="1924"/>
      <c r="E271" s="1924"/>
      <c r="F271" s="1924"/>
      <c r="G271" s="1924"/>
      <c r="H271" s="1924"/>
      <c r="I271" s="1924"/>
    </row>
    <row r="272" spans="2:9" ht="12.75">
      <c r="B272" s="1924"/>
      <c r="C272" s="1924"/>
      <c r="D272" s="1924"/>
      <c r="E272" s="1924"/>
      <c r="F272" s="1924"/>
      <c r="G272" s="1924"/>
      <c r="H272" s="1924"/>
      <c r="I272" s="1924"/>
    </row>
    <row r="273" spans="2:9" ht="12.75">
      <c r="B273" s="1924"/>
      <c r="C273" s="1924"/>
      <c r="D273" s="1924"/>
      <c r="E273" s="1924"/>
      <c r="F273" s="1924"/>
      <c r="G273" s="1924"/>
      <c r="H273" s="1924"/>
      <c r="I273" s="1924"/>
    </row>
    <row r="274" spans="2:9" ht="12.75">
      <c r="B274" s="1924"/>
      <c r="C274" s="1924"/>
      <c r="D274" s="1924"/>
      <c r="E274" s="1924"/>
      <c r="F274" s="1924"/>
      <c r="G274" s="1924"/>
      <c r="H274" s="1924"/>
      <c r="I274" s="1924"/>
    </row>
    <row r="275" spans="2:9" ht="12.75">
      <c r="B275" s="1924"/>
      <c r="C275" s="1924"/>
      <c r="D275" s="1924"/>
      <c r="E275" s="1924"/>
      <c r="F275" s="1924"/>
      <c r="G275" s="1924"/>
      <c r="H275" s="1924"/>
      <c r="I275" s="1924"/>
    </row>
    <row r="276" spans="2:9" ht="12.75">
      <c r="B276" s="1924"/>
      <c r="C276" s="1924"/>
      <c r="D276" s="1924"/>
      <c r="E276" s="1924"/>
      <c r="F276" s="1924"/>
      <c r="G276" s="1924"/>
      <c r="H276" s="1924"/>
      <c r="I276" s="1924"/>
    </row>
    <row r="277" spans="2:9" ht="12.75">
      <c r="B277" s="1924"/>
      <c r="C277" s="1924"/>
      <c r="D277" s="1924"/>
      <c r="E277" s="1924"/>
      <c r="F277" s="1924"/>
      <c r="G277" s="1924"/>
      <c r="H277" s="1924"/>
      <c r="I277" s="1924"/>
    </row>
    <row r="278" spans="2:9" ht="12.75">
      <c r="B278" s="1924"/>
      <c r="C278" s="1924"/>
      <c r="D278" s="1924"/>
      <c r="E278" s="1924"/>
      <c r="F278" s="1924"/>
      <c r="G278" s="1924"/>
      <c r="H278" s="1924"/>
      <c r="I278" s="1924"/>
    </row>
    <row r="279" spans="2:9" ht="12.75">
      <c r="B279" s="1924"/>
      <c r="C279" s="1924"/>
      <c r="D279" s="1924"/>
      <c r="E279" s="1924"/>
      <c r="F279" s="1924"/>
      <c r="G279" s="1924"/>
      <c r="H279" s="1924"/>
      <c r="I279" s="1924"/>
    </row>
    <row r="280" spans="2:9" ht="12.75">
      <c r="B280" s="1924"/>
      <c r="C280" s="1924"/>
      <c r="D280" s="1924"/>
      <c r="E280" s="1924"/>
      <c r="F280" s="1924"/>
      <c r="G280" s="1924"/>
      <c r="H280" s="1924"/>
      <c r="I280" s="1924"/>
    </row>
    <row r="281" spans="2:9" ht="12.75">
      <c r="B281" s="1924"/>
      <c r="C281" s="1924"/>
      <c r="D281" s="1924"/>
      <c r="E281" s="1924"/>
      <c r="F281" s="1924"/>
      <c r="G281" s="1924"/>
      <c r="H281" s="1924"/>
      <c r="I281" s="1924"/>
    </row>
    <row r="282" spans="2:9" ht="12.75">
      <c r="B282" s="1924"/>
      <c r="C282" s="1924"/>
      <c r="D282" s="1924"/>
      <c r="E282" s="1924"/>
      <c r="F282" s="1924"/>
      <c r="G282" s="1924"/>
      <c r="H282" s="1924"/>
      <c r="I282" s="1924"/>
    </row>
    <row r="283" spans="2:9" ht="12.75">
      <c r="B283" s="1924"/>
      <c r="C283" s="1924"/>
      <c r="D283" s="1924"/>
      <c r="E283" s="1924"/>
      <c r="F283" s="1924"/>
      <c r="G283" s="1924"/>
      <c r="H283" s="1924"/>
      <c r="I283" s="1924"/>
    </row>
    <row r="284" spans="2:9" ht="12.75">
      <c r="B284" s="1924"/>
      <c r="C284" s="1924"/>
      <c r="D284" s="1924"/>
      <c r="E284" s="1924"/>
      <c r="F284" s="1924"/>
      <c r="G284" s="1924"/>
      <c r="H284" s="1924"/>
      <c r="I284" s="1924"/>
    </row>
    <row r="285" spans="2:9" ht="12.75">
      <c r="B285" s="1924"/>
      <c r="C285" s="1924"/>
      <c r="D285" s="1924"/>
      <c r="E285" s="1924"/>
      <c r="F285" s="1924"/>
      <c r="G285" s="1924"/>
      <c r="H285" s="1924"/>
      <c r="I285" s="1924"/>
    </row>
    <row r="286" spans="2:9" ht="12.75">
      <c r="B286" s="1924"/>
      <c r="C286" s="1924"/>
      <c r="D286" s="1924"/>
      <c r="E286" s="1924"/>
      <c r="F286" s="1924"/>
      <c r="G286" s="1924"/>
      <c r="H286" s="1924"/>
      <c r="I286" s="1924"/>
    </row>
    <row r="287" spans="2:9" ht="12.75">
      <c r="B287" s="1924"/>
      <c r="C287" s="1924"/>
      <c r="D287" s="1924"/>
      <c r="E287" s="1924"/>
      <c r="F287" s="1924"/>
      <c r="G287" s="1924"/>
      <c r="H287" s="1924"/>
      <c r="I287" s="1924"/>
    </row>
    <row r="288" spans="2:9" ht="12.75">
      <c r="B288" s="1924"/>
      <c r="C288" s="1924"/>
      <c r="D288" s="1924"/>
      <c r="E288" s="1924"/>
      <c r="F288" s="1924"/>
      <c r="G288" s="1924"/>
      <c r="H288" s="1924"/>
      <c r="I288" s="1924"/>
    </row>
    <row r="289" spans="2:9" ht="12.75">
      <c r="B289" s="1924"/>
      <c r="C289" s="1924"/>
      <c r="D289" s="1924"/>
      <c r="E289" s="1924"/>
      <c r="F289" s="1924"/>
      <c r="G289" s="1924"/>
      <c r="H289" s="1924"/>
      <c r="I289" s="1924"/>
    </row>
    <row r="290" spans="2:9" ht="12.75">
      <c r="B290" s="1924"/>
      <c r="C290" s="1924"/>
      <c r="D290" s="1924"/>
      <c r="E290" s="1924"/>
      <c r="F290" s="1924"/>
      <c r="G290" s="1924"/>
      <c r="H290" s="1924"/>
      <c r="I290" s="1924"/>
    </row>
    <row r="291" spans="2:9" ht="12.75">
      <c r="B291" s="1924"/>
      <c r="C291" s="1924"/>
      <c r="D291" s="1924"/>
      <c r="E291" s="1924"/>
      <c r="F291" s="1924"/>
      <c r="G291" s="1924"/>
      <c r="H291" s="1924"/>
      <c r="I291" s="1924"/>
    </row>
    <row r="292" spans="2:9" ht="12.75">
      <c r="B292" s="1924"/>
      <c r="C292" s="1924"/>
      <c r="D292" s="1924"/>
      <c r="E292" s="1924"/>
      <c r="F292" s="1924"/>
      <c r="G292" s="1924"/>
      <c r="H292" s="1924"/>
      <c r="I292" s="1924"/>
    </row>
    <row r="293" spans="2:9" ht="12.75">
      <c r="B293" s="1924"/>
      <c r="C293" s="1924"/>
      <c r="D293" s="1924"/>
      <c r="E293" s="1924"/>
      <c r="F293" s="1924"/>
      <c r="G293" s="1924"/>
      <c r="H293" s="1924"/>
      <c r="I293" s="1924"/>
    </row>
    <row r="294" spans="2:9" ht="12.75">
      <c r="B294" s="1924"/>
      <c r="C294" s="1924"/>
      <c r="D294" s="1924"/>
      <c r="E294" s="1924"/>
      <c r="F294" s="1924"/>
      <c r="G294" s="1924"/>
      <c r="H294" s="1924"/>
      <c r="I294" s="1924"/>
    </row>
    <row r="295" spans="2:9" ht="12.75">
      <c r="B295" s="1924"/>
      <c r="C295" s="1924"/>
      <c r="D295" s="1924"/>
      <c r="E295" s="1924"/>
      <c r="F295" s="1924"/>
      <c r="G295" s="1924"/>
      <c r="H295" s="1924"/>
      <c r="I295" s="1924"/>
    </row>
    <row r="296" spans="2:9" ht="12.75">
      <c r="B296" s="1924"/>
      <c r="C296" s="1924"/>
      <c r="D296" s="1924"/>
      <c r="E296" s="1924"/>
      <c r="F296" s="1924"/>
      <c r="G296" s="1924"/>
      <c r="H296" s="1924"/>
      <c r="I296" s="1924"/>
    </row>
    <row r="297" spans="2:9" ht="12.75">
      <c r="B297" s="1924"/>
      <c r="C297" s="1924"/>
      <c r="D297" s="1924"/>
      <c r="E297" s="1924"/>
      <c r="F297" s="1924"/>
      <c r="G297" s="1924"/>
      <c r="H297" s="1924"/>
      <c r="I297" s="1924"/>
    </row>
    <row r="298" spans="2:9" ht="12.75">
      <c r="B298" s="1924"/>
      <c r="C298" s="1924"/>
      <c r="D298" s="1924"/>
      <c r="E298" s="1924"/>
      <c r="F298" s="1924"/>
      <c r="G298" s="1924"/>
      <c r="H298" s="1924"/>
      <c r="I298" s="1924"/>
    </row>
    <row r="299" spans="2:9" ht="12.75">
      <c r="B299" s="1924"/>
      <c r="C299" s="1924"/>
      <c r="D299" s="1924"/>
      <c r="E299" s="1924"/>
      <c r="F299" s="1924"/>
      <c r="G299" s="1924"/>
      <c r="H299" s="1924"/>
      <c r="I299" s="1924"/>
    </row>
    <row r="300" spans="2:9" ht="12.75">
      <c r="B300" s="1924"/>
      <c r="C300" s="1924"/>
      <c r="D300" s="1924"/>
      <c r="E300" s="1924"/>
      <c r="F300" s="1924"/>
      <c r="G300" s="1924"/>
      <c r="H300" s="1924"/>
      <c r="I300" s="1924"/>
    </row>
    <row r="301" spans="2:9" ht="12.75">
      <c r="B301" s="1924"/>
      <c r="C301" s="1924"/>
      <c r="D301" s="1924"/>
      <c r="E301" s="1924"/>
      <c r="F301" s="1924"/>
      <c r="G301" s="1924"/>
      <c r="H301" s="1924"/>
      <c r="I301" s="1924"/>
    </row>
    <row r="302" spans="2:9" ht="12.75">
      <c r="B302" s="1924"/>
      <c r="C302" s="1924"/>
      <c r="D302" s="1924"/>
      <c r="E302" s="1924"/>
      <c r="F302" s="1924"/>
      <c r="G302" s="1924"/>
      <c r="H302" s="1924"/>
      <c r="I302" s="1924"/>
    </row>
    <row r="303" spans="2:9" ht="12.75">
      <c r="B303" s="1924"/>
      <c r="C303" s="1924"/>
      <c r="D303" s="1924"/>
      <c r="E303" s="1924"/>
      <c r="F303" s="1924"/>
      <c r="G303" s="1924"/>
      <c r="H303" s="1924"/>
      <c r="I303" s="1924"/>
    </row>
    <row r="304" spans="2:9" ht="12.75">
      <c r="B304" s="1924"/>
      <c r="C304" s="1924"/>
      <c r="D304" s="1924"/>
      <c r="E304" s="1924"/>
      <c r="F304" s="1924"/>
      <c r="G304" s="1924"/>
      <c r="H304" s="1924"/>
      <c r="I304" s="1924"/>
    </row>
    <row r="305" spans="2:9" ht="12.75">
      <c r="B305" s="1924"/>
      <c r="C305" s="1924"/>
      <c r="D305" s="1924"/>
      <c r="E305" s="1924"/>
      <c r="F305" s="1924"/>
      <c r="G305" s="1924"/>
      <c r="H305" s="1924"/>
      <c r="I305" s="1924"/>
    </row>
    <row r="306" spans="2:9" ht="12.75">
      <c r="B306" s="1924"/>
      <c r="C306" s="1924"/>
      <c r="D306" s="1924"/>
      <c r="E306" s="1924"/>
      <c r="F306" s="1924"/>
      <c r="G306" s="1924"/>
      <c r="H306" s="1924"/>
      <c r="I306" s="1924"/>
    </row>
    <row r="307" spans="2:9" ht="12.75">
      <c r="B307" s="1924"/>
      <c r="C307" s="1924"/>
      <c r="D307" s="1924"/>
      <c r="E307" s="1924"/>
      <c r="F307" s="1924"/>
      <c r="G307" s="1924"/>
      <c r="H307" s="1924"/>
      <c r="I307" s="1924"/>
    </row>
    <row r="308" spans="2:9" ht="12.75">
      <c r="B308" s="1924"/>
      <c r="C308" s="1924"/>
      <c r="D308" s="1924"/>
      <c r="E308" s="1924"/>
      <c r="F308" s="1924"/>
      <c r="G308" s="1924"/>
      <c r="H308" s="1924"/>
      <c r="I308" s="1924"/>
    </row>
    <row r="309" spans="2:9" ht="12.75">
      <c r="B309" s="1924"/>
      <c r="C309" s="1924"/>
      <c r="D309" s="1924"/>
      <c r="E309" s="1924"/>
      <c r="F309" s="1924"/>
      <c r="G309" s="1924"/>
      <c r="H309" s="1924"/>
      <c r="I309" s="1924"/>
    </row>
    <row r="310" spans="2:9" ht="12.75">
      <c r="B310" s="1924"/>
      <c r="C310" s="1924"/>
      <c r="D310" s="1924"/>
      <c r="E310" s="1924"/>
      <c r="F310" s="1924"/>
      <c r="G310" s="1924"/>
      <c r="H310" s="1924"/>
      <c r="I310" s="1924"/>
    </row>
    <row r="311" spans="2:9" ht="12.75">
      <c r="B311" s="1924"/>
      <c r="C311" s="1924"/>
      <c r="D311" s="1924"/>
      <c r="E311" s="1924"/>
      <c r="F311" s="1924"/>
      <c r="G311" s="1924"/>
      <c r="H311" s="1924"/>
      <c r="I311" s="1924"/>
    </row>
    <row r="312" spans="2:9" ht="12.75">
      <c r="B312" s="1924"/>
      <c r="C312" s="1924"/>
      <c r="D312" s="1924"/>
      <c r="E312" s="1924"/>
      <c r="F312" s="1924"/>
      <c r="G312" s="1924"/>
      <c r="H312" s="1924"/>
      <c r="I312" s="1924"/>
    </row>
    <row r="313" spans="2:9" ht="12.75">
      <c r="B313" s="1924"/>
      <c r="C313" s="1924"/>
      <c r="D313" s="1924"/>
      <c r="E313" s="1924"/>
      <c r="F313" s="1924"/>
      <c r="G313" s="1924"/>
      <c r="H313" s="1924"/>
      <c r="I313" s="1924"/>
    </row>
    <row r="314" spans="2:9" ht="12.75">
      <c r="B314" s="1924"/>
      <c r="C314" s="1924"/>
      <c r="D314" s="1924"/>
      <c r="E314" s="1924"/>
      <c r="F314" s="1924"/>
      <c r="G314" s="1924"/>
      <c r="H314" s="1924"/>
      <c r="I314" s="1924"/>
    </row>
    <row r="315" spans="2:9" ht="12.75">
      <c r="B315" s="1924"/>
      <c r="C315" s="1924"/>
      <c r="D315" s="1924"/>
      <c r="E315" s="1924"/>
      <c r="F315" s="1924"/>
      <c r="G315" s="1924"/>
      <c r="H315" s="1924"/>
      <c r="I315" s="1924"/>
    </row>
    <row r="316" spans="2:9" ht="12.75">
      <c r="B316" s="1924"/>
      <c r="C316" s="1924"/>
      <c r="D316" s="1924"/>
      <c r="E316" s="1924"/>
      <c r="F316" s="1924"/>
      <c r="G316" s="1924"/>
      <c r="H316" s="1924"/>
      <c r="I316" s="1924"/>
    </row>
    <row r="317" spans="2:9" ht="12.75">
      <c r="B317" s="1924"/>
      <c r="C317" s="1924"/>
      <c r="D317" s="1924"/>
      <c r="E317" s="1924"/>
      <c r="F317" s="1924"/>
      <c r="G317" s="1924"/>
      <c r="H317" s="1924"/>
      <c r="I317" s="1924"/>
    </row>
    <row r="318" spans="2:9" ht="12.75">
      <c r="B318" s="1924"/>
      <c r="C318" s="1924"/>
      <c r="D318" s="1924"/>
      <c r="E318" s="1924"/>
      <c r="F318" s="1924"/>
      <c r="G318" s="1924"/>
      <c r="H318" s="1924"/>
      <c r="I318" s="1924"/>
    </row>
    <row r="319" spans="2:9" ht="12.75">
      <c r="B319" s="1924"/>
      <c r="C319" s="1924"/>
      <c r="D319" s="1924"/>
      <c r="E319" s="1924"/>
      <c r="F319" s="1924"/>
      <c r="G319" s="1924"/>
      <c r="H319" s="1924"/>
      <c r="I319" s="1924"/>
    </row>
    <row r="320" spans="2:9" ht="12.75">
      <c r="B320" s="1924"/>
      <c r="C320" s="1924"/>
      <c r="D320" s="1924"/>
      <c r="E320" s="1924"/>
      <c r="F320" s="1924"/>
      <c r="G320" s="1924"/>
      <c r="H320" s="1924"/>
      <c r="I320" s="1924"/>
    </row>
    <row r="321" spans="2:9" ht="12.75">
      <c r="B321" s="1924"/>
      <c r="C321" s="1924"/>
      <c r="D321" s="1924"/>
      <c r="E321" s="1924"/>
      <c r="F321" s="1924"/>
      <c r="G321" s="1924"/>
      <c r="H321" s="1924"/>
      <c r="I321" s="1924"/>
    </row>
    <row r="322" spans="2:9" ht="12.75">
      <c r="B322" s="1924"/>
      <c r="C322" s="1924"/>
      <c r="D322" s="1924"/>
      <c r="E322" s="1924"/>
      <c r="F322" s="1924"/>
      <c r="G322" s="1924"/>
      <c r="H322" s="1924"/>
      <c r="I322" s="1924"/>
    </row>
    <row r="323" spans="2:9" ht="12.75">
      <c r="B323" s="1924"/>
      <c r="C323" s="1924"/>
      <c r="D323" s="1924"/>
      <c r="E323" s="1924"/>
      <c r="F323" s="1924"/>
      <c r="G323" s="1924"/>
      <c r="H323" s="1924"/>
      <c r="I323" s="1924"/>
    </row>
    <row r="324" spans="2:9" ht="12.75">
      <c r="B324" s="1924"/>
      <c r="C324" s="1924"/>
      <c r="D324" s="1924"/>
      <c r="E324" s="1924"/>
      <c r="F324" s="1924"/>
      <c r="G324" s="1924"/>
      <c r="H324" s="1924"/>
      <c r="I324" s="1924"/>
    </row>
    <row r="325" spans="2:9" ht="12.75">
      <c r="B325" s="1924"/>
      <c r="C325" s="1924"/>
      <c r="D325" s="1924"/>
      <c r="E325" s="1924"/>
      <c r="F325" s="1924"/>
      <c r="G325" s="1924"/>
      <c r="H325" s="1924"/>
      <c r="I325" s="1924"/>
    </row>
    <row r="326" spans="2:9" ht="12.75">
      <c r="B326" s="1924"/>
      <c r="C326" s="1924"/>
      <c r="D326" s="1924"/>
      <c r="E326" s="1924"/>
      <c r="F326" s="1924"/>
      <c r="G326" s="1924"/>
      <c r="H326" s="1924"/>
      <c r="I326" s="1924"/>
    </row>
    <row r="327" spans="2:9" ht="12.75">
      <c r="B327" s="1924"/>
      <c r="C327" s="1924"/>
      <c r="D327" s="1924"/>
      <c r="E327" s="1924"/>
      <c r="F327" s="1924"/>
      <c r="G327" s="1924"/>
      <c r="H327" s="1924"/>
      <c r="I327" s="1924"/>
    </row>
    <row r="328" spans="2:9" ht="12.75">
      <c r="B328" s="1924"/>
      <c r="C328" s="1924"/>
      <c r="D328" s="1924"/>
      <c r="E328" s="1924"/>
      <c r="F328" s="1924"/>
      <c r="G328" s="1924"/>
      <c r="H328" s="1924"/>
      <c r="I328" s="1924"/>
    </row>
    <row r="329" spans="2:9" ht="12.75">
      <c r="B329" s="1924"/>
      <c r="C329" s="1924"/>
      <c r="D329" s="1924"/>
      <c r="E329" s="1924"/>
      <c r="F329" s="1924"/>
      <c r="G329" s="1924"/>
      <c r="H329" s="1924"/>
      <c r="I329" s="1924"/>
    </row>
    <row r="330" spans="2:9" ht="12.75">
      <c r="B330" s="1924"/>
      <c r="C330" s="1924"/>
      <c r="D330" s="1924"/>
      <c r="E330" s="1924"/>
      <c r="F330" s="1924"/>
      <c r="G330" s="1924"/>
      <c r="H330" s="1924"/>
      <c r="I330" s="1924"/>
    </row>
    <row r="331" spans="2:9" ht="12.75">
      <c r="B331" s="1924"/>
      <c r="C331" s="1924"/>
      <c r="D331" s="1924"/>
      <c r="E331" s="1924"/>
      <c r="F331" s="1924"/>
      <c r="G331" s="1924"/>
      <c r="H331" s="1924"/>
      <c r="I331" s="1924"/>
    </row>
    <row r="332" spans="2:9" ht="12.75">
      <c r="B332" s="1924"/>
      <c r="C332" s="1924"/>
      <c r="D332" s="1924"/>
      <c r="E332" s="1924"/>
      <c r="F332" s="1924"/>
      <c r="G332" s="1924"/>
      <c r="H332" s="1924"/>
      <c r="I332" s="1924"/>
    </row>
    <row r="333" spans="2:9" ht="12.75">
      <c r="B333" s="1924"/>
      <c r="C333" s="1924"/>
      <c r="D333" s="1924"/>
      <c r="E333" s="1924"/>
      <c r="F333" s="1924"/>
      <c r="G333" s="1924"/>
      <c r="H333" s="1924"/>
      <c r="I333" s="1924"/>
    </row>
    <row r="334" spans="2:9" ht="12.75">
      <c r="B334" s="1924"/>
      <c r="C334" s="1924"/>
      <c r="D334" s="1924"/>
      <c r="E334" s="1924"/>
      <c r="F334" s="1924"/>
      <c r="G334" s="1924"/>
      <c r="H334" s="1924"/>
      <c r="I334" s="1924"/>
    </row>
    <row r="335" spans="2:9" ht="12.75">
      <c r="B335" s="1924"/>
      <c r="C335" s="1924"/>
      <c r="D335" s="1924"/>
      <c r="E335" s="1924"/>
      <c r="F335" s="1924"/>
      <c r="G335" s="1924"/>
      <c r="H335" s="1924"/>
      <c r="I335" s="1924"/>
    </row>
    <row r="336" spans="2:9" ht="12.75">
      <c r="B336" s="1924"/>
      <c r="C336" s="1924"/>
      <c r="D336" s="1924"/>
      <c r="E336" s="1924"/>
      <c r="F336" s="1924"/>
      <c r="G336" s="1924"/>
      <c r="H336" s="1924"/>
      <c r="I336" s="1924"/>
    </row>
    <row r="337" spans="2:9" ht="12.75">
      <c r="B337" s="1924"/>
      <c r="C337" s="1924"/>
      <c r="D337" s="1924"/>
      <c r="E337" s="1924"/>
      <c r="F337" s="1924"/>
      <c r="G337" s="1924"/>
      <c r="H337" s="1924"/>
      <c r="I337" s="1924"/>
    </row>
    <row r="338" spans="2:9" ht="12.75">
      <c r="B338" s="1924"/>
      <c r="C338" s="1924"/>
      <c r="D338" s="1924"/>
      <c r="E338" s="1924"/>
      <c r="F338" s="1924"/>
      <c r="G338" s="1924"/>
      <c r="H338" s="1924"/>
      <c r="I338" s="1924"/>
    </row>
    <row r="339" spans="2:9" ht="12.75">
      <c r="B339" s="1924"/>
      <c r="C339" s="1924"/>
      <c r="D339" s="1924"/>
      <c r="E339" s="1924"/>
      <c r="F339" s="1924"/>
      <c r="G339" s="1924"/>
      <c r="H339" s="1924"/>
      <c r="I339" s="1924"/>
    </row>
    <row r="340" spans="2:9" ht="12.75">
      <c r="B340" s="1924"/>
      <c r="C340" s="1924"/>
      <c r="D340" s="1924"/>
      <c r="E340" s="1924"/>
      <c r="F340" s="1924"/>
      <c r="G340" s="1924"/>
      <c r="H340" s="1924"/>
      <c r="I340" s="1924"/>
    </row>
    <row r="341" spans="2:9" ht="12.75">
      <c r="B341" s="1924"/>
      <c r="C341" s="1924"/>
      <c r="D341" s="1924"/>
      <c r="E341" s="1924"/>
      <c r="F341" s="1924"/>
      <c r="G341" s="1924"/>
      <c r="H341" s="1924"/>
      <c r="I341" s="1924"/>
    </row>
    <row r="342" spans="2:9" ht="12.75">
      <c r="B342" s="1924"/>
      <c r="C342" s="1924"/>
      <c r="D342" s="1924"/>
      <c r="E342" s="1924"/>
      <c r="F342" s="1924"/>
      <c r="G342" s="1924"/>
      <c r="H342" s="1924"/>
      <c r="I342" s="1924"/>
    </row>
    <row r="343" spans="2:9" ht="12.75">
      <c r="B343" s="1924"/>
      <c r="C343" s="1924"/>
      <c r="D343" s="1924"/>
      <c r="E343" s="1924"/>
      <c r="F343" s="1924"/>
      <c r="G343" s="1924"/>
      <c r="H343" s="1924"/>
      <c r="I343" s="1924"/>
    </row>
    <row r="344" spans="2:9" ht="12.75">
      <c r="B344" s="1924"/>
      <c r="C344" s="1924"/>
      <c r="D344" s="1924"/>
      <c r="E344" s="1924"/>
      <c r="F344" s="1924"/>
      <c r="G344" s="1924"/>
      <c r="H344" s="1924"/>
      <c r="I344" s="1924"/>
    </row>
    <row r="345" spans="2:9" ht="12.75">
      <c r="B345" s="1924"/>
      <c r="C345" s="1924"/>
      <c r="D345" s="1924"/>
      <c r="E345" s="1924"/>
      <c r="F345" s="1924"/>
      <c r="G345" s="1924"/>
      <c r="H345" s="1924"/>
      <c r="I345" s="1924"/>
    </row>
    <row r="346" spans="2:9" ht="12.75">
      <c r="B346" s="1924"/>
      <c r="C346" s="1924"/>
      <c r="D346" s="1924"/>
      <c r="E346" s="1924"/>
      <c r="F346" s="1924"/>
      <c r="G346" s="1924"/>
      <c r="H346" s="1924"/>
      <c r="I346" s="1924"/>
    </row>
    <row r="347" spans="2:9" ht="12.75">
      <c r="B347" s="1924"/>
      <c r="C347" s="1924"/>
      <c r="D347" s="1924"/>
      <c r="E347" s="1924"/>
      <c r="F347" s="1924"/>
      <c r="G347" s="1924"/>
      <c r="H347" s="1924"/>
      <c r="I347" s="1924"/>
    </row>
    <row r="348" spans="2:9" ht="12.75">
      <c r="B348" s="1924"/>
      <c r="C348" s="1924"/>
      <c r="D348" s="1924"/>
      <c r="E348" s="1924"/>
      <c r="F348" s="1924"/>
      <c r="G348" s="1924"/>
      <c r="H348" s="1924"/>
      <c r="I348" s="1924"/>
    </row>
    <row r="349" spans="2:9" ht="12.75">
      <c r="B349" s="1924"/>
      <c r="C349" s="1924"/>
      <c r="D349" s="1924"/>
      <c r="E349" s="1924"/>
      <c r="F349" s="1924"/>
      <c r="G349" s="1924"/>
      <c r="H349" s="1924"/>
      <c r="I349" s="1924"/>
    </row>
    <row r="350" spans="2:9" ht="12.75">
      <c r="B350" s="1924"/>
      <c r="C350" s="1924"/>
      <c r="D350" s="1924"/>
      <c r="E350" s="1924"/>
      <c r="F350" s="1924"/>
      <c r="G350" s="1924"/>
      <c r="H350" s="1924"/>
      <c r="I350" s="1924"/>
    </row>
    <row r="351" spans="2:9" ht="12.75">
      <c r="B351" s="1924"/>
      <c r="C351" s="1924"/>
      <c r="D351" s="1924"/>
      <c r="E351" s="1924"/>
      <c r="F351" s="1924"/>
      <c r="G351" s="1924"/>
      <c r="H351" s="1924"/>
      <c r="I351" s="1924"/>
    </row>
    <row r="352" spans="2:9" ht="12.75">
      <c r="B352" s="1924"/>
      <c r="C352" s="1924"/>
      <c r="D352" s="1924"/>
      <c r="E352" s="1924"/>
      <c r="F352" s="1924"/>
      <c r="G352" s="1924"/>
      <c r="H352" s="1924"/>
      <c r="I352" s="1924"/>
    </row>
    <row r="353" spans="2:9" ht="12.75">
      <c r="B353" s="1924"/>
      <c r="C353" s="1924"/>
      <c r="D353" s="1924"/>
      <c r="E353" s="1924"/>
      <c r="F353" s="1924"/>
      <c r="G353" s="1924"/>
      <c r="H353" s="1924"/>
      <c r="I353" s="1924"/>
    </row>
    <row r="354" spans="2:9" ht="12.75">
      <c r="B354" s="1924"/>
      <c r="C354" s="1924"/>
      <c r="D354" s="1924"/>
      <c r="E354" s="1924"/>
      <c r="F354" s="1924"/>
      <c r="G354" s="1924"/>
      <c r="H354" s="1924"/>
      <c r="I354" s="1924"/>
    </row>
    <row r="355" spans="2:9" ht="12.75">
      <c r="B355" s="1924"/>
      <c r="C355" s="1924"/>
      <c r="D355" s="1924"/>
      <c r="E355" s="1924"/>
      <c r="F355" s="1924"/>
      <c r="G355" s="1924"/>
      <c r="H355" s="1924"/>
      <c r="I355" s="1924"/>
    </row>
    <row r="356" spans="2:9" ht="12.75">
      <c r="B356" s="1924"/>
      <c r="C356" s="1924"/>
      <c r="D356" s="1924"/>
      <c r="E356" s="1924"/>
      <c r="F356" s="1924"/>
      <c r="G356" s="1924"/>
      <c r="H356" s="1924"/>
      <c r="I356" s="1924"/>
    </row>
    <row r="357" spans="2:9" ht="12.75">
      <c r="B357" s="1924"/>
      <c r="C357" s="1924"/>
      <c r="D357" s="1924"/>
      <c r="E357" s="1924"/>
      <c r="F357" s="1924"/>
      <c r="G357" s="1924"/>
      <c r="H357" s="1924"/>
      <c r="I357" s="1924"/>
    </row>
    <row r="358" spans="2:9" ht="12.75">
      <c r="B358" s="1924"/>
      <c r="C358" s="1924"/>
      <c r="D358" s="1924"/>
      <c r="E358" s="1924"/>
      <c r="F358" s="1924"/>
      <c r="G358" s="1924"/>
      <c r="H358" s="1924"/>
      <c r="I358" s="1924"/>
    </row>
    <row r="359" spans="2:9" ht="12.75">
      <c r="B359" s="1924"/>
      <c r="C359" s="1924"/>
      <c r="D359" s="1924"/>
      <c r="E359" s="1924"/>
      <c r="F359" s="1924"/>
      <c r="G359" s="1924"/>
      <c r="H359" s="1924"/>
      <c r="I359" s="1924"/>
    </row>
    <row r="360" spans="2:9" ht="12.75">
      <c r="B360" s="1924"/>
      <c r="C360" s="1924"/>
      <c r="D360" s="1924"/>
      <c r="E360" s="1924"/>
      <c r="F360" s="1924"/>
      <c r="G360" s="1924"/>
      <c r="H360" s="1924"/>
      <c r="I360" s="1924"/>
    </row>
    <row r="361" spans="2:9" ht="12.75">
      <c r="B361" s="1924"/>
      <c r="C361" s="1924"/>
      <c r="D361" s="1924"/>
      <c r="E361" s="1924"/>
      <c r="F361" s="1924"/>
      <c r="G361" s="1924"/>
      <c r="H361" s="1924"/>
      <c r="I361" s="1924"/>
    </row>
    <row r="362" spans="2:9" ht="12.75">
      <c r="B362" s="1924"/>
      <c r="C362" s="1924"/>
      <c r="D362" s="1924"/>
      <c r="E362" s="1924"/>
      <c r="F362" s="1924"/>
      <c r="G362" s="1924"/>
      <c r="H362" s="1924"/>
      <c r="I362" s="1924"/>
    </row>
    <row r="363" spans="2:9" ht="12.75">
      <c r="B363" s="1924"/>
      <c r="C363" s="1924"/>
      <c r="D363" s="1924"/>
      <c r="E363" s="1924"/>
      <c r="F363" s="1924"/>
      <c r="G363" s="1924"/>
      <c r="H363" s="1924"/>
      <c r="I363" s="1924"/>
    </row>
    <row r="364" spans="2:9" ht="12.75">
      <c r="B364" s="1924"/>
      <c r="C364" s="1924"/>
      <c r="D364" s="1924"/>
      <c r="E364" s="1924"/>
      <c r="F364" s="1924"/>
      <c r="G364" s="1924"/>
      <c r="H364" s="1924"/>
      <c r="I364" s="1924"/>
    </row>
    <row r="365" spans="2:9" ht="12.75">
      <c r="B365" s="1924"/>
      <c r="C365" s="1924"/>
      <c r="D365" s="1924"/>
      <c r="E365" s="1924"/>
      <c r="F365" s="1924"/>
      <c r="G365" s="1924"/>
      <c r="H365" s="1924"/>
      <c r="I365" s="1924"/>
    </row>
    <row r="366" spans="2:9" ht="12.75">
      <c r="B366" s="1924"/>
      <c r="C366" s="1924"/>
      <c r="D366" s="1924"/>
      <c r="E366" s="1924"/>
      <c r="F366" s="1924"/>
      <c r="G366" s="1924"/>
      <c r="H366" s="1924"/>
      <c r="I366" s="1924"/>
    </row>
    <row r="367" spans="2:9" ht="12.75">
      <c r="B367" s="1924"/>
      <c r="C367" s="1924"/>
      <c r="D367" s="1924"/>
      <c r="E367" s="1924"/>
      <c r="F367" s="1924"/>
      <c r="G367" s="1924"/>
      <c r="H367" s="1924"/>
      <c r="I367" s="1924"/>
    </row>
    <row r="368" spans="2:9" ht="12.75">
      <c r="B368" s="1924"/>
      <c r="C368" s="1924"/>
      <c r="D368" s="1924"/>
      <c r="E368" s="1924"/>
      <c r="F368" s="1924"/>
      <c r="G368" s="1924"/>
      <c r="H368" s="1924"/>
      <c r="I368" s="1924"/>
    </row>
    <row r="369" spans="2:9" ht="12.75">
      <c r="B369" s="1924"/>
      <c r="C369" s="1924"/>
      <c r="D369" s="1924"/>
      <c r="E369" s="1924"/>
      <c r="F369" s="1924"/>
      <c r="G369" s="1924"/>
      <c r="H369" s="1924"/>
      <c r="I369" s="1924"/>
    </row>
    <row r="370" spans="2:9" ht="12.75">
      <c r="B370" s="1924"/>
      <c r="C370" s="1924"/>
      <c r="D370" s="1924"/>
      <c r="E370" s="1924"/>
      <c r="F370" s="1924"/>
      <c r="G370" s="1924"/>
      <c r="H370" s="1924"/>
      <c r="I370" s="1924"/>
    </row>
    <row r="371" spans="2:9" ht="12.75">
      <c r="B371" s="1924"/>
      <c r="C371" s="1924"/>
      <c r="D371" s="1924"/>
      <c r="E371" s="1924"/>
      <c r="F371" s="1924"/>
      <c r="G371" s="1924"/>
      <c r="H371" s="1924"/>
      <c r="I371" s="1924"/>
    </row>
    <row r="372" spans="2:9" ht="12.75">
      <c r="B372" s="1924"/>
      <c r="C372" s="1924"/>
      <c r="D372" s="1924"/>
      <c r="E372" s="1924"/>
      <c r="F372" s="1924"/>
      <c r="G372" s="1924"/>
      <c r="H372" s="1924"/>
      <c r="I372" s="1924"/>
    </row>
    <row r="373" spans="2:9" ht="12.75">
      <c r="B373" s="1924"/>
      <c r="C373" s="1924"/>
      <c r="D373" s="1924"/>
      <c r="E373" s="1924"/>
      <c r="F373" s="1924"/>
      <c r="G373" s="1924"/>
      <c r="H373" s="1924"/>
      <c r="I373" s="1924"/>
    </row>
    <row r="374" spans="2:9" ht="12.75">
      <c r="B374" s="1924"/>
      <c r="C374" s="1924"/>
      <c r="D374" s="1924"/>
      <c r="E374" s="1924"/>
      <c r="F374" s="1924"/>
      <c r="G374" s="1924"/>
      <c r="H374" s="1924"/>
      <c r="I374" s="1924"/>
    </row>
    <row r="375" spans="2:9" ht="12.75">
      <c r="B375" s="1924"/>
      <c r="C375" s="1924"/>
      <c r="D375" s="1924"/>
      <c r="E375" s="1924"/>
      <c r="F375" s="1924"/>
      <c r="G375" s="1924"/>
      <c r="H375" s="1924"/>
      <c r="I375" s="1924"/>
    </row>
    <row r="376" spans="2:9" ht="12.75">
      <c r="B376" s="1924"/>
      <c r="C376" s="1924"/>
      <c r="D376" s="1924"/>
      <c r="E376" s="1924"/>
      <c r="F376" s="1924"/>
      <c r="G376" s="1924"/>
      <c r="H376" s="1924"/>
      <c r="I376" s="1924"/>
    </row>
    <row r="377" spans="2:9" ht="12.75">
      <c r="B377" s="1924"/>
      <c r="C377" s="1924"/>
      <c r="D377" s="1924"/>
      <c r="E377" s="1924"/>
      <c r="F377" s="1924"/>
      <c r="G377" s="1924"/>
      <c r="H377" s="1924"/>
      <c r="I377" s="1924"/>
    </row>
    <row r="378" spans="2:9" ht="12.75">
      <c r="B378" s="1924"/>
      <c r="C378" s="1924"/>
      <c r="D378" s="1924"/>
      <c r="E378" s="1924"/>
      <c r="F378" s="1924"/>
      <c r="G378" s="1924"/>
      <c r="H378" s="1924"/>
      <c r="I378" s="1924"/>
    </row>
    <row r="379" spans="2:9" ht="12.75">
      <c r="B379" s="1924"/>
      <c r="C379" s="1924"/>
      <c r="D379" s="1924"/>
      <c r="E379" s="1924"/>
      <c r="F379" s="1924"/>
      <c r="G379" s="1924"/>
      <c r="H379" s="1924"/>
      <c r="I379" s="1924"/>
    </row>
    <row r="380" spans="2:9" ht="12.75">
      <c r="B380" s="1924"/>
      <c r="C380" s="1924"/>
      <c r="D380" s="1924"/>
      <c r="E380" s="1924"/>
      <c r="F380" s="1924"/>
      <c r="G380" s="1924"/>
      <c r="H380" s="1924"/>
      <c r="I380" s="1924"/>
    </row>
    <row r="381" spans="2:9" ht="12.75">
      <c r="B381" s="1924"/>
      <c r="C381" s="1924"/>
      <c r="D381" s="1924"/>
      <c r="E381" s="1924"/>
      <c r="F381" s="1924"/>
      <c r="G381" s="1924"/>
      <c r="H381" s="1924"/>
      <c r="I381" s="1924"/>
    </row>
    <row r="382" spans="2:9" ht="12.75">
      <c r="B382" s="1924"/>
      <c r="C382" s="1924"/>
      <c r="D382" s="1924"/>
      <c r="E382" s="1924"/>
      <c r="F382" s="1924"/>
      <c r="G382" s="1924"/>
      <c r="H382" s="1924"/>
      <c r="I382" s="1924"/>
    </row>
    <row r="383" spans="2:9" ht="12.75">
      <c r="B383" s="1924"/>
      <c r="C383" s="1924"/>
      <c r="D383" s="1924"/>
      <c r="E383" s="1924"/>
      <c r="F383" s="1924"/>
      <c r="G383" s="1924"/>
      <c r="H383" s="1924"/>
      <c r="I383" s="1924"/>
    </row>
    <row r="384" spans="2:9" ht="12.75">
      <c r="B384" s="1924"/>
      <c r="C384" s="1924"/>
      <c r="D384" s="1924"/>
      <c r="E384" s="1924"/>
      <c r="F384" s="1924"/>
      <c r="G384" s="1924"/>
      <c r="H384" s="1924"/>
      <c r="I384" s="1924"/>
    </row>
    <row r="385" spans="2:9" ht="12.75">
      <c r="B385" s="1924"/>
      <c r="C385" s="1924"/>
      <c r="D385" s="1924"/>
      <c r="E385" s="1924"/>
      <c r="F385" s="1924"/>
      <c r="G385" s="1924"/>
      <c r="H385" s="1924"/>
      <c r="I385" s="1924"/>
    </row>
    <row r="386" spans="2:9" ht="12.75">
      <c r="B386" s="1924"/>
      <c r="C386" s="1924"/>
      <c r="D386" s="1924"/>
      <c r="E386" s="1924"/>
      <c r="F386" s="1924"/>
      <c r="G386" s="1924"/>
      <c r="H386" s="1924"/>
      <c r="I386" s="1924"/>
    </row>
    <row r="387" spans="2:9" ht="12.75">
      <c r="B387" s="1924"/>
      <c r="C387" s="1924"/>
      <c r="D387" s="1924"/>
      <c r="E387" s="1924"/>
      <c r="F387" s="1924"/>
      <c r="G387" s="1924"/>
      <c r="H387" s="1924"/>
      <c r="I387" s="1924"/>
    </row>
    <row r="388" spans="2:9" ht="12.75">
      <c r="B388" s="1924"/>
      <c r="C388" s="1924"/>
      <c r="D388" s="1924"/>
      <c r="E388" s="1924"/>
      <c r="F388" s="1924"/>
      <c r="G388" s="1924"/>
      <c r="H388" s="1924"/>
      <c r="I388" s="1924"/>
    </row>
    <row r="389" spans="2:9" ht="12.75">
      <c r="B389" s="1924"/>
      <c r="C389" s="1924"/>
      <c r="D389" s="1924"/>
      <c r="E389" s="1924"/>
      <c r="F389" s="1924"/>
      <c r="G389" s="1924"/>
      <c r="H389" s="1924"/>
      <c r="I389" s="1924"/>
    </row>
    <row r="390" spans="2:9" ht="12.75">
      <c r="B390" s="1924"/>
      <c r="C390" s="1924"/>
      <c r="D390" s="1924"/>
      <c r="E390" s="1924"/>
      <c r="F390" s="1924"/>
      <c r="G390" s="1924"/>
      <c r="H390" s="1924"/>
      <c r="I390" s="1924"/>
    </row>
    <row r="391" spans="2:9" ht="12.75">
      <c r="B391" s="1924"/>
      <c r="C391" s="1924"/>
      <c r="D391" s="1924"/>
      <c r="E391" s="1924"/>
      <c r="F391" s="1924"/>
      <c r="G391" s="1924"/>
      <c r="H391" s="1924"/>
      <c r="I391" s="1924"/>
    </row>
    <row r="392" spans="2:9" ht="12.75">
      <c r="B392" s="1924"/>
      <c r="C392" s="1924"/>
      <c r="D392" s="1924"/>
      <c r="E392" s="1924"/>
      <c r="F392" s="1924"/>
      <c r="G392" s="1924"/>
      <c r="H392" s="1924"/>
      <c r="I392" s="1924"/>
    </row>
    <row r="393" spans="2:9" ht="12.75">
      <c r="B393" s="1924"/>
      <c r="C393" s="1924"/>
      <c r="D393" s="1924"/>
      <c r="E393" s="1924"/>
      <c r="F393" s="1924"/>
      <c r="G393" s="1924"/>
      <c r="H393" s="1924"/>
      <c r="I393" s="1924"/>
    </row>
    <row r="394" spans="2:9" ht="12.75">
      <c r="B394" s="1924"/>
      <c r="C394" s="1924"/>
      <c r="D394" s="1924"/>
      <c r="E394" s="1924"/>
      <c r="F394" s="1924"/>
      <c r="G394" s="1924"/>
      <c r="H394" s="1924"/>
      <c r="I394" s="1924"/>
    </row>
    <row r="395" spans="2:9" ht="12.75">
      <c r="B395" s="1924"/>
      <c r="C395" s="1924"/>
      <c r="D395" s="1924"/>
      <c r="E395" s="1924"/>
      <c r="F395" s="1924"/>
      <c r="G395" s="1924"/>
      <c r="H395" s="1924"/>
      <c r="I395" s="1924"/>
    </row>
    <row r="396" spans="2:9" ht="12.75">
      <c r="B396" s="1924"/>
      <c r="C396" s="1924"/>
      <c r="D396" s="1924"/>
      <c r="E396" s="1924"/>
      <c r="F396" s="1924"/>
      <c r="G396" s="1924"/>
      <c r="H396" s="1924"/>
      <c r="I396" s="1924"/>
    </row>
    <row r="397" spans="2:9" ht="12.75">
      <c r="B397" s="1924"/>
      <c r="C397" s="1924"/>
      <c r="D397" s="1924"/>
      <c r="E397" s="1924"/>
      <c r="F397" s="1924"/>
      <c r="G397" s="1924"/>
      <c r="H397" s="1924"/>
      <c r="I397" s="1924"/>
    </row>
    <row r="398" spans="2:9" ht="12.75">
      <c r="B398" s="1924"/>
      <c r="C398" s="1924"/>
      <c r="D398" s="1924"/>
      <c r="E398" s="1924"/>
      <c r="F398" s="1924"/>
      <c r="G398" s="1924"/>
      <c r="H398" s="1924"/>
      <c r="I398" s="1924"/>
    </row>
    <row r="399" spans="2:9" ht="12.75">
      <c r="B399" s="1924"/>
      <c r="C399" s="1924"/>
      <c r="D399" s="1924"/>
      <c r="E399" s="1924"/>
      <c r="F399" s="1924"/>
      <c r="G399" s="1924"/>
      <c r="H399" s="1924"/>
      <c r="I399" s="1924"/>
    </row>
    <row r="400" spans="2:9" ht="12.75">
      <c r="B400" s="1924"/>
      <c r="C400" s="1924"/>
      <c r="D400" s="1924"/>
      <c r="E400" s="1924"/>
      <c r="F400" s="1924"/>
      <c r="G400" s="1924"/>
      <c r="H400" s="1924"/>
      <c r="I400" s="1924"/>
    </row>
    <row r="401" spans="2:9" ht="12.75">
      <c r="B401" s="1924"/>
      <c r="C401" s="1924"/>
      <c r="D401" s="1924"/>
      <c r="E401" s="1924"/>
      <c r="F401" s="1924"/>
      <c r="G401" s="1924"/>
      <c r="H401" s="1924"/>
      <c r="I401" s="1924"/>
    </row>
    <row r="402" spans="2:9" ht="12.75">
      <c r="B402" s="1924"/>
      <c r="C402" s="1924"/>
      <c r="D402" s="1924"/>
      <c r="E402" s="1924"/>
      <c r="F402" s="1924"/>
      <c r="G402" s="1924"/>
      <c r="H402" s="1924"/>
      <c r="I402" s="1924"/>
    </row>
    <row r="403" spans="2:9" ht="12.75">
      <c r="B403" s="1924"/>
      <c r="C403" s="1924"/>
      <c r="D403" s="1924"/>
      <c r="E403" s="1924"/>
      <c r="F403" s="1924"/>
      <c r="G403" s="1924"/>
      <c r="H403" s="1924"/>
      <c r="I403" s="1924"/>
    </row>
    <row r="404" spans="2:9" ht="12.75">
      <c r="B404" s="1924"/>
      <c r="C404" s="1924"/>
      <c r="D404" s="1924"/>
      <c r="E404" s="1924"/>
      <c r="F404" s="1924"/>
      <c r="G404" s="1924"/>
      <c r="H404" s="1924"/>
      <c r="I404" s="1924"/>
    </row>
    <row r="405" spans="2:9" ht="12.75">
      <c r="B405" s="1924"/>
      <c r="C405" s="1924"/>
      <c r="D405" s="1924"/>
      <c r="E405" s="1924"/>
      <c r="F405" s="1924"/>
      <c r="G405" s="1924"/>
      <c r="H405" s="1924"/>
      <c r="I405" s="1924"/>
    </row>
    <row r="406" spans="2:9" ht="12.75">
      <c r="B406" s="1924"/>
      <c r="C406" s="1924"/>
      <c r="D406" s="1924"/>
      <c r="E406" s="1924"/>
      <c r="F406" s="1924"/>
      <c r="G406" s="1924"/>
      <c r="H406" s="1924"/>
      <c r="I406" s="1924"/>
    </row>
    <row r="407" spans="2:9" ht="12.75">
      <c r="B407" s="1924"/>
      <c r="C407" s="1924"/>
      <c r="D407" s="1924"/>
      <c r="E407" s="1924"/>
      <c r="F407" s="1924"/>
      <c r="G407" s="1924"/>
      <c r="H407" s="1924"/>
      <c r="I407" s="1924"/>
    </row>
    <row r="408" spans="2:9" ht="12.75">
      <c r="B408" s="1924"/>
      <c r="C408" s="1924"/>
      <c r="D408" s="1924"/>
      <c r="E408" s="1924"/>
      <c r="F408" s="1924"/>
      <c r="G408" s="1924"/>
      <c r="H408" s="1924"/>
      <c r="I408" s="1924"/>
    </row>
    <row r="409" spans="2:9" ht="12.75">
      <c r="B409" s="1924"/>
      <c r="C409" s="1924"/>
      <c r="D409" s="1924"/>
      <c r="E409" s="1924"/>
      <c r="F409" s="1924"/>
      <c r="G409" s="1924"/>
      <c r="H409" s="1924"/>
      <c r="I409" s="1924"/>
    </row>
    <row r="410" spans="2:9" ht="12.75">
      <c r="B410" s="1924"/>
      <c r="C410" s="1924"/>
      <c r="D410" s="1924"/>
      <c r="E410" s="1924"/>
      <c r="F410" s="1924"/>
      <c r="G410" s="1924"/>
      <c r="H410" s="1924"/>
      <c r="I410" s="1924"/>
    </row>
    <row r="411" spans="2:9" ht="12.75">
      <c r="B411" s="1924"/>
      <c r="C411" s="1924"/>
      <c r="D411" s="1924"/>
      <c r="E411" s="1924"/>
      <c r="F411" s="1924"/>
      <c r="G411" s="1924"/>
      <c r="H411" s="1924"/>
      <c r="I411" s="1924"/>
    </row>
    <row r="412" spans="2:9" ht="12.75">
      <c r="B412" s="1924"/>
      <c r="C412" s="1924"/>
      <c r="D412" s="1924"/>
      <c r="E412" s="1924"/>
      <c r="F412" s="1924"/>
      <c r="G412" s="1924"/>
      <c r="H412" s="1924"/>
      <c r="I412" s="1924"/>
    </row>
    <row r="413" spans="2:9" ht="12.75">
      <c r="B413" s="1924"/>
      <c r="C413" s="1924"/>
      <c r="D413" s="1924"/>
      <c r="E413" s="1924"/>
      <c r="F413" s="1924"/>
      <c r="G413" s="1924"/>
      <c r="H413" s="1924"/>
      <c r="I413" s="1924"/>
    </row>
    <row r="414" spans="2:9" ht="12.75">
      <c r="B414" s="1924"/>
      <c r="C414" s="1924"/>
      <c r="D414" s="1924"/>
      <c r="E414" s="1924"/>
      <c r="F414" s="1924"/>
      <c r="G414" s="1924"/>
      <c r="H414" s="1924"/>
      <c r="I414" s="1924"/>
    </row>
    <row r="415" spans="2:9" ht="12.75">
      <c r="B415" s="1924"/>
      <c r="C415" s="1924"/>
      <c r="D415" s="1924"/>
      <c r="E415" s="1924"/>
      <c r="F415" s="1924"/>
      <c r="G415" s="1924"/>
      <c r="H415" s="1924"/>
      <c r="I415" s="1924"/>
    </row>
    <row r="416" spans="2:9" ht="12.75">
      <c r="B416" s="1924"/>
      <c r="C416" s="1924"/>
      <c r="D416" s="1924"/>
      <c r="E416" s="1924"/>
      <c r="F416" s="1924"/>
      <c r="G416" s="1924"/>
      <c r="H416" s="1924"/>
      <c r="I416" s="1924"/>
    </row>
    <row r="417" spans="2:9" ht="12.75">
      <c r="B417" s="1924"/>
      <c r="C417" s="1924"/>
      <c r="D417" s="1924"/>
      <c r="E417" s="1924"/>
      <c r="F417" s="1924"/>
      <c r="G417" s="1924"/>
      <c r="H417" s="1924"/>
      <c r="I417" s="1924"/>
    </row>
    <row r="418" spans="2:9" ht="12.75">
      <c r="B418" s="1924"/>
      <c r="C418" s="1924"/>
      <c r="D418" s="1924"/>
      <c r="E418" s="1924"/>
      <c r="F418" s="1924"/>
      <c r="G418" s="1924"/>
      <c r="H418" s="1924"/>
      <c r="I418" s="1924"/>
    </row>
    <row r="419" spans="2:9" ht="12.75">
      <c r="B419" s="1924"/>
      <c r="C419" s="1924"/>
      <c r="D419" s="1924"/>
      <c r="E419" s="1924"/>
      <c r="F419" s="1924"/>
      <c r="G419" s="1924"/>
      <c r="H419" s="1924"/>
      <c r="I419" s="1924"/>
    </row>
    <row r="420" spans="2:9" ht="12.75">
      <c r="B420" s="1924"/>
      <c r="C420" s="1924"/>
      <c r="D420" s="1924"/>
      <c r="E420" s="1924"/>
      <c r="F420" s="1924"/>
      <c r="G420" s="1924"/>
      <c r="H420" s="1924"/>
      <c r="I420" s="1924"/>
    </row>
    <row r="421" spans="2:9" ht="12.75">
      <c r="B421" s="1924"/>
      <c r="C421" s="1924"/>
      <c r="D421" s="1924"/>
      <c r="E421" s="1924"/>
      <c r="F421" s="1924"/>
      <c r="G421" s="1924"/>
      <c r="H421" s="1924"/>
      <c r="I421" s="1924"/>
    </row>
    <row r="422" spans="2:9" ht="12.75">
      <c r="B422" s="1924"/>
      <c r="C422" s="1924"/>
      <c r="D422" s="1924"/>
      <c r="E422" s="1924"/>
      <c r="F422" s="1924"/>
      <c r="G422" s="1924"/>
      <c r="H422" s="1924"/>
      <c r="I422" s="1924"/>
    </row>
    <row r="423" spans="2:9" ht="12.75">
      <c r="B423" s="1924"/>
      <c r="C423" s="1924"/>
      <c r="D423" s="1924"/>
      <c r="E423" s="1924"/>
      <c r="F423" s="1924"/>
      <c r="G423" s="1924"/>
      <c r="H423" s="1924"/>
      <c r="I423" s="1924"/>
    </row>
    <row r="424" spans="2:9" ht="12.75">
      <c r="B424" s="1924"/>
      <c r="C424" s="1924"/>
      <c r="D424" s="1924"/>
      <c r="E424" s="1924"/>
      <c r="F424" s="1924"/>
      <c r="G424" s="1924"/>
      <c r="H424" s="1924"/>
      <c r="I424" s="1924"/>
    </row>
    <row r="425" spans="2:9" ht="12.75">
      <c r="B425" s="1924"/>
      <c r="C425" s="1924"/>
      <c r="D425" s="1924"/>
      <c r="E425" s="1924"/>
      <c r="F425" s="1924"/>
      <c r="G425" s="1924"/>
      <c r="H425" s="1924"/>
      <c r="I425" s="1924"/>
    </row>
    <row r="426" spans="2:9" ht="12.75">
      <c r="B426" s="1924"/>
      <c r="C426" s="1924"/>
      <c r="D426" s="1924"/>
      <c r="E426" s="1924"/>
      <c r="F426" s="1924"/>
      <c r="G426" s="1924"/>
      <c r="H426" s="1924"/>
      <c r="I426" s="1924"/>
    </row>
    <row r="427" spans="2:9" ht="12.75">
      <c r="B427" s="1924"/>
      <c r="C427" s="1924"/>
      <c r="D427" s="1924"/>
      <c r="E427" s="1924"/>
      <c r="F427" s="1924"/>
      <c r="G427" s="1924"/>
      <c r="H427" s="1924"/>
      <c r="I427" s="1924"/>
    </row>
    <row r="428" spans="2:9" ht="12.75">
      <c r="B428" s="1924"/>
      <c r="C428" s="1924"/>
      <c r="D428" s="1924"/>
      <c r="E428" s="1924"/>
      <c r="F428" s="1924"/>
      <c r="G428" s="1924"/>
      <c r="H428" s="1924"/>
      <c r="I428" s="1924"/>
    </row>
    <row r="429" spans="2:9" ht="12.75">
      <c r="B429" s="1924"/>
      <c r="C429" s="1924"/>
      <c r="D429" s="1924"/>
      <c r="E429" s="1924"/>
      <c r="F429" s="1924"/>
      <c r="G429" s="1924"/>
      <c r="H429" s="1924"/>
      <c r="I429" s="1924"/>
    </row>
    <row r="430" spans="2:9" ht="12.75">
      <c r="B430" s="1924"/>
      <c r="C430" s="1924"/>
      <c r="D430" s="1924"/>
      <c r="E430" s="1924"/>
      <c r="F430" s="1924"/>
      <c r="G430" s="1924"/>
      <c r="H430" s="1924"/>
      <c r="I430" s="1924"/>
    </row>
    <row r="431" spans="2:9" ht="12.75">
      <c r="B431" s="1924"/>
      <c r="C431" s="1924"/>
      <c r="D431" s="1924"/>
      <c r="E431" s="1924"/>
      <c r="F431" s="1924"/>
      <c r="G431" s="1924"/>
      <c r="H431" s="1924"/>
      <c r="I431" s="1924"/>
    </row>
    <row r="432" spans="2:9" ht="12.75">
      <c r="B432" s="1924"/>
      <c r="C432" s="1924"/>
      <c r="D432" s="1924"/>
      <c r="E432" s="1924"/>
      <c r="F432" s="1924"/>
      <c r="G432" s="1924"/>
      <c r="H432" s="1924"/>
      <c r="I432" s="1924"/>
    </row>
    <row r="433" spans="2:9" ht="12.75">
      <c r="B433" s="1924"/>
      <c r="C433" s="1924"/>
      <c r="D433" s="1924"/>
      <c r="E433" s="1924"/>
      <c r="F433" s="1924"/>
      <c r="G433" s="1924"/>
      <c r="H433" s="1924"/>
      <c r="I433" s="1924"/>
    </row>
    <row r="434" spans="2:9" ht="12.75">
      <c r="B434" s="1924"/>
      <c r="C434" s="1924"/>
      <c r="D434" s="1924"/>
      <c r="E434" s="1924"/>
      <c r="F434" s="1924"/>
      <c r="G434" s="1924"/>
      <c r="H434" s="1924"/>
      <c r="I434" s="1924"/>
    </row>
    <row r="435" spans="2:9" ht="12.75">
      <c r="B435" s="1924"/>
      <c r="C435" s="1924"/>
      <c r="D435" s="1924"/>
      <c r="E435" s="1924"/>
      <c r="F435" s="1924"/>
      <c r="G435" s="1924"/>
      <c r="H435" s="1924"/>
      <c r="I435" s="1924"/>
    </row>
    <row r="436" spans="2:9" ht="12.75">
      <c r="B436" s="1924"/>
      <c r="C436" s="1924"/>
      <c r="D436" s="1924"/>
      <c r="E436" s="1924"/>
      <c r="F436" s="1924"/>
      <c r="G436" s="1924"/>
      <c r="H436" s="1924"/>
      <c r="I436" s="1924"/>
    </row>
    <row r="437" spans="2:9" ht="12.75">
      <c r="B437" s="1924"/>
      <c r="C437" s="1924"/>
      <c r="D437" s="1924"/>
      <c r="E437" s="1924"/>
      <c r="F437" s="1924"/>
      <c r="G437" s="1924"/>
      <c r="H437" s="1924"/>
      <c r="I437" s="1924"/>
    </row>
    <row r="438" spans="2:9" ht="12.75">
      <c r="B438" s="1924"/>
      <c r="C438" s="1924"/>
      <c r="D438" s="1924"/>
      <c r="E438" s="1924"/>
      <c r="F438" s="1924"/>
      <c r="G438" s="1924"/>
      <c r="H438" s="1924"/>
      <c r="I438" s="1924"/>
    </row>
    <row r="439" spans="2:9" ht="12.75">
      <c r="B439" s="1924"/>
      <c r="C439" s="1924"/>
      <c r="D439" s="1924"/>
      <c r="E439" s="1924"/>
      <c r="F439" s="1924"/>
      <c r="G439" s="1924"/>
      <c r="H439" s="1924"/>
      <c r="I439" s="1924"/>
    </row>
    <row r="440" spans="2:9" ht="12.75">
      <c r="B440" s="1924"/>
      <c r="C440" s="1924"/>
      <c r="D440" s="1924"/>
      <c r="E440" s="1924"/>
      <c r="F440" s="1924"/>
      <c r="G440" s="1924"/>
      <c r="H440" s="1924"/>
      <c r="I440" s="1924"/>
    </row>
    <row r="441" spans="2:9" ht="12.75">
      <c r="B441" s="1924"/>
      <c r="C441" s="1924"/>
      <c r="D441" s="1924"/>
      <c r="E441" s="1924"/>
      <c r="F441" s="1924"/>
      <c r="G441" s="1924"/>
      <c r="H441" s="1924"/>
      <c r="I441" s="1924"/>
    </row>
    <row r="442" spans="2:9" ht="12.75">
      <c r="B442" s="1924"/>
      <c r="C442" s="1924"/>
      <c r="D442" s="1924"/>
      <c r="E442" s="1924"/>
      <c r="F442" s="1924"/>
      <c r="G442" s="1924"/>
      <c r="H442" s="1924"/>
      <c r="I442" s="1924"/>
    </row>
    <row r="443" spans="2:9" ht="12.75">
      <c r="B443" s="1924"/>
      <c r="C443" s="1924"/>
      <c r="D443" s="1924"/>
      <c r="E443" s="1924"/>
      <c r="F443" s="1924"/>
      <c r="G443" s="1924"/>
      <c r="H443" s="1924"/>
      <c r="I443" s="1924"/>
    </row>
    <row r="444" spans="2:9" ht="12.75">
      <c r="B444" s="1924"/>
      <c r="C444" s="1924"/>
      <c r="D444" s="1924"/>
      <c r="E444" s="1924"/>
      <c r="F444" s="1924"/>
      <c r="G444" s="1924"/>
      <c r="H444" s="1924"/>
      <c r="I444" s="1924"/>
    </row>
    <row r="445" spans="2:9" ht="12.75">
      <c r="B445" s="1924"/>
      <c r="C445" s="1924"/>
      <c r="D445" s="1924"/>
      <c r="E445" s="1924"/>
      <c r="F445" s="1924"/>
      <c r="G445" s="1924"/>
      <c r="H445" s="1924"/>
      <c r="I445" s="1924"/>
    </row>
    <row r="446" spans="2:9" ht="12.75">
      <c r="B446" s="1924"/>
      <c r="C446" s="1924"/>
      <c r="D446" s="1924"/>
      <c r="E446" s="1924"/>
      <c r="F446" s="1924"/>
      <c r="G446" s="1924"/>
      <c r="H446" s="1924"/>
      <c r="I446" s="1924"/>
    </row>
    <row r="447" spans="2:9" ht="12.75">
      <c r="B447" s="1924"/>
      <c r="C447" s="1924"/>
      <c r="D447" s="1924"/>
      <c r="E447" s="1924"/>
      <c r="F447" s="1924"/>
      <c r="G447" s="1924"/>
      <c r="H447" s="1924"/>
      <c r="I447" s="1924"/>
    </row>
    <row r="448" spans="2:9" ht="12.75">
      <c r="B448" s="1924"/>
      <c r="C448" s="1924"/>
      <c r="D448" s="1924"/>
      <c r="E448" s="1924"/>
      <c r="F448" s="1924"/>
      <c r="G448" s="1924"/>
      <c r="H448" s="1924"/>
      <c r="I448" s="1924"/>
    </row>
    <row r="449" spans="2:9" ht="12.75">
      <c r="B449" s="1924"/>
      <c r="C449" s="1924"/>
      <c r="D449" s="1924"/>
      <c r="E449" s="1924"/>
      <c r="F449" s="1924"/>
      <c r="G449" s="1924"/>
      <c r="H449" s="1924"/>
      <c r="I449" s="1924"/>
    </row>
    <row r="450" spans="2:9" ht="12.75">
      <c r="B450" s="1924"/>
      <c r="C450" s="1924"/>
      <c r="D450" s="1924"/>
      <c r="E450" s="1924"/>
      <c r="F450" s="1924"/>
      <c r="G450" s="1924"/>
      <c r="H450" s="1924"/>
      <c r="I450" s="1924"/>
    </row>
    <row r="451" spans="2:9" ht="12.75">
      <c r="B451" s="1924"/>
      <c r="C451" s="1924"/>
      <c r="D451" s="1924"/>
      <c r="E451" s="1924"/>
      <c r="F451" s="1924"/>
      <c r="G451" s="1924"/>
      <c r="H451" s="1924"/>
      <c r="I451" s="1924"/>
    </row>
    <row r="452" spans="2:9" ht="12.75">
      <c r="B452" s="1924"/>
      <c r="C452" s="1924"/>
      <c r="D452" s="1924"/>
      <c r="E452" s="1924"/>
      <c r="F452" s="1924"/>
      <c r="G452" s="1924"/>
      <c r="H452" s="1924"/>
      <c r="I452" s="1924"/>
    </row>
    <row r="453" spans="2:9" ht="12.75">
      <c r="B453" s="1924"/>
      <c r="C453" s="1924"/>
      <c r="D453" s="1924"/>
      <c r="E453" s="1924"/>
      <c r="F453" s="1924"/>
      <c r="G453" s="1924"/>
      <c r="H453" s="1924"/>
      <c r="I453" s="1924"/>
    </row>
    <row r="454" spans="2:9" ht="12.75">
      <c r="B454" s="1924"/>
      <c r="C454" s="1924"/>
      <c r="D454" s="1924"/>
      <c r="E454" s="1924"/>
      <c r="F454" s="1924"/>
      <c r="G454" s="1924"/>
      <c r="H454" s="1924"/>
      <c r="I454" s="1924"/>
    </row>
    <row r="455" spans="2:9" ht="12.75">
      <c r="B455" s="1924"/>
      <c r="C455" s="1924"/>
      <c r="D455" s="1924"/>
      <c r="E455" s="1924"/>
      <c r="F455" s="1924"/>
      <c r="G455" s="1924"/>
      <c r="H455" s="1924"/>
      <c r="I455" s="1924"/>
    </row>
    <row r="456" spans="2:9" ht="12.75">
      <c r="B456" s="1924"/>
      <c r="C456" s="1924"/>
      <c r="D456" s="1924"/>
      <c r="E456" s="1924"/>
      <c r="F456" s="1924"/>
      <c r="G456" s="1924"/>
      <c r="H456" s="1924"/>
      <c r="I456" s="1924"/>
    </row>
    <row r="457" spans="2:9" ht="12.75">
      <c r="B457" s="1924"/>
      <c r="C457" s="1924"/>
      <c r="D457" s="1924"/>
      <c r="E457" s="1924"/>
      <c r="F457" s="1924"/>
      <c r="G457" s="1924"/>
      <c r="H457" s="1924"/>
      <c r="I457" s="1924"/>
    </row>
    <row r="458" spans="2:9" ht="12.75">
      <c r="B458" s="1924"/>
      <c r="C458" s="1924"/>
      <c r="D458" s="1924"/>
      <c r="E458" s="1924"/>
      <c r="F458" s="1924"/>
      <c r="G458" s="1924"/>
      <c r="H458" s="1924"/>
      <c r="I458" s="1924"/>
    </row>
    <row r="459" spans="2:9" ht="12.75">
      <c r="B459" s="1924"/>
      <c r="C459" s="1924"/>
      <c r="D459" s="1924"/>
      <c r="E459" s="1924"/>
      <c r="F459" s="1924"/>
      <c r="G459" s="1924"/>
      <c r="H459" s="1924"/>
      <c r="I459" s="1924"/>
    </row>
    <row r="460" spans="2:9" ht="12.75">
      <c r="B460" s="1924"/>
      <c r="C460" s="1924"/>
      <c r="D460" s="1924"/>
      <c r="E460" s="1924"/>
      <c r="F460" s="1924"/>
      <c r="G460" s="1924"/>
      <c r="H460" s="1924"/>
      <c r="I460" s="1924"/>
    </row>
    <row r="461" spans="2:9" ht="12.75">
      <c r="B461" s="1924"/>
      <c r="C461" s="1924"/>
      <c r="D461" s="1924"/>
      <c r="E461" s="1924"/>
      <c r="F461" s="1924"/>
      <c r="G461" s="1924"/>
      <c r="H461" s="1924"/>
      <c r="I461" s="1924"/>
    </row>
    <row r="462" spans="2:9" ht="12.75">
      <c r="B462" s="1924"/>
      <c r="C462" s="1924"/>
      <c r="D462" s="1924"/>
      <c r="E462" s="1924"/>
      <c r="F462" s="1924"/>
      <c r="G462" s="1924"/>
      <c r="H462" s="1924"/>
      <c r="I462" s="1924"/>
    </row>
    <row r="463" spans="2:9" ht="12.75">
      <c r="B463" s="1924"/>
      <c r="C463" s="1924"/>
      <c r="D463" s="1924"/>
      <c r="E463" s="1924"/>
      <c r="F463" s="1924"/>
      <c r="G463" s="1924"/>
      <c r="H463" s="1924"/>
      <c r="I463" s="1924"/>
    </row>
    <row r="464" spans="2:9" ht="12.75">
      <c r="B464" s="1924"/>
      <c r="C464" s="1924"/>
      <c r="D464" s="1924"/>
      <c r="E464" s="1924"/>
      <c r="F464" s="1924"/>
      <c r="G464" s="1924"/>
      <c r="H464" s="1924"/>
      <c r="I464" s="1924"/>
    </row>
    <row r="465" spans="2:9" ht="12.75">
      <c r="B465" s="1924"/>
      <c r="C465" s="1924"/>
      <c r="D465" s="1924"/>
      <c r="E465" s="1924"/>
      <c r="F465" s="1924"/>
      <c r="G465" s="1924"/>
      <c r="H465" s="1924"/>
      <c r="I465" s="1924"/>
    </row>
    <row r="466" spans="2:9" ht="12.75">
      <c r="B466" s="1924"/>
      <c r="C466" s="1924"/>
      <c r="D466" s="1924"/>
      <c r="E466" s="1924"/>
      <c r="F466" s="1924"/>
      <c r="G466" s="1924"/>
      <c r="H466" s="1924"/>
      <c r="I466" s="1924"/>
    </row>
    <row r="467" spans="2:9" ht="12.75">
      <c r="B467" s="1924"/>
      <c r="C467" s="1924"/>
      <c r="D467" s="1924"/>
      <c r="E467" s="1924"/>
      <c r="F467" s="1924"/>
      <c r="G467" s="1924"/>
      <c r="H467" s="1924"/>
      <c r="I467" s="1924"/>
    </row>
    <row r="468" spans="2:9" ht="12.75">
      <c r="B468" s="1924"/>
      <c r="C468" s="1924"/>
      <c r="D468" s="1924"/>
      <c r="E468" s="1924"/>
      <c r="F468" s="1924"/>
      <c r="G468" s="1924"/>
      <c r="H468" s="1924"/>
      <c r="I468" s="1924"/>
    </row>
    <row r="469" spans="2:9" ht="12.75">
      <c r="B469" s="1924"/>
      <c r="C469" s="1924"/>
      <c r="D469" s="1924"/>
      <c r="E469" s="1924"/>
      <c r="F469" s="1924"/>
      <c r="G469" s="1924"/>
      <c r="H469" s="1924"/>
      <c r="I469" s="1924"/>
    </row>
    <row r="470" spans="2:9" ht="12.75">
      <c r="B470" s="1924"/>
      <c r="C470" s="1924"/>
      <c r="D470" s="1924"/>
      <c r="E470" s="1924"/>
      <c r="F470" s="1924"/>
      <c r="G470" s="1924"/>
      <c r="H470" s="1924"/>
      <c r="I470" s="1924"/>
    </row>
    <row r="471" spans="2:9" ht="12.75">
      <c r="B471" s="1924"/>
      <c r="C471" s="1924"/>
      <c r="D471" s="1924"/>
      <c r="E471" s="1924"/>
      <c r="F471" s="1924"/>
      <c r="G471" s="1924"/>
      <c r="H471" s="1924"/>
      <c r="I471" s="1924"/>
    </row>
    <row r="472" spans="2:9" ht="12.75">
      <c r="B472" s="1924"/>
      <c r="C472" s="1924"/>
      <c r="D472" s="1924"/>
      <c r="E472" s="1924"/>
      <c r="F472" s="1924"/>
      <c r="G472" s="1924"/>
      <c r="H472" s="1924"/>
      <c r="I472" s="1924"/>
    </row>
    <row r="473" spans="2:9" ht="12.75">
      <c r="B473" s="1924"/>
      <c r="C473" s="1924"/>
      <c r="D473" s="1924"/>
      <c r="E473" s="1924"/>
      <c r="F473" s="1924"/>
      <c r="G473" s="1924"/>
      <c r="H473" s="1924"/>
      <c r="I473" s="1924"/>
    </row>
    <row r="474" spans="2:9" ht="12.75">
      <c r="B474" s="1924"/>
      <c r="C474" s="1924"/>
      <c r="D474" s="1924"/>
      <c r="E474" s="1924"/>
      <c r="F474" s="1924"/>
      <c r="G474" s="1924"/>
      <c r="H474" s="1924"/>
      <c r="I474" s="1924"/>
    </row>
    <row r="475" spans="2:9" ht="12.75">
      <c r="B475" s="1924"/>
      <c r="C475" s="1924"/>
      <c r="D475" s="1924"/>
      <c r="E475" s="1924"/>
      <c r="F475" s="1924"/>
      <c r="G475" s="1924"/>
      <c r="H475" s="1924"/>
      <c r="I475" s="1924"/>
    </row>
    <row r="476" spans="2:9" ht="12.75">
      <c r="B476" s="1924"/>
      <c r="C476" s="1924"/>
      <c r="D476" s="1924"/>
      <c r="E476" s="1924"/>
      <c r="F476" s="1924"/>
      <c r="G476" s="1924"/>
      <c r="H476" s="1924"/>
      <c r="I476" s="1924"/>
    </row>
    <row r="477" spans="2:9" ht="12.75">
      <c r="B477" s="1924"/>
      <c r="C477" s="1924"/>
      <c r="D477" s="1924"/>
      <c r="E477" s="1924"/>
      <c r="F477" s="1924"/>
      <c r="G477" s="1924"/>
      <c r="H477" s="1924"/>
      <c r="I477" s="1924"/>
    </row>
    <row r="478" spans="2:9" ht="12.75">
      <c r="B478" s="1924"/>
      <c r="C478" s="1924"/>
      <c r="D478" s="1924"/>
      <c r="E478" s="1924"/>
      <c r="F478" s="1924"/>
      <c r="G478" s="1924"/>
      <c r="H478" s="1924"/>
      <c r="I478" s="1924"/>
    </row>
    <row r="479" spans="2:9" ht="12.75">
      <c r="B479" s="1924"/>
      <c r="C479" s="1924"/>
      <c r="D479" s="1924"/>
      <c r="E479" s="1924"/>
      <c r="F479" s="1924"/>
      <c r="G479" s="1924"/>
      <c r="H479" s="1924"/>
      <c r="I479" s="1924"/>
    </row>
    <row r="480" spans="2:9" ht="12.75">
      <c r="B480" s="1924"/>
      <c r="C480" s="1924"/>
      <c r="D480" s="1924"/>
      <c r="E480" s="1924"/>
      <c r="F480" s="1924"/>
      <c r="G480" s="1924"/>
      <c r="H480" s="1924"/>
      <c r="I480" s="1924"/>
    </row>
    <row r="481" spans="2:9" ht="12.75">
      <c r="B481" s="1924"/>
      <c r="C481" s="1924"/>
      <c r="D481" s="1924"/>
      <c r="E481" s="1924"/>
      <c r="F481" s="1924"/>
      <c r="G481" s="1924"/>
      <c r="H481" s="1924"/>
      <c r="I481" s="1924"/>
    </row>
    <row r="482" spans="2:9" ht="12.75">
      <c r="B482" s="1924"/>
      <c r="C482" s="1924"/>
      <c r="D482" s="1924"/>
      <c r="E482" s="1924"/>
      <c r="F482" s="1924"/>
      <c r="G482" s="1924"/>
      <c r="H482" s="1924"/>
      <c r="I482" s="1924"/>
    </row>
    <row r="483" spans="2:9" ht="12.75">
      <c r="B483" s="1924"/>
      <c r="C483" s="1924"/>
      <c r="D483" s="1924"/>
      <c r="E483" s="1924"/>
      <c r="F483" s="1924"/>
      <c r="G483" s="1924"/>
      <c r="H483" s="1924"/>
      <c r="I483" s="1924"/>
    </row>
    <row r="484" spans="2:9" ht="12.75">
      <c r="B484" s="1924"/>
      <c r="C484" s="1924"/>
      <c r="D484" s="1924"/>
      <c r="E484" s="1924"/>
      <c r="F484" s="1924"/>
      <c r="G484" s="1924"/>
      <c r="H484" s="1924"/>
      <c r="I484" s="1924"/>
    </row>
    <row r="485" spans="2:9" ht="12.75">
      <c r="B485" s="1924"/>
      <c r="C485" s="1924"/>
      <c r="D485" s="1924"/>
      <c r="E485" s="1924"/>
      <c r="F485" s="1924"/>
      <c r="G485" s="1924"/>
      <c r="H485" s="1924"/>
      <c r="I485" s="1924"/>
    </row>
    <row r="486" spans="2:9" ht="12.75">
      <c r="B486" s="1924"/>
      <c r="C486" s="1924"/>
      <c r="D486" s="1924"/>
      <c r="E486" s="1924"/>
      <c r="F486" s="1924"/>
      <c r="G486" s="1924"/>
      <c r="H486" s="1924"/>
      <c r="I486" s="1924"/>
    </row>
    <row r="487" spans="2:9" ht="12.75">
      <c r="B487" s="1924"/>
      <c r="C487" s="1924"/>
      <c r="D487" s="1924"/>
      <c r="E487" s="1924"/>
      <c r="F487" s="1924"/>
      <c r="G487" s="1924"/>
      <c r="H487" s="1924"/>
      <c r="I487" s="1924"/>
    </row>
    <row r="488" spans="2:9" ht="12.75">
      <c r="B488" s="1924"/>
      <c r="C488" s="1924"/>
      <c r="D488" s="1924"/>
      <c r="E488" s="1924"/>
      <c r="F488" s="1924"/>
      <c r="G488" s="1924"/>
      <c r="H488" s="1924"/>
      <c r="I488" s="1924"/>
    </row>
    <row r="489" spans="2:9" ht="12.75">
      <c r="B489" s="1924"/>
      <c r="C489" s="1924"/>
      <c r="D489" s="1924"/>
      <c r="E489" s="1924"/>
      <c r="F489" s="1924"/>
      <c r="G489" s="1924"/>
      <c r="H489" s="1924"/>
      <c r="I489" s="1924"/>
    </row>
    <row r="490" spans="2:9" ht="12.75">
      <c r="B490" s="1924"/>
      <c r="C490" s="1924"/>
      <c r="D490" s="1924"/>
      <c r="E490" s="1924"/>
      <c r="F490" s="1924"/>
      <c r="G490" s="1924"/>
      <c r="H490" s="1924"/>
      <c r="I490" s="1924"/>
    </row>
    <row r="491" spans="2:9" ht="12.75">
      <c r="B491" s="1924"/>
      <c r="C491" s="1924"/>
      <c r="D491" s="1924"/>
      <c r="E491" s="1924"/>
      <c r="F491" s="1924"/>
      <c r="G491" s="1924"/>
      <c r="H491" s="1924"/>
      <c r="I491" s="1924"/>
    </row>
    <row r="492" spans="2:9" ht="12.75">
      <c r="B492" s="1924"/>
      <c r="C492" s="1924"/>
      <c r="D492" s="1924"/>
      <c r="E492" s="1924"/>
      <c r="F492" s="1924"/>
      <c r="G492" s="1924"/>
      <c r="H492" s="1924"/>
      <c r="I492" s="1924"/>
    </row>
    <row r="493" spans="2:9" ht="12.75">
      <c r="B493" s="1924"/>
      <c r="C493" s="1924"/>
      <c r="D493" s="1924"/>
      <c r="E493" s="1924"/>
      <c r="F493" s="1924"/>
      <c r="G493" s="1924"/>
      <c r="H493" s="1924"/>
      <c r="I493" s="1924"/>
    </row>
    <row r="494" spans="2:9" ht="12.75">
      <c r="B494" s="1924"/>
      <c r="C494" s="1924"/>
      <c r="D494" s="1924"/>
      <c r="E494" s="1924"/>
      <c r="F494" s="1924"/>
      <c r="G494" s="1924"/>
      <c r="H494" s="1924"/>
      <c r="I494" s="1924"/>
    </row>
    <row r="495" spans="2:9" ht="12.75">
      <c r="B495" s="1924"/>
      <c r="C495" s="1924"/>
      <c r="D495" s="1924"/>
      <c r="E495" s="1924"/>
      <c r="F495" s="1924"/>
      <c r="G495" s="1924"/>
      <c r="H495" s="1924"/>
      <c r="I495" s="1924"/>
    </row>
    <row r="496" spans="2:9" ht="12.75">
      <c r="B496" s="1924"/>
      <c r="C496" s="1924"/>
      <c r="D496" s="1924"/>
      <c r="E496" s="1924"/>
      <c r="F496" s="1924"/>
      <c r="G496" s="1924"/>
      <c r="H496" s="1924"/>
      <c r="I496" s="1924"/>
    </row>
    <row r="497" spans="2:9" ht="12.75">
      <c r="B497" s="1924"/>
      <c r="C497" s="1924"/>
      <c r="D497" s="1924"/>
      <c r="E497" s="1924"/>
      <c r="F497" s="1924"/>
      <c r="G497" s="1924"/>
      <c r="H497" s="1924"/>
      <c r="I497" s="1924"/>
    </row>
    <row r="498" spans="2:9" ht="12.75">
      <c r="B498" s="1924"/>
      <c r="C498" s="1924"/>
      <c r="D498" s="1924"/>
      <c r="E498" s="1924"/>
      <c r="F498" s="1924"/>
      <c r="G498" s="1924"/>
      <c r="H498" s="1924"/>
      <c r="I498" s="1924"/>
    </row>
    <row r="499" spans="2:9" ht="12.75">
      <c r="B499" s="1924"/>
      <c r="C499" s="1924"/>
      <c r="D499" s="1924"/>
      <c r="E499" s="1924"/>
      <c r="F499" s="1924"/>
      <c r="G499" s="1924"/>
      <c r="H499" s="1924"/>
      <c r="I499" s="1924"/>
    </row>
    <row r="500" spans="2:9" ht="12.75">
      <c r="B500" s="1924"/>
      <c r="C500" s="1924"/>
      <c r="D500" s="1924"/>
      <c r="E500" s="1924"/>
      <c r="F500" s="1924"/>
      <c r="G500" s="1924"/>
      <c r="H500" s="1924"/>
      <c r="I500" s="1924"/>
    </row>
    <row r="501" spans="2:9" ht="12.75">
      <c r="B501" s="1924"/>
      <c r="C501" s="1924"/>
      <c r="D501" s="1924"/>
      <c r="E501" s="1924"/>
      <c r="F501" s="1924"/>
      <c r="G501" s="1924"/>
      <c r="H501" s="1924"/>
      <c r="I501" s="1924"/>
    </row>
    <row r="502" spans="2:9" ht="12.75">
      <c r="B502" s="1924"/>
      <c r="C502" s="1924"/>
      <c r="D502" s="1924"/>
      <c r="E502" s="1924"/>
      <c r="F502" s="1924"/>
      <c r="G502" s="1924"/>
      <c r="H502" s="1924"/>
      <c r="I502" s="1924"/>
    </row>
    <row r="503" spans="2:9" ht="12.75">
      <c r="B503" s="1924"/>
      <c r="C503" s="1924"/>
      <c r="D503" s="1924"/>
      <c r="E503" s="1924"/>
      <c r="F503" s="1924"/>
      <c r="G503" s="1924"/>
      <c r="H503" s="1924"/>
      <c r="I503" s="1924"/>
    </row>
    <row r="504" spans="2:9" ht="12.75">
      <c r="B504" s="1924"/>
      <c r="C504" s="1924"/>
      <c r="D504" s="1924"/>
      <c r="E504" s="1924"/>
      <c r="F504" s="1924"/>
      <c r="G504" s="1924"/>
      <c r="H504" s="1924"/>
      <c r="I504" s="1924"/>
    </row>
    <row r="505" spans="2:9" ht="12.75">
      <c r="B505" s="1924"/>
      <c r="C505" s="1924"/>
      <c r="D505" s="1924"/>
      <c r="E505" s="1924"/>
      <c r="F505" s="1924"/>
      <c r="G505" s="1924"/>
      <c r="H505" s="1924"/>
      <c r="I505" s="1924"/>
    </row>
    <row r="506" spans="2:9" ht="12.75">
      <c r="B506" s="1924"/>
      <c r="C506" s="1924"/>
      <c r="D506" s="1924"/>
      <c r="E506" s="1924"/>
      <c r="F506" s="1924"/>
      <c r="G506" s="1924"/>
      <c r="H506" s="1924"/>
      <c r="I506" s="1924"/>
    </row>
    <row r="507" spans="2:9" ht="12.75">
      <c r="B507" s="1924"/>
      <c r="C507" s="1924"/>
      <c r="D507" s="1924"/>
      <c r="E507" s="1924"/>
      <c r="F507" s="1924"/>
      <c r="G507" s="1924"/>
      <c r="H507" s="1924"/>
      <c r="I507" s="1924"/>
    </row>
    <row r="508" spans="2:9" ht="12.75">
      <c r="B508" s="1924"/>
      <c r="C508" s="1924"/>
      <c r="D508" s="1924"/>
      <c r="E508" s="1924"/>
      <c r="F508" s="1924"/>
      <c r="G508" s="1924"/>
      <c r="H508" s="1924"/>
      <c r="I508" s="1924"/>
    </row>
    <row r="509" spans="2:9" ht="12.75">
      <c r="B509" s="1924"/>
      <c r="C509" s="1924"/>
      <c r="D509" s="1924"/>
      <c r="E509" s="1924"/>
      <c r="F509" s="1924"/>
      <c r="G509" s="1924"/>
      <c r="H509" s="1924"/>
      <c r="I509" s="1924"/>
    </row>
    <row r="510" spans="2:9" ht="12.75">
      <c r="B510" s="1924"/>
      <c r="C510" s="1924"/>
      <c r="D510" s="1924"/>
      <c r="E510" s="1924"/>
      <c r="F510" s="1924"/>
      <c r="G510" s="1924"/>
      <c r="H510" s="1924"/>
      <c r="I510" s="1924"/>
    </row>
    <row r="511" spans="2:9" ht="12.75">
      <c r="B511" s="1924"/>
      <c r="C511" s="1924"/>
      <c r="D511" s="1924"/>
      <c r="E511" s="1924"/>
      <c r="F511" s="1924"/>
      <c r="G511" s="1924"/>
      <c r="H511" s="1924"/>
      <c r="I511" s="1924"/>
    </row>
    <row r="512" spans="2:9" ht="12.75">
      <c r="B512" s="1924"/>
      <c r="C512" s="1924"/>
      <c r="D512" s="1924"/>
      <c r="E512" s="1924"/>
      <c r="F512" s="1924"/>
      <c r="G512" s="1924"/>
      <c r="H512" s="1924"/>
      <c r="I512" s="1924"/>
    </row>
    <row r="513" spans="2:9" ht="12.75">
      <c r="B513" s="1924"/>
      <c r="C513" s="1924"/>
      <c r="D513" s="1924"/>
      <c r="E513" s="1924"/>
      <c r="F513" s="1924"/>
      <c r="G513" s="1924"/>
      <c r="H513" s="1924"/>
      <c r="I513" s="1924"/>
    </row>
    <row r="514" spans="2:9" ht="12.75">
      <c r="B514" s="1924"/>
      <c r="C514" s="1924"/>
      <c r="D514" s="1924"/>
      <c r="E514" s="1924"/>
      <c r="F514" s="1924"/>
      <c r="G514" s="1924"/>
      <c r="H514" s="1924"/>
      <c r="I514" s="1924"/>
    </row>
    <row r="515" spans="2:9" ht="12.75">
      <c r="B515" s="1924"/>
      <c r="C515" s="1924"/>
      <c r="D515" s="1924"/>
      <c r="E515" s="1924"/>
      <c r="F515" s="1924"/>
      <c r="G515" s="1924"/>
      <c r="H515" s="1924"/>
      <c r="I515" s="1924"/>
    </row>
    <row r="516" spans="2:9" ht="12.75">
      <c r="B516" s="1924"/>
      <c r="C516" s="1924"/>
      <c r="D516" s="1924"/>
      <c r="E516" s="1924"/>
      <c r="F516" s="1924"/>
      <c r="G516" s="1924"/>
      <c r="H516" s="1924"/>
      <c r="I516" s="1924"/>
    </row>
    <row r="517" spans="2:9" ht="12.75">
      <c r="B517" s="1924"/>
      <c r="C517" s="1924"/>
      <c r="D517" s="1924"/>
      <c r="E517" s="1924"/>
      <c r="F517" s="1924"/>
      <c r="G517" s="1924"/>
      <c r="H517" s="1924"/>
      <c r="I517" s="1924"/>
    </row>
    <row r="518" spans="2:9" ht="12.75">
      <c r="B518" s="1924"/>
      <c r="C518" s="1924"/>
      <c r="D518" s="1924"/>
      <c r="E518" s="1924"/>
      <c r="F518" s="1924"/>
      <c r="G518" s="1924"/>
      <c r="H518" s="1924"/>
      <c r="I518" s="1924"/>
    </row>
    <row r="519" spans="2:9" ht="12.75">
      <c r="B519" s="1924"/>
      <c r="C519" s="1924"/>
      <c r="D519" s="1924"/>
      <c r="E519" s="1924"/>
      <c r="F519" s="1924"/>
      <c r="G519" s="1924"/>
      <c r="H519" s="1924"/>
      <c r="I519" s="1924"/>
    </row>
    <row r="520" spans="2:9" ht="12.75">
      <c r="B520" s="1924"/>
      <c r="C520" s="1924"/>
      <c r="D520" s="1924"/>
      <c r="E520" s="1924"/>
      <c r="F520" s="1924"/>
      <c r="G520" s="1924"/>
      <c r="H520" s="1924"/>
      <c r="I520" s="1924"/>
    </row>
    <row r="521" spans="2:9" ht="12.75">
      <c r="B521" s="1924"/>
      <c r="C521" s="1924"/>
      <c r="D521" s="1924"/>
      <c r="E521" s="1924"/>
      <c r="F521" s="1924"/>
      <c r="G521" s="1924"/>
      <c r="H521" s="1924"/>
      <c r="I521" s="1924"/>
    </row>
    <row r="522" spans="2:9" ht="12.75">
      <c r="B522" s="1924"/>
      <c r="C522" s="1924"/>
      <c r="D522" s="1924"/>
      <c r="E522" s="1924"/>
      <c r="F522" s="1924"/>
      <c r="G522" s="1924"/>
      <c r="H522" s="1924"/>
      <c r="I522" s="1924"/>
    </row>
    <row r="523" spans="2:9" ht="12.75">
      <c r="B523" s="1924"/>
      <c r="C523" s="1924"/>
      <c r="D523" s="1924"/>
      <c r="E523" s="1924"/>
      <c r="F523" s="1924"/>
      <c r="G523" s="1924"/>
      <c r="H523" s="1924"/>
      <c r="I523" s="1924"/>
    </row>
    <row r="524" spans="2:9" ht="12.75">
      <c r="B524" s="1924"/>
      <c r="C524" s="1924"/>
      <c r="D524" s="1924"/>
      <c r="E524" s="1924"/>
      <c r="F524" s="1924"/>
      <c r="G524" s="1924"/>
      <c r="H524" s="1924"/>
      <c r="I524" s="1924"/>
    </row>
    <row r="525" spans="2:9" ht="12.75">
      <c r="B525" s="1924"/>
      <c r="C525" s="1924"/>
      <c r="D525" s="1924"/>
      <c r="E525" s="1924"/>
      <c r="F525" s="1924"/>
      <c r="G525" s="1924"/>
      <c r="H525" s="1924"/>
      <c r="I525" s="1924"/>
    </row>
    <row r="526" spans="2:9" ht="12.75">
      <c r="B526" s="1924"/>
      <c r="C526" s="1924"/>
      <c r="D526" s="1924"/>
      <c r="E526" s="1924"/>
      <c r="F526" s="1924"/>
      <c r="G526" s="1924"/>
      <c r="H526" s="1924"/>
      <c r="I526" s="1924"/>
    </row>
    <row r="527" spans="2:9" ht="12.75">
      <c r="B527" s="1924"/>
      <c r="C527" s="1924"/>
      <c r="D527" s="1924"/>
      <c r="E527" s="1924"/>
      <c r="F527" s="1924"/>
      <c r="G527" s="1924"/>
      <c r="H527" s="1924"/>
      <c r="I527" s="1924"/>
    </row>
    <row r="528" spans="2:9" ht="12.75">
      <c r="B528" s="1924"/>
      <c r="C528" s="1924"/>
      <c r="D528" s="1924"/>
      <c r="E528" s="1924"/>
      <c r="F528" s="1924"/>
      <c r="G528" s="1924"/>
      <c r="H528" s="1924"/>
      <c r="I528" s="1924"/>
    </row>
    <row r="529" spans="2:9" ht="12.75">
      <c r="B529" s="1924"/>
      <c r="C529" s="1924"/>
      <c r="D529" s="1924"/>
      <c r="E529" s="1924"/>
      <c r="F529" s="1924"/>
      <c r="G529" s="1924"/>
      <c r="H529" s="1924"/>
      <c r="I529" s="1924"/>
    </row>
    <row r="530" spans="2:9" ht="12.75">
      <c r="B530" s="1924"/>
      <c r="C530" s="1924"/>
      <c r="D530" s="1924"/>
      <c r="E530" s="1924"/>
      <c r="F530" s="1924"/>
      <c r="G530" s="1924"/>
      <c r="H530" s="1924"/>
      <c r="I530" s="1924"/>
    </row>
    <row r="531" spans="2:9" ht="12.75">
      <c r="B531" s="1924"/>
      <c r="C531" s="1924"/>
      <c r="D531" s="1924"/>
      <c r="E531" s="1924"/>
      <c r="F531" s="1924"/>
      <c r="G531" s="1924"/>
      <c r="H531" s="1924"/>
      <c r="I531" s="1924"/>
    </row>
    <row r="532" spans="2:9" ht="12.75">
      <c r="B532" s="1924"/>
      <c r="C532" s="1924"/>
      <c r="D532" s="1924"/>
      <c r="E532" s="1924"/>
      <c r="F532" s="1924"/>
      <c r="G532" s="1924"/>
      <c r="H532" s="1924"/>
      <c r="I532" s="1924"/>
    </row>
    <row r="533" spans="2:9" ht="12.75">
      <c r="B533" s="1924"/>
      <c r="C533" s="1924"/>
      <c r="D533" s="1924"/>
      <c r="E533" s="1924"/>
      <c r="F533" s="1924"/>
      <c r="G533" s="1924"/>
      <c r="H533" s="1924"/>
      <c r="I533" s="1924"/>
    </row>
    <row r="534" spans="2:9" ht="12.75">
      <c r="B534" s="1924"/>
      <c r="C534" s="1924"/>
      <c r="D534" s="1924"/>
      <c r="E534" s="1924"/>
      <c r="F534" s="1924"/>
      <c r="G534" s="1924"/>
      <c r="H534" s="1924"/>
      <c r="I534" s="1924"/>
    </row>
    <row r="535" spans="2:9" ht="12.75">
      <c r="B535" s="1924"/>
      <c r="C535" s="1924"/>
      <c r="D535" s="1924"/>
      <c r="E535" s="1924"/>
      <c r="F535" s="1924"/>
      <c r="G535" s="1924"/>
      <c r="H535" s="1924"/>
      <c r="I535" s="1924"/>
    </row>
    <row r="536" spans="2:9" ht="12.75">
      <c r="B536" s="1924"/>
      <c r="C536" s="1924"/>
      <c r="D536" s="1924"/>
      <c r="E536" s="1924"/>
      <c r="F536" s="1924"/>
      <c r="G536" s="1924"/>
      <c r="H536" s="1924"/>
      <c r="I536" s="1924"/>
    </row>
    <row r="537" spans="2:9" ht="12.75">
      <c r="B537" s="1924"/>
      <c r="C537" s="1924"/>
      <c r="D537" s="1924"/>
      <c r="E537" s="1924"/>
      <c r="F537" s="1924"/>
      <c r="G537" s="1924"/>
      <c r="H537" s="1924"/>
      <c r="I537" s="1924"/>
    </row>
    <row r="538" spans="2:9" ht="12.75">
      <c r="B538" s="1924"/>
      <c r="C538" s="1924"/>
      <c r="D538" s="1924"/>
      <c r="E538" s="1924"/>
      <c r="F538" s="1924"/>
      <c r="G538" s="1924"/>
      <c r="H538" s="1924"/>
      <c r="I538" s="1924"/>
    </row>
    <row r="539" spans="2:9" ht="12.75">
      <c r="B539" s="1924"/>
      <c r="C539" s="1924"/>
      <c r="D539" s="1924"/>
      <c r="E539" s="1924"/>
      <c r="F539" s="1924"/>
      <c r="G539" s="1924"/>
      <c r="H539" s="1924"/>
      <c r="I539" s="1924"/>
    </row>
    <row r="540" spans="2:9" ht="12.75">
      <c r="B540" s="1924"/>
      <c r="C540" s="1924"/>
      <c r="D540" s="1924"/>
      <c r="E540" s="1924"/>
      <c r="F540" s="1924"/>
      <c r="G540" s="1924"/>
      <c r="H540" s="1924"/>
      <c r="I540" s="1924"/>
    </row>
    <row r="541" spans="2:9" ht="12.75">
      <c r="B541" s="1924"/>
      <c r="C541" s="1924"/>
      <c r="D541" s="1924"/>
      <c r="E541" s="1924"/>
      <c r="F541" s="1924"/>
      <c r="G541" s="1924"/>
      <c r="H541" s="1924"/>
      <c r="I541" s="1924"/>
    </row>
    <row r="542" spans="2:9" ht="12.75">
      <c r="B542" s="1924"/>
      <c r="C542" s="1924"/>
      <c r="D542" s="1924"/>
      <c r="E542" s="1924"/>
      <c r="F542" s="1924"/>
      <c r="G542" s="1924"/>
      <c r="H542" s="1924"/>
      <c r="I542" s="1924"/>
    </row>
    <row r="543" spans="2:9" ht="12.75">
      <c r="B543" s="1924"/>
      <c r="C543" s="1924"/>
      <c r="D543" s="1924"/>
      <c r="E543" s="1924"/>
      <c r="F543" s="1924"/>
      <c r="G543" s="1924"/>
      <c r="H543" s="1924"/>
      <c r="I543" s="1924"/>
    </row>
    <row r="544" spans="2:9" ht="12.75">
      <c r="B544" s="1924"/>
      <c r="C544" s="1924"/>
      <c r="D544" s="1924"/>
      <c r="E544" s="1924"/>
      <c r="F544" s="1924"/>
      <c r="G544" s="1924"/>
      <c r="H544" s="1924"/>
      <c r="I544" s="1924"/>
    </row>
    <row r="545" spans="2:9" ht="12.75">
      <c r="B545" s="1924"/>
      <c r="C545" s="1924"/>
      <c r="D545" s="1924"/>
      <c r="E545" s="1924"/>
      <c r="F545" s="1924"/>
      <c r="G545" s="1924"/>
      <c r="H545" s="1924"/>
      <c r="I545" s="1924"/>
    </row>
    <row r="546" spans="2:9" ht="12.75">
      <c r="B546" s="1924"/>
      <c r="C546" s="1924"/>
      <c r="D546" s="1924"/>
      <c r="E546" s="1924"/>
      <c r="F546" s="1924"/>
      <c r="G546" s="1924"/>
      <c r="H546" s="1924"/>
      <c r="I546" s="1924"/>
    </row>
    <row r="547" spans="2:9" ht="12.75">
      <c r="B547" s="1924"/>
      <c r="C547" s="1924"/>
      <c r="D547" s="1924"/>
      <c r="E547" s="1924"/>
      <c r="F547" s="1924"/>
      <c r="G547" s="1924"/>
      <c r="H547" s="1924"/>
      <c r="I547" s="1924"/>
    </row>
    <row r="548" spans="2:9" ht="12.75">
      <c r="B548" s="1924"/>
      <c r="C548" s="1924"/>
      <c r="D548" s="1924"/>
      <c r="E548" s="1924"/>
      <c r="F548" s="1924"/>
      <c r="G548" s="1924"/>
      <c r="H548" s="1924"/>
      <c r="I548" s="1924"/>
    </row>
    <row r="549" spans="2:9" ht="12.75">
      <c r="B549" s="1924"/>
      <c r="C549" s="1924"/>
      <c r="D549" s="1924"/>
      <c r="E549" s="1924"/>
      <c r="F549" s="1924"/>
      <c r="G549" s="1924"/>
      <c r="H549" s="1924"/>
      <c r="I549" s="1924"/>
    </row>
    <row r="550" spans="2:9" ht="12.75">
      <c r="B550" s="1924"/>
      <c r="C550" s="1924"/>
      <c r="D550" s="1924"/>
      <c r="E550" s="1924"/>
      <c r="F550" s="1924"/>
      <c r="G550" s="1924"/>
      <c r="H550" s="1924"/>
      <c r="I550" s="1924"/>
    </row>
    <row r="551" spans="2:9" ht="12.75">
      <c r="B551" s="1924"/>
      <c r="C551" s="1924"/>
      <c r="D551" s="1924"/>
      <c r="E551" s="1924"/>
      <c r="F551" s="1924"/>
      <c r="G551" s="1924"/>
      <c r="H551" s="1924"/>
      <c r="I551" s="1924"/>
    </row>
    <row r="552" spans="2:9" ht="12.75">
      <c r="B552" s="1924"/>
      <c r="C552" s="1924"/>
      <c r="D552" s="1924"/>
      <c r="E552" s="1924"/>
      <c r="F552" s="1924"/>
      <c r="G552" s="1924"/>
      <c r="H552" s="1924"/>
      <c r="I552" s="1924"/>
    </row>
    <row r="553" spans="2:9" ht="12.75">
      <c r="B553" s="1924"/>
      <c r="C553" s="1924"/>
      <c r="D553" s="1924"/>
      <c r="E553" s="1924"/>
      <c r="F553" s="1924"/>
      <c r="G553" s="1924"/>
      <c r="H553" s="1924"/>
      <c r="I553" s="1924"/>
    </row>
    <row r="554" spans="2:9" ht="12.75">
      <c r="B554" s="1924"/>
      <c r="C554" s="1924"/>
      <c r="D554" s="1924"/>
      <c r="E554" s="1924"/>
      <c r="F554" s="1924"/>
      <c r="G554" s="1924"/>
      <c r="H554" s="1924"/>
      <c r="I554" s="1924"/>
    </row>
    <row r="555" spans="2:9" ht="12.75">
      <c r="B555" s="1924"/>
      <c r="C555" s="1924"/>
      <c r="D555" s="1924"/>
      <c r="E555" s="1924"/>
      <c r="F555" s="1924"/>
      <c r="G555" s="1924"/>
      <c r="H555" s="1924"/>
      <c r="I555" s="1924"/>
    </row>
    <row r="556" spans="2:9" ht="12.75">
      <c r="B556" s="1924"/>
      <c r="C556" s="1924"/>
      <c r="D556" s="1924"/>
      <c r="E556" s="1924"/>
      <c r="F556" s="1924"/>
      <c r="G556" s="1924"/>
      <c r="H556" s="1924"/>
      <c r="I556" s="1924"/>
    </row>
    <row r="557" spans="2:9" ht="12.75">
      <c r="B557" s="1924"/>
      <c r="C557" s="1924"/>
      <c r="D557" s="1924"/>
      <c r="E557" s="1924"/>
      <c r="F557" s="1924"/>
      <c r="G557" s="1924"/>
      <c r="H557" s="1924"/>
      <c r="I557" s="1924"/>
    </row>
    <row r="558" spans="2:9" ht="12.75">
      <c r="B558" s="1924"/>
      <c r="C558" s="1924"/>
      <c r="D558" s="1924"/>
      <c r="E558" s="1924"/>
      <c r="F558" s="1924"/>
      <c r="G558" s="1924"/>
      <c r="H558" s="1924"/>
      <c r="I558" s="1924"/>
    </row>
    <row r="559" spans="2:9" ht="12.75">
      <c r="B559" s="1924"/>
      <c r="C559" s="1924"/>
      <c r="D559" s="1924"/>
      <c r="E559" s="1924"/>
      <c r="F559" s="1924"/>
      <c r="G559" s="1924"/>
      <c r="H559" s="1924"/>
      <c r="I559" s="1924"/>
    </row>
    <row r="560" spans="2:9" ht="12.75">
      <c r="B560" s="1924"/>
      <c r="C560" s="1924"/>
      <c r="D560" s="1924"/>
      <c r="E560" s="1924"/>
      <c r="F560" s="1924"/>
      <c r="G560" s="1924"/>
      <c r="H560" s="1924"/>
      <c r="I560" s="1924"/>
    </row>
    <row r="561" spans="2:9" ht="12.75">
      <c r="B561" s="1924"/>
      <c r="C561" s="1924"/>
      <c r="D561" s="1924"/>
      <c r="E561" s="1924"/>
      <c r="F561" s="1924"/>
      <c r="G561" s="1924"/>
      <c r="H561" s="1924"/>
      <c r="I561" s="1924"/>
    </row>
    <row r="562" spans="2:9" ht="12.75">
      <c r="B562" s="1924"/>
      <c r="C562" s="1924"/>
      <c r="D562" s="1924"/>
      <c r="E562" s="1924"/>
      <c r="F562" s="1924"/>
      <c r="G562" s="1924"/>
      <c r="H562" s="1924"/>
      <c r="I562" s="1924"/>
    </row>
    <row r="563" spans="2:9" ht="12.75">
      <c r="B563" s="1924"/>
      <c r="C563" s="1924"/>
      <c r="D563" s="1924"/>
      <c r="E563" s="1924"/>
      <c r="F563" s="1924"/>
      <c r="G563" s="1924"/>
      <c r="H563" s="1924"/>
      <c r="I563" s="1924"/>
    </row>
    <row r="564" spans="2:9" ht="12.75">
      <c r="B564" s="1924"/>
      <c r="C564" s="1924"/>
      <c r="D564" s="1924"/>
      <c r="E564" s="1924"/>
      <c r="F564" s="1924"/>
      <c r="G564" s="1924"/>
      <c r="H564" s="1924"/>
      <c r="I564" s="1924"/>
    </row>
    <row r="565" spans="2:9" ht="12.75">
      <c r="B565" s="1924"/>
      <c r="C565" s="1924"/>
      <c r="D565" s="1924"/>
      <c r="E565" s="1924"/>
      <c r="F565" s="1924"/>
      <c r="G565" s="1924"/>
      <c r="H565" s="1924"/>
      <c r="I565" s="1924"/>
    </row>
    <row r="566" spans="2:9" ht="12.75">
      <c r="B566" s="1924"/>
      <c r="C566" s="1924"/>
      <c r="D566" s="1924"/>
      <c r="E566" s="1924"/>
      <c r="F566" s="1924"/>
      <c r="G566" s="1924"/>
      <c r="H566" s="1924"/>
      <c r="I566" s="1924"/>
    </row>
    <row r="567" spans="2:9" ht="12.75">
      <c r="B567" s="1924"/>
      <c r="C567" s="1924"/>
      <c r="D567" s="1924"/>
      <c r="E567" s="1924"/>
      <c r="F567" s="1924"/>
      <c r="G567" s="1924"/>
      <c r="H567" s="1924"/>
      <c r="I567" s="1924"/>
    </row>
    <row r="568" spans="2:9" ht="12.75">
      <c r="B568" s="1924"/>
      <c r="C568" s="1924"/>
      <c r="D568" s="1924"/>
      <c r="E568" s="1924"/>
      <c r="F568" s="1924"/>
      <c r="G568" s="1924"/>
      <c r="H568" s="1924"/>
      <c r="I568" s="1924"/>
    </row>
    <row r="569" spans="2:9" ht="12.75">
      <c r="B569" s="1924"/>
      <c r="C569" s="1924"/>
      <c r="D569" s="1924"/>
      <c r="E569" s="1924"/>
      <c r="F569" s="1924"/>
      <c r="G569" s="1924"/>
      <c r="H569" s="1924"/>
      <c r="I569" s="1924"/>
    </row>
    <row r="570" spans="2:9" ht="12.75">
      <c r="B570" s="1924"/>
      <c r="C570" s="1924"/>
      <c r="D570" s="1924"/>
      <c r="E570" s="1924"/>
      <c r="F570" s="1924"/>
      <c r="G570" s="1924"/>
      <c r="H570" s="1924"/>
      <c r="I570" s="1924"/>
    </row>
    <row r="571" spans="2:9" ht="12.75">
      <c r="B571" s="1924"/>
      <c r="C571" s="1924"/>
      <c r="D571" s="1924"/>
      <c r="E571" s="1924"/>
      <c r="F571" s="1924"/>
      <c r="G571" s="1924"/>
      <c r="H571" s="1924"/>
      <c r="I571" s="1924"/>
    </row>
    <row r="572" spans="2:9" ht="12.75">
      <c r="B572" s="1924"/>
      <c r="C572" s="1924"/>
      <c r="D572" s="1924"/>
      <c r="E572" s="1924"/>
      <c r="F572" s="1924"/>
      <c r="G572" s="1924"/>
      <c r="H572" s="1924"/>
      <c r="I572" s="1924"/>
    </row>
    <row r="573" spans="2:9" ht="12.75">
      <c r="B573" s="1924"/>
      <c r="C573" s="1924"/>
      <c r="D573" s="1924"/>
      <c r="E573" s="1924"/>
      <c r="F573" s="1924"/>
      <c r="G573" s="1924"/>
      <c r="H573" s="1924"/>
      <c r="I573" s="1924"/>
    </row>
    <row r="574" spans="2:9" ht="12.75">
      <c r="B574" s="1924"/>
      <c r="C574" s="1924"/>
      <c r="D574" s="1924"/>
      <c r="E574" s="1924"/>
      <c r="F574" s="1924"/>
      <c r="G574" s="1924"/>
      <c r="H574" s="1924"/>
      <c r="I574" s="1924"/>
    </row>
    <row r="575" spans="2:9" ht="12.75">
      <c r="B575" s="1924"/>
      <c r="C575" s="1924"/>
      <c r="D575" s="1924"/>
      <c r="E575" s="1924"/>
      <c r="F575" s="1924"/>
      <c r="G575" s="1924"/>
      <c r="H575" s="1924"/>
      <c r="I575" s="1924"/>
    </row>
    <row r="576" spans="2:9" ht="12.75">
      <c r="B576" s="1924"/>
      <c r="C576" s="1924"/>
      <c r="D576" s="1924"/>
      <c r="E576" s="1924"/>
      <c r="F576" s="1924"/>
      <c r="G576" s="1924"/>
      <c r="H576" s="1924"/>
      <c r="I576" s="1924"/>
    </row>
    <row r="577" spans="2:9" ht="12.75">
      <c r="B577" s="1924"/>
      <c r="C577" s="1924"/>
      <c r="D577" s="1924"/>
      <c r="E577" s="1924"/>
      <c r="F577" s="1924"/>
      <c r="G577" s="1924"/>
      <c r="H577" s="1924"/>
      <c r="I577" s="1924"/>
    </row>
    <row r="578" spans="2:9" ht="12.75">
      <c r="B578" s="1924"/>
      <c r="C578" s="1924"/>
      <c r="D578" s="1924"/>
      <c r="E578" s="1924"/>
      <c r="F578" s="1924"/>
      <c r="G578" s="1924"/>
      <c r="H578" s="1924"/>
      <c r="I578" s="1924"/>
    </row>
    <row r="579" spans="2:9" ht="12.75">
      <c r="B579" s="1924"/>
      <c r="C579" s="1924"/>
      <c r="D579" s="1924"/>
      <c r="E579" s="1924"/>
      <c r="F579" s="1924"/>
      <c r="G579" s="1924"/>
      <c r="H579" s="1924"/>
      <c r="I579" s="1924"/>
    </row>
    <row r="580" spans="2:9" ht="12.75">
      <c r="B580" s="1924"/>
      <c r="C580" s="1924"/>
      <c r="D580" s="1924"/>
      <c r="E580" s="1924"/>
      <c r="F580" s="1924"/>
      <c r="G580" s="1924"/>
      <c r="H580" s="1924"/>
      <c r="I580" s="1924"/>
    </row>
    <row r="581" spans="2:9" ht="12.75">
      <c r="B581" s="1924"/>
      <c r="C581" s="1924"/>
      <c r="D581" s="1924"/>
      <c r="E581" s="1924"/>
      <c r="F581" s="1924"/>
      <c r="G581" s="1924"/>
      <c r="H581" s="1924"/>
      <c r="I581" s="1924"/>
    </row>
    <row r="582" spans="2:9" ht="12.75">
      <c r="B582" s="1924"/>
      <c r="C582" s="1924"/>
      <c r="D582" s="1924"/>
      <c r="E582" s="1924"/>
      <c r="F582" s="1924"/>
      <c r="G582" s="1924"/>
      <c r="H582" s="1924"/>
      <c r="I582" s="1924"/>
    </row>
    <row r="583" spans="2:9" ht="12.75">
      <c r="B583" s="1924"/>
      <c r="C583" s="1924"/>
      <c r="D583" s="1924"/>
      <c r="E583" s="1924"/>
      <c r="F583" s="1924"/>
      <c r="G583" s="1924"/>
      <c r="H583" s="1924"/>
      <c r="I583" s="1924"/>
    </row>
    <row r="584" spans="2:9" ht="12.75">
      <c r="B584" s="1924"/>
      <c r="C584" s="1924"/>
      <c r="D584" s="1924"/>
      <c r="E584" s="1924"/>
      <c r="F584" s="1924"/>
      <c r="G584" s="1924"/>
      <c r="H584" s="1924"/>
      <c r="I584" s="1924"/>
    </row>
    <row r="585" spans="2:9" ht="12.75">
      <c r="B585" s="1924"/>
      <c r="C585" s="1924"/>
      <c r="D585" s="1924"/>
      <c r="E585" s="1924"/>
      <c r="F585" s="1924"/>
      <c r="G585" s="1924"/>
      <c r="H585" s="1924"/>
      <c r="I585" s="1924"/>
    </row>
    <row r="586" spans="2:9" ht="12.75">
      <c r="B586" s="1924"/>
      <c r="C586" s="1924"/>
      <c r="D586" s="1924"/>
      <c r="E586" s="1924"/>
      <c r="F586" s="1924"/>
      <c r="G586" s="1924"/>
      <c r="H586" s="1924"/>
      <c r="I586" s="1924"/>
    </row>
    <row r="587" spans="2:9" ht="12.75">
      <c r="B587" s="1924"/>
      <c r="C587" s="1924"/>
      <c r="D587" s="1924"/>
      <c r="E587" s="1924"/>
      <c r="F587" s="1924"/>
      <c r="G587" s="1924"/>
      <c r="H587" s="1924"/>
      <c r="I587" s="1924"/>
    </row>
    <row r="588" spans="2:9" ht="12.75">
      <c r="B588" s="1924"/>
      <c r="C588" s="1924"/>
      <c r="D588" s="1924"/>
      <c r="E588" s="1924"/>
      <c r="F588" s="1924"/>
      <c r="G588" s="1924"/>
      <c r="H588" s="1924"/>
      <c r="I588" s="1924"/>
    </row>
    <row r="589" spans="2:9" ht="12.75">
      <c r="B589" s="1924"/>
      <c r="C589" s="1924"/>
      <c r="D589" s="1924"/>
      <c r="E589" s="1924"/>
      <c r="F589" s="1924"/>
      <c r="G589" s="1924"/>
      <c r="H589" s="1924"/>
      <c r="I589" s="1924"/>
    </row>
    <row r="590" spans="2:9" ht="12.75">
      <c r="B590" s="1924"/>
      <c r="C590" s="1924"/>
      <c r="D590" s="1924"/>
      <c r="E590" s="1924"/>
      <c r="F590" s="1924"/>
      <c r="G590" s="1924"/>
      <c r="H590" s="1924"/>
      <c r="I590" s="1924"/>
    </row>
    <row r="591" spans="2:9" ht="12.75">
      <c r="B591" s="1924"/>
      <c r="C591" s="1924"/>
      <c r="D591" s="1924"/>
      <c r="E591" s="1924"/>
      <c r="F591" s="1924"/>
      <c r="G591" s="1924"/>
      <c r="H591" s="1924"/>
      <c r="I591" s="1924"/>
    </row>
    <row r="592" spans="2:9" ht="12.75">
      <c r="B592" s="1924"/>
      <c r="C592" s="1924"/>
      <c r="D592" s="1924"/>
      <c r="E592" s="1924"/>
      <c r="F592" s="1924"/>
      <c r="G592" s="1924"/>
      <c r="H592" s="1924"/>
      <c r="I592" s="1924"/>
    </row>
    <row r="593" spans="2:9" ht="12.75">
      <c r="B593" s="1924"/>
      <c r="C593" s="1924"/>
      <c r="D593" s="1924"/>
      <c r="E593" s="1924"/>
      <c r="F593" s="1924"/>
      <c r="G593" s="1924"/>
      <c r="H593" s="1924"/>
      <c r="I593" s="1924"/>
    </row>
    <row r="594" spans="2:9" ht="12.75">
      <c r="B594" s="1924"/>
      <c r="C594" s="1924"/>
      <c r="D594" s="1924"/>
      <c r="E594" s="1924"/>
      <c r="F594" s="1924"/>
      <c r="G594" s="1924"/>
      <c r="H594" s="1924"/>
      <c r="I594" s="1924"/>
    </row>
    <row r="595" spans="2:9" ht="12.75">
      <c r="B595" s="1924"/>
      <c r="C595" s="1924"/>
      <c r="D595" s="1924"/>
      <c r="E595" s="1924"/>
      <c r="F595" s="1924"/>
      <c r="G595" s="1924"/>
      <c r="H595" s="1924"/>
      <c r="I595" s="1924"/>
    </row>
    <row r="596" spans="2:9" ht="12.75">
      <c r="B596" s="1924"/>
      <c r="C596" s="1924"/>
      <c r="D596" s="1924"/>
      <c r="E596" s="1924"/>
      <c r="F596" s="1924"/>
      <c r="G596" s="1924"/>
      <c r="H596" s="1924"/>
      <c r="I596" s="1924"/>
    </row>
    <row r="597" spans="2:9" ht="12.75">
      <c r="B597" s="1924"/>
      <c r="C597" s="1924"/>
      <c r="D597" s="1924"/>
      <c r="E597" s="1924"/>
      <c r="F597" s="1924"/>
      <c r="G597" s="1924"/>
      <c r="H597" s="1924"/>
      <c r="I597" s="1924"/>
    </row>
    <row r="598" spans="2:9" ht="12.75">
      <c r="B598" s="1924"/>
      <c r="C598" s="1924"/>
      <c r="D598" s="1924"/>
      <c r="E598" s="1924"/>
      <c r="F598" s="1924"/>
      <c r="G598" s="1924"/>
      <c r="H598" s="1924"/>
      <c r="I598" s="1924"/>
    </row>
    <row r="599" spans="2:9" ht="12.75">
      <c r="B599" s="1924"/>
      <c r="C599" s="1924"/>
      <c r="D599" s="1924"/>
      <c r="E599" s="1924"/>
      <c r="F599" s="1924"/>
      <c r="G599" s="1924"/>
      <c r="H599" s="1924"/>
      <c r="I599" s="1924"/>
    </row>
    <row r="600" spans="2:9" ht="12.75">
      <c r="B600" s="1924"/>
      <c r="C600" s="1924"/>
      <c r="D600" s="1924"/>
      <c r="E600" s="1924"/>
      <c r="F600" s="1924"/>
      <c r="G600" s="1924"/>
      <c r="H600" s="1924"/>
      <c r="I600" s="1924"/>
    </row>
    <row r="601" spans="2:9" ht="12.75">
      <c r="B601" s="1924"/>
      <c r="C601" s="1924"/>
      <c r="D601" s="1924"/>
      <c r="E601" s="1924"/>
      <c r="F601" s="1924"/>
      <c r="G601" s="1924"/>
      <c r="H601" s="1924"/>
      <c r="I601" s="1924"/>
    </row>
    <row r="602" spans="2:9" ht="12.75">
      <c r="B602" s="1924"/>
      <c r="C602" s="1924"/>
      <c r="D602" s="1924"/>
      <c r="E602" s="1924"/>
      <c r="F602" s="1924"/>
      <c r="G602" s="1924"/>
      <c r="H602" s="1924"/>
      <c r="I602" s="1924"/>
    </row>
    <row r="603" spans="2:9" ht="12.75">
      <c r="B603" s="1924"/>
      <c r="C603" s="1924"/>
      <c r="D603" s="1924"/>
      <c r="E603" s="1924"/>
      <c r="F603" s="1924"/>
      <c r="G603" s="1924"/>
      <c r="H603" s="1924"/>
      <c r="I603" s="1924"/>
    </row>
    <row r="604" spans="2:9" ht="12.75">
      <c r="B604" s="1924"/>
      <c r="C604" s="1924"/>
      <c r="D604" s="1924"/>
      <c r="E604" s="1924"/>
      <c r="F604" s="1924"/>
      <c r="G604" s="1924"/>
      <c r="H604" s="1924"/>
      <c r="I604" s="1924"/>
    </row>
    <row r="605" spans="2:9" ht="12.75">
      <c r="B605" s="1924"/>
      <c r="C605" s="1924"/>
      <c r="D605" s="1924"/>
      <c r="E605" s="1924"/>
      <c r="F605" s="1924"/>
      <c r="G605" s="1924"/>
      <c r="H605" s="1924"/>
      <c r="I605" s="1924"/>
    </row>
    <row r="606" spans="2:9" ht="12.75">
      <c r="B606" s="1924"/>
      <c r="C606" s="1924"/>
      <c r="D606" s="1924"/>
      <c r="E606" s="1924"/>
      <c r="F606" s="1924"/>
      <c r="G606" s="1924"/>
      <c r="H606" s="1924"/>
      <c r="I606" s="1924"/>
    </row>
    <row r="607" spans="2:9" ht="12.75">
      <c r="B607" s="1924"/>
      <c r="C607" s="1924"/>
      <c r="D607" s="1924"/>
      <c r="E607" s="1924"/>
      <c r="F607" s="1924"/>
      <c r="G607" s="1924"/>
      <c r="H607" s="1924"/>
      <c r="I607" s="1924"/>
    </row>
    <row r="608" spans="2:9" ht="12.75">
      <c r="B608" s="1924"/>
      <c r="C608" s="1924"/>
      <c r="D608" s="1924"/>
      <c r="E608" s="1924"/>
      <c r="F608" s="1924"/>
      <c r="G608" s="1924"/>
      <c r="H608" s="1924"/>
      <c r="I608" s="1924"/>
    </row>
    <row r="609" spans="2:9" ht="12.75">
      <c r="B609" s="1924"/>
      <c r="C609" s="1924"/>
      <c r="D609" s="1924"/>
      <c r="E609" s="1924"/>
      <c r="F609" s="1924"/>
      <c r="G609" s="1924"/>
      <c r="H609" s="1924"/>
      <c r="I609" s="1924"/>
    </row>
    <row r="610" spans="2:9" ht="12.75">
      <c r="B610" s="1924"/>
      <c r="C610" s="1924"/>
      <c r="D610" s="1924"/>
      <c r="E610" s="1924"/>
      <c r="F610" s="1924"/>
      <c r="G610" s="1924"/>
      <c r="H610" s="1924"/>
      <c r="I610" s="1924"/>
    </row>
    <row r="611" spans="2:9" ht="12.75">
      <c r="B611" s="1924"/>
      <c r="C611" s="1924"/>
      <c r="D611" s="1924"/>
      <c r="E611" s="1924"/>
      <c r="F611" s="1924"/>
      <c r="G611" s="1924"/>
      <c r="H611" s="1924"/>
      <c r="I611" s="1924"/>
    </row>
    <row r="612" spans="2:9" ht="12.75">
      <c r="B612" s="1924"/>
      <c r="C612" s="1924"/>
      <c r="D612" s="1924"/>
      <c r="E612" s="1924"/>
      <c r="F612" s="1924"/>
      <c r="G612" s="1924"/>
      <c r="H612" s="1924"/>
      <c r="I612" s="1924"/>
    </row>
    <row r="613" spans="2:9" ht="12.75">
      <c r="B613" s="1924"/>
      <c r="C613" s="1924"/>
      <c r="D613" s="1924"/>
      <c r="E613" s="1924"/>
      <c r="F613" s="1924"/>
      <c r="G613" s="1924"/>
      <c r="H613" s="1924"/>
      <c r="I613" s="1924"/>
    </row>
    <row r="614" spans="2:9" ht="12.75">
      <c r="B614" s="1924"/>
      <c r="C614" s="1924"/>
      <c r="D614" s="1924"/>
      <c r="E614" s="1924"/>
      <c r="F614" s="1924"/>
      <c r="G614" s="1924"/>
      <c r="H614" s="1924"/>
      <c r="I614" s="1924"/>
    </row>
    <row r="615" spans="2:9" ht="12.75">
      <c r="B615" s="1924"/>
      <c r="C615" s="1924"/>
      <c r="D615" s="1924"/>
      <c r="E615" s="1924"/>
      <c r="F615" s="1924"/>
      <c r="G615" s="1924"/>
      <c r="H615" s="1924"/>
      <c r="I615" s="1924"/>
    </row>
    <row r="616" spans="2:9" ht="12.75">
      <c r="B616" s="1924"/>
      <c r="C616" s="1924"/>
      <c r="D616" s="1924"/>
      <c r="E616" s="1924"/>
      <c r="F616" s="1924"/>
      <c r="G616" s="1924"/>
      <c r="H616" s="1924"/>
      <c r="I616" s="1924"/>
    </row>
    <row r="617" spans="2:9" ht="12.75">
      <c r="B617" s="1924"/>
      <c r="C617" s="1924"/>
      <c r="D617" s="1924"/>
      <c r="E617" s="1924"/>
      <c r="F617" s="1924"/>
      <c r="G617" s="1924"/>
      <c r="H617" s="1924"/>
      <c r="I617" s="1924"/>
    </row>
    <row r="618" spans="2:9" ht="12.75">
      <c r="B618" s="1924"/>
      <c r="C618" s="1924"/>
      <c r="D618" s="1924"/>
      <c r="E618" s="1924"/>
      <c r="F618" s="1924"/>
      <c r="G618" s="1924"/>
      <c r="H618" s="1924"/>
      <c r="I618" s="1924"/>
    </row>
    <row r="619" spans="2:9" ht="12.75">
      <c r="B619" s="1924"/>
      <c r="C619" s="1924"/>
      <c r="D619" s="1924"/>
      <c r="E619" s="1924"/>
      <c r="F619" s="1924"/>
      <c r="G619" s="1924"/>
      <c r="H619" s="1924"/>
      <c r="I619" s="1924"/>
    </row>
    <row r="620" spans="2:9" ht="12.75">
      <c r="B620" s="1924"/>
      <c r="C620" s="1924"/>
      <c r="D620" s="1924"/>
      <c r="E620" s="1924"/>
      <c r="F620" s="1924"/>
      <c r="G620" s="1924"/>
      <c r="H620" s="1924"/>
      <c r="I620" s="1924"/>
    </row>
    <row r="621" spans="2:9" ht="12.75">
      <c r="B621" s="1924"/>
      <c r="C621" s="1924"/>
      <c r="D621" s="1924"/>
      <c r="E621" s="1924"/>
      <c r="F621" s="1924"/>
      <c r="G621" s="1924"/>
      <c r="H621" s="1924"/>
      <c r="I621" s="1924"/>
    </row>
    <row r="622" spans="2:9" ht="12.75">
      <c r="B622" s="1924"/>
      <c r="C622" s="1924"/>
      <c r="D622" s="1924"/>
      <c r="E622" s="1924"/>
      <c r="F622" s="1924"/>
      <c r="G622" s="1924"/>
      <c r="H622" s="1924"/>
      <c r="I622" s="1924"/>
    </row>
    <row r="623" spans="2:9" ht="12.75">
      <c r="B623" s="1924"/>
      <c r="C623" s="1924"/>
      <c r="D623" s="1924"/>
      <c r="E623" s="1924"/>
      <c r="F623" s="1924"/>
      <c r="G623" s="1924"/>
      <c r="H623" s="1924"/>
      <c r="I623" s="1924"/>
    </row>
    <row r="624" spans="2:9" ht="12.75">
      <c r="B624" s="1924"/>
      <c r="C624" s="1924"/>
      <c r="D624" s="1924"/>
      <c r="E624" s="1924"/>
      <c r="F624" s="1924"/>
      <c r="G624" s="1924"/>
      <c r="H624" s="1924"/>
      <c r="I624" s="1924"/>
    </row>
    <row r="625" spans="2:9" ht="12.75">
      <c r="B625" s="1924"/>
      <c r="C625" s="1924"/>
      <c r="D625" s="1924"/>
      <c r="E625" s="1924"/>
      <c r="F625" s="1924"/>
      <c r="G625" s="1924"/>
      <c r="H625" s="1924"/>
      <c r="I625" s="1924"/>
    </row>
    <row r="626" spans="2:9" ht="12.75">
      <c r="B626" s="1924"/>
      <c r="C626" s="1924"/>
      <c r="D626" s="1924"/>
      <c r="E626" s="1924"/>
      <c r="F626" s="1924"/>
      <c r="G626" s="1924"/>
      <c r="H626" s="1924"/>
      <c r="I626" s="1924"/>
    </row>
    <row r="627" spans="2:9" ht="12.75">
      <c r="B627" s="1924"/>
      <c r="C627" s="1924"/>
      <c r="D627" s="1924"/>
      <c r="E627" s="1924"/>
      <c r="F627" s="1924"/>
      <c r="G627" s="1924"/>
      <c r="H627" s="1924"/>
      <c r="I627" s="1924"/>
    </row>
    <row r="628" spans="2:9" ht="12.75">
      <c r="B628" s="1924"/>
      <c r="C628" s="1924"/>
      <c r="D628" s="1924"/>
      <c r="E628" s="1924"/>
      <c r="F628" s="1924"/>
      <c r="G628" s="1924"/>
      <c r="H628" s="1924"/>
      <c r="I628" s="1924"/>
    </row>
    <row r="629" spans="2:9" ht="12.75">
      <c r="B629" s="1924"/>
      <c r="C629" s="1924"/>
      <c r="D629" s="1924"/>
      <c r="E629" s="1924"/>
      <c r="F629" s="1924"/>
      <c r="G629" s="1924"/>
      <c r="H629" s="1924"/>
      <c r="I629" s="1924"/>
    </row>
    <row r="630" spans="2:9" ht="12.75">
      <c r="B630" s="1924"/>
      <c r="C630" s="1924"/>
      <c r="D630" s="1924"/>
      <c r="E630" s="1924"/>
      <c r="F630" s="1924"/>
      <c r="G630" s="1924"/>
      <c r="H630" s="1924"/>
      <c r="I630" s="1924"/>
    </row>
    <row r="631" spans="2:9" ht="12.75">
      <c r="B631" s="1924"/>
      <c r="C631" s="1924"/>
      <c r="D631" s="1924"/>
      <c r="E631" s="1924"/>
      <c r="F631" s="1924"/>
      <c r="G631" s="1924"/>
      <c r="H631" s="1924"/>
      <c r="I631" s="1924"/>
    </row>
    <row r="632" spans="2:9" ht="12.75">
      <c r="B632" s="1924"/>
      <c r="C632" s="1924"/>
      <c r="D632" s="1924"/>
      <c r="E632" s="1924"/>
      <c r="F632" s="1924"/>
      <c r="G632" s="1924"/>
      <c r="H632" s="1924"/>
      <c r="I632" s="1924"/>
    </row>
    <row r="633" spans="2:9" ht="12.75">
      <c r="B633" s="1924"/>
      <c r="C633" s="1924"/>
      <c r="D633" s="1924"/>
      <c r="E633" s="1924"/>
      <c r="F633" s="1924"/>
      <c r="G633" s="1924"/>
      <c r="H633" s="1924"/>
      <c r="I633" s="1924"/>
    </row>
    <row r="634" spans="2:9" ht="12.75">
      <c r="B634" s="1924"/>
      <c r="C634" s="1924"/>
      <c r="D634" s="1924"/>
      <c r="E634" s="1924"/>
      <c r="F634" s="1924"/>
      <c r="G634" s="1924"/>
      <c r="H634" s="1924"/>
      <c r="I634" s="1924"/>
    </row>
    <row r="635" spans="2:9" ht="12.75">
      <c r="B635" s="1924"/>
      <c r="C635" s="1924"/>
      <c r="D635" s="1924"/>
      <c r="E635" s="1924"/>
      <c r="F635" s="1924"/>
      <c r="G635" s="1924"/>
      <c r="H635" s="1924"/>
      <c r="I635" s="1924"/>
    </row>
    <row r="636" spans="2:9" ht="12.75">
      <c r="B636" s="1924"/>
      <c r="C636" s="1924"/>
      <c r="D636" s="1924"/>
      <c r="E636" s="1924"/>
      <c r="F636" s="1924"/>
      <c r="G636" s="1924"/>
      <c r="H636" s="1924"/>
      <c r="I636" s="1924"/>
    </row>
    <row r="637" spans="2:9" ht="12.75">
      <c r="B637" s="1924"/>
      <c r="C637" s="1924"/>
      <c r="D637" s="1924"/>
      <c r="E637" s="1924"/>
      <c r="F637" s="1924"/>
      <c r="G637" s="1924"/>
      <c r="H637" s="1924"/>
      <c r="I637" s="1924"/>
    </row>
    <row r="638" spans="2:9" ht="12.75">
      <c r="B638" s="1924"/>
      <c r="C638" s="1924"/>
      <c r="D638" s="1924"/>
      <c r="E638" s="1924"/>
      <c r="F638" s="1924"/>
      <c r="G638" s="1924"/>
      <c r="H638" s="1924"/>
      <c r="I638" s="1924"/>
    </row>
    <row r="639" spans="2:9" ht="12.75">
      <c r="B639" s="1924"/>
      <c r="C639" s="1924"/>
      <c r="D639" s="1924"/>
      <c r="E639" s="1924"/>
      <c r="F639" s="1924"/>
      <c r="G639" s="1924"/>
      <c r="H639" s="1924"/>
      <c r="I639" s="1924"/>
    </row>
    <row r="640" spans="2:9" ht="12.75">
      <c r="B640" s="1924"/>
      <c r="C640" s="1924"/>
      <c r="D640" s="1924"/>
      <c r="E640" s="1924"/>
      <c r="F640" s="1924"/>
      <c r="G640" s="1924"/>
      <c r="H640" s="1924"/>
      <c r="I640" s="1924"/>
    </row>
    <row r="641" spans="2:9" ht="12.75">
      <c r="B641" s="1924"/>
      <c r="C641" s="1924"/>
      <c r="D641" s="1924"/>
      <c r="E641" s="1924"/>
      <c r="F641" s="1924"/>
      <c r="G641" s="1924"/>
      <c r="H641" s="1924"/>
      <c r="I641" s="1924"/>
    </row>
    <row r="642" spans="2:9" ht="12.75">
      <c r="B642" s="1924"/>
      <c r="C642" s="1924"/>
      <c r="D642" s="1924"/>
      <c r="E642" s="1924"/>
      <c r="F642" s="1924"/>
      <c r="G642" s="1924"/>
      <c r="H642" s="1924"/>
      <c r="I642" s="1924"/>
    </row>
    <row r="643" spans="2:9" ht="12.75">
      <c r="B643" s="1924"/>
      <c r="C643" s="1924"/>
      <c r="D643" s="1924"/>
      <c r="E643" s="1924"/>
      <c r="F643" s="1924"/>
      <c r="G643" s="1924"/>
      <c r="H643" s="1924"/>
      <c r="I643" s="1924"/>
    </row>
    <row r="644" spans="2:9" ht="12.75">
      <c r="B644" s="1924"/>
      <c r="C644" s="1924"/>
      <c r="D644" s="1924"/>
      <c r="E644" s="1924"/>
      <c r="F644" s="1924"/>
      <c r="G644" s="1924"/>
      <c r="H644" s="1924"/>
      <c r="I644" s="1924"/>
    </row>
    <row r="645" spans="2:9" ht="12.75">
      <c r="B645" s="1924"/>
      <c r="C645" s="1924"/>
      <c r="D645" s="1924"/>
      <c r="E645" s="1924"/>
      <c r="F645" s="1924"/>
      <c r="G645" s="1924"/>
      <c r="H645" s="1924"/>
      <c r="I645" s="1924"/>
    </row>
    <row r="646" spans="2:9" ht="12.75">
      <c r="B646" s="1924"/>
      <c r="C646" s="1924"/>
      <c r="D646" s="1924"/>
      <c r="E646" s="1924"/>
      <c r="F646" s="1924"/>
      <c r="G646" s="1924"/>
      <c r="H646" s="1924"/>
      <c r="I646" s="1924"/>
    </row>
    <row r="647" spans="2:9" ht="12.75">
      <c r="B647" s="1924"/>
      <c r="C647" s="1924"/>
      <c r="D647" s="1924"/>
      <c r="E647" s="1924"/>
      <c r="F647" s="1924"/>
      <c r="G647" s="1924"/>
      <c r="H647" s="1924"/>
      <c r="I647" s="1924"/>
    </row>
    <row r="648" spans="2:9" ht="12.75">
      <c r="B648" s="1924"/>
      <c r="C648" s="1924"/>
      <c r="D648" s="1924"/>
      <c r="E648" s="1924"/>
      <c r="F648" s="1924"/>
      <c r="G648" s="1924"/>
      <c r="H648" s="1924"/>
      <c r="I648" s="1924"/>
    </row>
    <row r="649" spans="2:9" ht="12.75">
      <c r="B649" s="1924"/>
      <c r="C649" s="1924"/>
      <c r="D649" s="1924"/>
      <c r="E649" s="1924"/>
      <c r="F649" s="1924"/>
      <c r="G649" s="1924"/>
      <c r="H649" s="1924"/>
      <c r="I649" s="1924"/>
    </row>
    <row r="650" spans="2:9" ht="12.75">
      <c r="B650" s="1924"/>
      <c r="C650" s="1924"/>
      <c r="D650" s="1924"/>
      <c r="E650" s="1924"/>
      <c r="F650" s="1924"/>
      <c r="G650" s="1924"/>
      <c r="H650" s="1924"/>
      <c r="I650" s="1924"/>
    </row>
    <row r="651" spans="2:9" ht="12.75">
      <c r="B651" s="1924"/>
      <c r="C651" s="1924"/>
      <c r="D651" s="1924"/>
      <c r="E651" s="1924"/>
      <c r="F651" s="1924"/>
      <c r="G651" s="1924"/>
      <c r="H651" s="1924"/>
      <c r="I651" s="1924"/>
    </row>
    <row r="652" spans="2:9" ht="12.75">
      <c r="B652" s="1924"/>
      <c r="C652" s="1924"/>
      <c r="D652" s="1924"/>
      <c r="E652" s="1924"/>
      <c r="F652" s="1924"/>
      <c r="G652" s="1924"/>
      <c r="H652" s="1924"/>
      <c r="I652" s="1924"/>
    </row>
    <row r="653" spans="2:9" ht="12.75">
      <c r="B653" s="1924"/>
      <c r="C653" s="1924"/>
      <c r="D653" s="1924"/>
      <c r="E653" s="1924"/>
      <c r="F653" s="1924"/>
      <c r="G653" s="1924"/>
      <c r="H653" s="1924"/>
      <c r="I653" s="1924"/>
    </row>
    <row r="654" spans="2:9" ht="12.75">
      <c r="B654" s="1924"/>
      <c r="C654" s="1924"/>
      <c r="D654" s="1924"/>
      <c r="E654" s="1924"/>
      <c r="F654" s="1924"/>
      <c r="G654" s="1924"/>
      <c r="H654" s="1924"/>
      <c r="I654" s="1924"/>
    </row>
    <row r="655" spans="2:9" ht="12.75">
      <c r="B655" s="1924"/>
      <c r="C655" s="1924"/>
      <c r="D655" s="1924"/>
      <c r="E655" s="1924"/>
      <c r="F655" s="1924"/>
      <c r="G655" s="1924"/>
      <c r="H655" s="1924"/>
      <c r="I655" s="1924"/>
    </row>
    <row r="656" spans="2:9" ht="12.75">
      <c r="B656" s="1924"/>
      <c r="C656" s="1924"/>
      <c r="D656" s="1924"/>
      <c r="E656" s="1924"/>
      <c r="F656" s="1924"/>
      <c r="G656" s="1924"/>
      <c r="H656" s="1924"/>
      <c r="I656" s="1924"/>
    </row>
    <row r="657" spans="2:9" ht="12.75">
      <c r="B657" s="1924"/>
      <c r="C657" s="1924"/>
      <c r="D657" s="1924"/>
      <c r="E657" s="1924"/>
      <c r="F657" s="1924"/>
      <c r="G657" s="1924"/>
      <c r="H657" s="1924"/>
      <c r="I657" s="1924"/>
    </row>
    <row r="658" spans="2:9" ht="12.75">
      <c r="B658" s="1924"/>
      <c r="C658" s="1924"/>
      <c r="D658" s="1924"/>
      <c r="E658" s="1924"/>
      <c r="F658" s="1924"/>
      <c r="G658" s="1924"/>
      <c r="H658" s="1924"/>
      <c r="I658" s="1924"/>
    </row>
    <row r="659" spans="2:9" ht="12.75">
      <c r="B659" s="1924"/>
      <c r="C659" s="1924"/>
      <c r="D659" s="1924"/>
      <c r="E659" s="1924"/>
      <c r="F659" s="1924"/>
      <c r="G659" s="1924"/>
      <c r="H659" s="1924"/>
      <c r="I659" s="1924"/>
    </row>
    <row r="660" spans="2:9" ht="12.75">
      <c r="B660" s="1924"/>
      <c r="C660" s="1924"/>
      <c r="D660" s="1924"/>
      <c r="E660" s="1924"/>
      <c r="F660" s="1924"/>
      <c r="G660" s="1924"/>
      <c r="H660" s="1924"/>
      <c r="I660" s="1924"/>
    </row>
    <row r="661" spans="2:9" ht="12.75">
      <c r="B661" s="1924"/>
      <c r="C661" s="1924"/>
      <c r="D661" s="1924"/>
      <c r="E661" s="1924"/>
      <c r="F661" s="1924"/>
      <c r="G661" s="1924"/>
      <c r="H661" s="1924"/>
      <c r="I661" s="1924"/>
    </row>
    <row r="662" spans="2:9" ht="12.75">
      <c r="B662" s="1924"/>
      <c r="C662" s="1924"/>
      <c r="D662" s="1924"/>
      <c r="E662" s="1924"/>
      <c r="F662" s="1924"/>
      <c r="G662" s="1924"/>
      <c r="H662" s="1924"/>
      <c r="I662" s="1924"/>
    </row>
    <row r="663" spans="2:9" ht="12.75">
      <c r="B663" s="1924"/>
      <c r="C663" s="1924"/>
      <c r="D663" s="1924"/>
      <c r="E663" s="1924"/>
      <c r="F663" s="1924"/>
      <c r="G663" s="1924"/>
      <c r="H663" s="1924"/>
      <c r="I663" s="1924"/>
    </row>
    <row r="664" spans="2:9" ht="12.75">
      <c r="B664" s="1924"/>
      <c r="C664" s="1924"/>
      <c r="D664" s="1924"/>
      <c r="E664" s="1924"/>
      <c r="F664" s="1924"/>
      <c r="G664" s="1924"/>
      <c r="H664" s="1924"/>
      <c r="I664" s="1924"/>
    </row>
    <row r="665" spans="2:9" ht="12.75">
      <c r="B665" s="1924"/>
      <c r="C665" s="1924"/>
      <c r="D665" s="1924"/>
      <c r="E665" s="1924"/>
      <c r="F665" s="1924"/>
      <c r="G665" s="1924"/>
      <c r="H665" s="1924"/>
      <c r="I665" s="1924"/>
    </row>
    <row r="666" spans="2:9" ht="12.75">
      <c r="B666" s="1924"/>
      <c r="C666" s="1924"/>
      <c r="D666" s="1924"/>
      <c r="E666" s="1924"/>
      <c r="F666" s="1924"/>
      <c r="G666" s="1924"/>
      <c r="H666" s="1924"/>
      <c r="I666" s="1924"/>
    </row>
    <row r="667" spans="2:9" ht="12.75">
      <c r="B667" s="1924"/>
      <c r="C667" s="1924"/>
      <c r="D667" s="1924"/>
      <c r="E667" s="1924"/>
      <c r="F667" s="1924"/>
      <c r="G667" s="1924"/>
      <c r="H667" s="1924"/>
      <c r="I667" s="1924"/>
    </row>
    <row r="668" spans="2:9" ht="12.75">
      <c r="B668" s="1924"/>
      <c r="C668" s="1924"/>
      <c r="D668" s="1924"/>
      <c r="E668" s="1924"/>
      <c r="F668" s="1924"/>
      <c r="G668" s="1924"/>
      <c r="H668" s="1924"/>
      <c r="I668" s="1924"/>
    </row>
    <row r="669" spans="2:9" ht="12.75">
      <c r="B669" s="1924"/>
      <c r="C669" s="1924"/>
      <c r="D669" s="1924"/>
      <c r="E669" s="1924"/>
      <c r="F669" s="1924"/>
      <c r="G669" s="1924"/>
      <c r="H669" s="1924"/>
      <c r="I669" s="1924"/>
    </row>
    <row r="670" spans="2:9" ht="12.75">
      <c r="B670" s="1924"/>
      <c r="C670" s="1924"/>
      <c r="D670" s="1924"/>
      <c r="E670" s="1924"/>
      <c r="F670" s="1924"/>
      <c r="G670" s="1924"/>
      <c r="H670" s="1924"/>
      <c r="I670" s="1924"/>
    </row>
    <row r="671" spans="2:9" ht="12.75">
      <c r="B671" s="1924"/>
      <c r="C671" s="1924"/>
      <c r="D671" s="1924"/>
      <c r="E671" s="1924"/>
      <c r="F671" s="1924"/>
      <c r="G671" s="1924"/>
      <c r="H671" s="1924"/>
      <c r="I671" s="1924"/>
    </row>
    <row r="672" spans="2:9" ht="12.75">
      <c r="B672" s="1924"/>
      <c r="C672" s="1924"/>
      <c r="D672" s="1924"/>
      <c r="E672" s="1924"/>
      <c r="F672" s="1924"/>
      <c r="G672" s="1924"/>
      <c r="H672" s="1924"/>
      <c r="I672" s="1924"/>
    </row>
    <row r="673" spans="2:9" ht="12.75">
      <c r="B673" s="1924"/>
      <c r="C673" s="1924"/>
      <c r="D673" s="1924"/>
      <c r="E673" s="1924"/>
      <c r="F673" s="1924"/>
      <c r="G673" s="1924"/>
      <c r="H673" s="1924"/>
      <c r="I673" s="1924"/>
    </row>
    <row r="674" spans="2:9" ht="12.75">
      <c r="B674" s="1924"/>
      <c r="C674" s="1924"/>
      <c r="D674" s="1924"/>
      <c r="E674" s="1924"/>
      <c r="F674" s="1924"/>
      <c r="G674" s="1924"/>
      <c r="H674" s="1924"/>
      <c r="I674" s="1924"/>
    </row>
    <row r="675" spans="2:9" ht="12.75">
      <c r="B675" s="1924"/>
      <c r="C675" s="1924"/>
      <c r="D675" s="1924"/>
      <c r="E675" s="1924"/>
      <c r="F675" s="1924"/>
      <c r="G675" s="1924"/>
      <c r="H675" s="1924"/>
      <c r="I675" s="1924"/>
    </row>
    <row r="676" spans="2:9" ht="12.75">
      <c r="B676" s="1924"/>
      <c r="C676" s="1924"/>
      <c r="D676" s="1924"/>
      <c r="E676" s="1924"/>
      <c r="F676" s="1924"/>
      <c r="G676" s="1924"/>
      <c r="H676" s="1924"/>
      <c r="I676" s="1924"/>
    </row>
    <row r="677" spans="2:9" ht="12.75">
      <c r="B677" s="1924"/>
      <c r="C677" s="1924"/>
      <c r="D677" s="1924"/>
      <c r="E677" s="1924"/>
      <c r="F677" s="1924"/>
      <c r="G677" s="1924"/>
      <c r="H677" s="1924"/>
      <c r="I677" s="1924"/>
    </row>
    <row r="678" spans="2:9" ht="12.75">
      <c r="B678" s="1924"/>
      <c r="C678" s="1924"/>
      <c r="D678" s="1924"/>
      <c r="E678" s="1924"/>
      <c r="F678" s="1924"/>
      <c r="G678" s="1924"/>
      <c r="H678" s="1924"/>
      <c r="I678" s="1924"/>
    </row>
    <row r="679" spans="2:9" ht="12.75">
      <c r="B679" s="1924"/>
      <c r="C679" s="1924"/>
      <c r="D679" s="1924"/>
      <c r="E679" s="1924"/>
      <c r="F679" s="1924"/>
      <c r="G679" s="1924"/>
      <c r="H679" s="1924"/>
      <c r="I679" s="1924"/>
    </row>
    <row r="680" spans="2:9" ht="12.75">
      <c r="B680" s="1924"/>
      <c r="C680" s="1924"/>
      <c r="D680" s="1924"/>
      <c r="E680" s="1924"/>
      <c r="F680" s="1924"/>
      <c r="G680" s="1924"/>
      <c r="H680" s="1924"/>
      <c r="I680" s="1924"/>
    </row>
    <row r="681" spans="2:9" ht="12.75">
      <c r="B681" s="1924"/>
      <c r="C681" s="1924"/>
      <c r="D681" s="1924"/>
      <c r="E681" s="1924"/>
      <c r="F681" s="1924"/>
      <c r="G681" s="1924"/>
      <c r="H681" s="1924"/>
      <c r="I681" s="1924"/>
    </row>
    <row r="682" spans="2:9" ht="12.75">
      <c r="B682" s="1924"/>
      <c r="C682" s="1924"/>
      <c r="D682" s="1924"/>
      <c r="E682" s="1924"/>
      <c r="F682" s="1924"/>
      <c r="G682" s="1924"/>
      <c r="H682" s="1924"/>
      <c r="I682" s="1924"/>
    </row>
    <row r="683" spans="2:9" ht="12.75">
      <c r="B683" s="1924"/>
      <c r="C683" s="1924"/>
      <c r="D683" s="1924"/>
      <c r="E683" s="1924"/>
      <c r="F683" s="1924"/>
      <c r="G683" s="1924"/>
      <c r="H683" s="1924"/>
      <c r="I683" s="1924"/>
    </row>
    <row r="684" spans="2:9" ht="12.75">
      <c r="B684" s="1924"/>
      <c r="C684" s="1924"/>
      <c r="D684" s="1924"/>
      <c r="E684" s="1924"/>
      <c r="F684" s="1924"/>
      <c r="G684" s="1924"/>
      <c r="H684" s="1924"/>
      <c r="I684" s="1924"/>
    </row>
    <row r="685" spans="2:9" ht="12.75">
      <c r="B685" s="1924"/>
      <c r="C685" s="1924"/>
      <c r="D685" s="1924"/>
      <c r="E685" s="1924"/>
      <c r="F685" s="1924"/>
      <c r="G685" s="1924"/>
      <c r="H685" s="1924"/>
      <c r="I685" s="1924"/>
    </row>
    <row r="686" spans="2:9" ht="12.75">
      <c r="B686" s="1924"/>
      <c r="C686" s="1924"/>
      <c r="D686" s="1924"/>
      <c r="E686" s="1924"/>
      <c r="F686" s="1924"/>
      <c r="G686" s="1924"/>
      <c r="H686" s="1924"/>
      <c r="I686" s="1924"/>
    </row>
    <row r="687" spans="2:9" ht="12.75">
      <c r="B687" s="1924"/>
      <c r="C687" s="1924"/>
      <c r="D687" s="1924"/>
      <c r="E687" s="1924"/>
      <c r="F687" s="1924"/>
      <c r="G687" s="1924"/>
      <c r="H687" s="1924"/>
      <c r="I687" s="1924"/>
    </row>
    <row r="688" spans="2:9" ht="12.75">
      <c r="B688" s="1924"/>
      <c r="C688" s="1924"/>
      <c r="D688" s="1924"/>
      <c r="E688" s="1924"/>
      <c r="F688" s="1924"/>
      <c r="G688" s="1924"/>
      <c r="H688" s="1924"/>
      <c r="I688" s="1924"/>
    </row>
    <row r="689" spans="2:9" ht="12.75">
      <c r="B689" s="1924"/>
      <c r="C689" s="1924"/>
      <c r="D689" s="1924"/>
      <c r="E689" s="1924"/>
      <c r="F689" s="1924"/>
      <c r="G689" s="1924"/>
      <c r="H689" s="1924"/>
      <c r="I689" s="1924"/>
    </row>
    <row r="690" spans="2:9" ht="12.75">
      <c r="B690" s="1924"/>
      <c r="C690" s="1924"/>
      <c r="D690" s="1924"/>
      <c r="E690" s="1924"/>
      <c r="F690" s="1924"/>
      <c r="G690" s="1924"/>
      <c r="H690" s="1924"/>
      <c r="I690" s="1924"/>
    </row>
    <row r="691" spans="2:9" ht="12.75">
      <c r="B691" s="1924"/>
      <c r="C691" s="1924"/>
      <c r="D691" s="1924"/>
      <c r="E691" s="1924"/>
      <c r="F691" s="1924"/>
      <c r="G691" s="1924"/>
      <c r="H691" s="1924"/>
      <c r="I691" s="1924"/>
    </row>
    <row r="692" spans="2:9" ht="12.75">
      <c r="B692" s="1924"/>
      <c r="C692" s="1924"/>
      <c r="D692" s="1924"/>
      <c r="E692" s="1924"/>
      <c r="F692" s="1924"/>
      <c r="G692" s="1924"/>
      <c r="H692" s="1924"/>
      <c r="I692" s="1924"/>
    </row>
    <row r="693" spans="2:9" ht="12.75">
      <c r="B693" s="1924"/>
      <c r="C693" s="1924"/>
      <c r="D693" s="1924"/>
      <c r="E693" s="1924"/>
      <c r="F693" s="1924"/>
      <c r="G693" s="1924"/>
      <c r="H693" s="1924"/>
      <c r="I693" s="1924"/>
    </row>
    <row r="694" spans="2:9" ht="12.75">
      <c r="B694" s="1924"/>
      <c r="C694" s="1924"/>
      <c r="D694" s="1924"/>
      <c r="E694" s="1924"/>
      <c r="F694" s="1924"/>
      <c r="G694" s="1924"/>
      <c r="H694" s="1924"/>
      <c r="I694" s="1924"/>
    </row>
    <row r="695" spans="2:9" ht="12.75">
      <c r="B695" s="1924"/>
      <c r="C695" s="1924"/>
      <c r="D695" s="1924"/>
      <c r="E695" s="1924"/>
      <c r="F695" s="1924"/>
      <c r="G695" s="1924"/>
      <c r="H695" s="1924"/>
      <c r="I695" s="1924"/>
    </row>
    <row r="696" spans="2:9" ht="12.75">
      <c r="B696" s="1924"/>
      <c r="C696" s="1924"/>
      <c r="D696" s="1924"/>
      <c r="E696" s="1924"/>
      <c r="F696" s="1924"/>
      <c r="G696" s="1924"/>
      <c r="H696" s="1924"/>
      <c r="I696" s="1924"/>
    </row>
    <row r="697" spans="2:9" ht="12.75">
      <c r="B697" s="1924"/>
      <c r="C697" s="1924"/>
      <c r="D697" s="1924"/>
      <c r="E697" s="1924"/>
      <c r="F697" s="1924"/>
      <c r="G697" s="1924"/>
      <c r="H697" s="1924"/>
      <c r="I697" s="1924"/>
    </row>
    <row r="698" spans="2:9" ht="12.75">
      <c r="B698" s="1924"/>
      <c r="C698" s="1924"/>
      <c r="D698" s="1924"/>
      <c r="E698" s="1924"/>
      <c r="F698" s="1924"/>
      <c r="G698" s="1924"/>
      <c r="H698" s="1924"/>
      <c r="I698" s="1924"/>
    </row>
    <row r="699" spans="2:9" ht="12.75">
      <c r="B699" s="1924"/>
      <c r="C699" s="1924"/>
      <c r="D699" s="1924"/>
      <c r="E699" s="1924"/>
      <c r="F699" s="1924"/>
      <c r="G699" s="1924"/>
      <c r="H699" s="1924"/>
      <c r="I699" s="1924"/>
    </row>
    <row r="700" spans="2:9" ht="12.75">
      <c r="B700" s="1924"/>
      <c r="C700" s="1924"/>
      <c r="D700" s="1924"/>
      <c r="E700" s="1924"/>
      <c r="F700" s="1924"/>
      <c r="G700" s="1924"/>
      <c r="H700" s="1924"/>
      <c r="I700" s="1924"/>
    </row>
    <row r="701" spans="2:9" ht="12.75">
      <c r="B701" s="1924"/>
      <c r="C701" s="1924"/>
      <c r="D701" s="1924"/>
      <c r="E701" s="1924"/>
      <c r="F701" s="1924"/>
      <c r="G701" s="1924"/>
      <c r="H701" s="1924"/>
      <c r="I701" s="1924"/>
    </row>
    <row r="702" spans="2:9" ht="12.75">
      <c r="B702" s="1924"/>
      <c r="C702" s="1924"/>
      <c r="D702" s="1924"/>
      <c r="E702" s="1924"/>
      <c r="F702" s="1924"/>
      <c r="G702" s="1924"/>
      <c r="H702" s="1924"/>
      <c r="I702" s="1924"/>
    </row>
    <row r="703" spans="2:9" ht="12.75">
      <c r="B703" s="1924"/>
      <c r="C703" s="1924"/>
      <c r="D703" s="1924"/>
      <c r="E703" s="1924"/>
      <c r="F703" s="1924"/>
      <c r="G703" s="1924"/>
      <c r="H703" s="1924"/>
      <c r="I703" s="1924"/>
    </row>
    <row r="704" spans="2:9" ht="12.75">
      <c r="B704" s="1924"/>
      <c r="C704" s="1924"/>
      <c r="D704" s="1924"/>
      <c r="E704" s="1924"/>
      <c r="F704" s="1924"/>
      <c r="G704" s="1924"/>
      <c r="H704" s="1924"/>
      <c r="I704" s="1924"/>
    </row>
    <row r="705" spans="2:9" ht="12.75">
      <c r="B705" s="1924"/>
      <c r="C705" s="1924"/>
      <c r="D705" s="1924"/>
      <c r="E705" s="1924"/>
      <c r="F705" s="1924"/>
      <c r="G705" s="1924"/>
      <c r="H705" s="1924"/>
      <c r="I705" s="1924"/>
    </row>
    <row r="706" spans="2:9" ht="12.75">
      <c r="B706" s="1924"/>
      <c r="C706" s="1924"/>
      <c r="D706" s="1924"/>
      <c r="E706" s="1924"/>
      <c r="F706" s="1924"/>
      <c r="G706" s="1924"/>
      <c r="H706" s="1924"/>
      <c r="I706" s="1924"/>
    </row>
    <row r="707" spans="2:9" ht="12.75">
      <c r="B707" s="1924"/>
      <c r="C707" s="1924"/>
      <c r="D707" s="1924"/>
      <c r="E707" s="1924"/>
      <c r="F707" s="1924"/>
      <c r="G707" s="1924"/>
      <c r="H707" s="1924"/>
      <c r="I707" s="1924"/>
    </row>
    <row r="708" spans="2:9" ht="12.75">
      <c r="B708" s="1924"/>
      <c r="C708" s="1924"/>
      <c r="D708" s="1924"/>
      <c r="E708" s="1924"/>
      <c r="F708" s="1924"/>
      <c r="G708" s="1924"/>
      <c r="H708" s="1924"/>
      <c r="I708" s="1924"/>
    </row>
    <row r="709" spans="2:9" ht="12.75">
      <c r="B709" s="1924"/>
      <c r="C709" s="1924"/>
      <c r="D709" s="1924"/>
      <c r="E709" s="1924"/>
      <c r="F709" s="1924"/>
      <c r="G709" s="1924"/>
      <c r="H709" s="1924"/>
      <c r="I709" s="1924"/>
    </row>
    <row r="710" spans="2:9" ht="12.75">
      <c r="B710" s="1924"/>
      <c r="C710" s="1924"/>
      <c r="D710" s="1924"/>
      <c r="E710" s="1924"/>
      <c r="F710" s="1924"/>
      <c r="G710" s="1924"/>
      <c r="H710" s="1924"/>
      <c r="I710" s="1924"/>
    </row>
    <row r="711" spans="2:9" ht="12.75">
      <c r="B711" s="1924"/>
      <c r="C711" s="1924"/>
      <c r="D711" s="1924"/>
      <c r="E711" s="1924"/>
      <c r="F711" s="1924"/>
      <c r="G711" s="1924"/>
      <c r="H711" s="1924"/>
      <c r="I711" s="1924"/>
    </row>
    <row r="712" spans="2:9" ht="12.75">
      <c r="B712" s="1924"/>
      <c r="C712" s="1924"/>
      <c r="D712" s="1924"/>
      <c r="E712" s="1924"/>
      <c r="F712" s="1924"/>
      <c r="G712" s="1924"/>
      <c r="H712" s="1924"/>
      <c r="I712" s="1924"/>
    </row>
    <row r="713" spans="2:9" ht="12.75">
      <c r="B713" s="1924"/>
      <c r="C713" s="1924"/>
      <c r="D713" s="1924"/>
      <c r="E713" s="1924"/>
      <c r="F713" s="1924"/>
      <c r="G713" s="1924"/>
      <c r="H713" s="1924"/>
      <c r="I713" s="1924"/>
    </row>
    <row r="714" spans="2:9" ht="12.75">
      <c r="B714" s="1924"/>
      <c r="C714" s="1924"/>
      <c r="D714" s="1924"/>
      <c r="E714" s="1924"/>
      <c r="F714" s="1924"/>
      <c r="G714" s="1924"/>
      <c r="H714" s="1924"/>
      <c r="I714" s="1924"/>
    </row>
    <row r="715" spans="2:9" ht="12.75">
      <c r="B715" s="1924"/>
      <c r="C715" s="1924"/>
      <c r="D715" s="1924"/>
      <c r="E715" s="1924"/>
      <c r="F715" s="1924"/>
      <c r="G715" s="1924"/>
      <c r="H715" s="1924"/>
      <c r="I715" s="1924"/>
    </row>
    <row r="716" spans="2:9" ht="12.75">
      <c r="B716" s="1924"/>
      <c r="C716" s="1924"/>
      <c r="D716" s="1924"/>
      <c r="E716" s="1924"/>
      <c r="F716" s="1924"/>
      <c r="G716" s="1924"/>
      <c r="H716" s="1924"/>
      <c r="I716" s="1924"/>
    </row>
    <row r="717" spans="2:9" ht="12.75">
      <c r="B717" s="1924"/>
      <c r="C717" s="1924"/>
      <c r="D717" s="1924"/>
      <c r="E717" s="1924"/>
      <c r="F717" s="1924"/>
      <c r="G717" s="1924"/>
      <c r="H717" s="1924"/>
      <c r="I717" s="1924"/>
    </row>
    <row r="718" spans="2:9" ht="12.75">
      <c r="B718" s="1924"/>
      <c r="C718" s="1924"/>
      <c r="D718" s="1924"/>
      <c r="E718" s="1924"/>
      <c r="F718" s="1924"/>
      <c r="G718" s="1924"/>
      <c r="H718" s="1924"/>
      <c r="I718" s="1924"/>
    </row>
    <row r="719" spans="2:9" ht="12.75">
      <c r="B719" s="1924"/>
      <c r="C719" s="1924"/>
      <c r="D719" s="1924"/>
      <c r="E719" s="1924"/>
      <c r="F719" s="1924"/>
      <c r="G719" s="1924"/>
      <c r="H719" s="1924"/>
      <c r="I719" s="1924"/>
    </row>
    <row r="720" spans="2:9" ht="12.75">
      <c r="B720" s="1924"/>
      <c r="C720" s="1924"/>
      <c r="D720" s="1924"/>
      <c r="E720" s="1924"/>
      <c r="F720" s="1924"/>
      <c r="G720" s="1924"/>
      <c r="H720" s="1924"/>
      <c r="I720" s="1924"/>
    </row>
    <row r="721" spans="2:9" ht="12.75">
      <c r="B721" s="1924"/>
      <c r="C721" s="1924"/>
      <c r="D721" s="1924"/>
      <c r="E721" s="1924"/>
      <c r="F721" s="1924"/>
      <c r="G721" s="1924"/>
      <c r="H721" s="1924"/>
      <c r="I721" s="1924"/>
    </row>
    <row r="722" spans="2:9" ht="12.75">
      <c r="B722" s="1924"/>
      <c r="C722" s="1924"/>
      <c r="D722" s="1924"/>
      <c r="E722" s="1924"/>
      <c r="F722" s="1924"/>
      <c r="G722" s="1924"/>
      <c r="H722" s="1924"/>
      <c r="I722" s="1924"/>
    </row>
    <row r="723" spans="2:9" ht="12.75">
      <c r="B723" s="1924"/>
      <c r="C723" s="1924"/>
      <c r="D723" s="1924"/>
      <c r="E723" s="1924"/>
      <c r="F723" s="1924"/>
      <c r="G723" s="1924"/>
      <c r="H723" s="1924"/>
      <c r="I723" s="1924"/>
    </row>
    <row r="724" spans="2:9" ht="12.75">
      <c r="B724" s="1924"/>
      <c r="C724" s="1924"/>
      <c r="D724" s="1924"/>
      <c r="E724" s="1924"/>
      <c r="F724" s="1924"/>
      <c r="G724" s="1924"/>
      <c r="H724" s="1924"/>
      <c r="I724" s="1924"/>
    </row>
    <row r="725" spans="2:9" ht="12.75">
      <c r="B725" s="1924"/>
      <c r="C725" s="1924"/>
      <c r="D725" s="1924"/>
      <c r="E725" s="1924"/>
      <c r="F725" s="1924"/>
      <c r="G725" s="1924"/>
      <c r="H725" s="1924"/>
      <c r="I725" s="1924"/>
    </row>
    <row r="726" spans="2:9" ht="12.75">
      <c r="B726" s="1924"/>
      <c r="C726" s="1924"/>
      <c r="D726" s="1924"/>
      <c r="E726" s="1924"/>
      <c r="F726" s="1924"/>
      <c r="G726" s="1924"/>
      <c r="H726" s="1924"/>
      <c r="I726" s="1924"/>
    </row>
    <row r="727" spans="2:9" ht="12.75">
      <c r="B727" s="1924"/>
      <c r="C727" s="1924"/>
      <c r="D727" s="1924"/>
      <c r="E727" s="1924"/>
      <c r="F727" s="1924"/>
      <c r="G727" s="1924"/>
      <c r="H727" s="1924"/>
      <c r="I727" s="1924"/>
    </row>
    <row r="728" spans="2:9" ht="12.75">
      <c r="B728" s="1924"/>
      <c r="C728" s="1924"/>
      <c r="D728" s="1924"/>
      <c r="E728" s="1924"/>
      <c r="F728" s="1924"/>
      <c r="G728" s="1924"/>
      <c r="H728" s="1924"/>
      <c r="I728" s="1924"/>
    </row>
    <row r="729" spans="2:9" ht="12.75">
      <c r="B729" s="1924"/>
      <c r="C729" s="1924"/>
      <c r="D729" s="1924"/>
      <c r="E729" s="1924"/>
      <c r="F729" s="1924"/>
      <c r="G729" s="1924"/>
      <c r="H729" s="1924"/>
      <c r="I729" s="1924"/>
    </row>
    <row r="730" spans="2:9" ht="12.75">
      <c r="B730" s="1924"/>
      <c r="C730" s="1924"/>
      <c r="D730" s="1924"/>
      <c r="E730" s="1924"/>
      <c r="F730" s="1924"/>
      <c r="G730" s="1924"/>
      <c r="H730" s="1924"/>
      <c r="I730" s="1924"/>
    </row>
    <row r="731" spans="2:9" ht="12.75">
      <c r="B731" s="1924"/>
      <c r="C731" s="1924"/>
      <c r="D731" s="1924"/>
      <c r="E731" s="1924"/>
      <c r="F731" s="1924"/>
      <c r="G731" s="1924"/>
      <c r="H731" s="1924"/>
      <c r="I731" s="1924"/>
    </row>
    <row r="732" spans="2:9" ht="12.75">
      <c r="B732" s="1924"/>
      <c r="C732" s="1924"/>
      <c r="D732" s="1924"/>
      <c r="E732" s="1924"/>
      <c r="F732" s="1924"/>
      <c r="G732" s="1924"/>
      <c r="H732" s="1924"/>
      <c r="I732" s="1924"/>
    </row>
    <row r="733" spans="2:9" ht="12.75">
      <c r="B733" s="1924"/>
      <c r="C733" s="1924"/>
      <c r="D733" s="1924"/>
      <c r="E733" s="1924"/>
      <c r="F733" s="1924"/>
      <c r="G733" s="1924"/>
      <c r="H733" s="1924"/>
      <c r="I733" s="1924"/>
    </row>
    <row r="734" spans="2:9" ht="12.75">
      <c r="B734" s="1924"/>
      <c r="C734" s="1924"/>
      <c r="D734" s="1924"/>
      <c r="E734" s="1924"/>
      <c r="F734" s="1924"/>
      <c r="G734" s="1924"/>
      <c r="H734" s="1924"/>
      <c r="I734" s="1924"/>
    </row>
    <row r="735" spans="2:9" ht="12.75">
      <c r="B735" s="1924"/>
      <c r="C735" s="1924"/>
      <c r="D735" s="1924"/>
      <c r="E735" s="1924"/>
      <c r="F735" s="1924"/>
      <c r="G735" s="1924"/>
      <c r="H735" s="1924"/>
      <c r="I735" s="1924"/>
    </row>
    <row r="736" spans="2:9" ht="12.75">
      <c r="B736" s="1924"/>
      <c r="C736" s="1924"/>
      <c r="D736" s="1924"/>
      <c r="E736" s="1924"/>
      <c r="F736" s="1924"/>
      <c r="G736" s="1924"/>
      <c r="H736" s="1924"/>
      <c r="I736" s="1924"/>
    </row>
    <row r="737" spans="2:9" ht="12.75">
      <c r="B737" s="1924"/>
      <c r="C737" s="1924"/>
      <c r="D737" s="1924"/>
      <c r="E737" s="1924"/>
      <c r="F737" s="1924"/>
      <c r="G737" s="1924"/>
      <c r="H737" s="1924"/>
      <c r="I737" s="1924"/>
    </row>
    <row r="738" spans="2:9" ht="12.75">
      <c r="B738" s="1924"/>
      <c r="C738" s="1924"/>
      <c r="D738" s="1924"/>
      <c r="E738" s="1924"/>
      <c r="F738" s="1924"/>
      <c r="G738" s="1924"/>
      <c r="H738" s="1924"/>
      <c r="I738" s="1924"/>
    </row>
    <row r="739" spans="2:9" ht="12.75">
      <c r="B739" s="1924"/>
      <c r="C739" s="1924"/>
      <c r="D739" s="1924"/>
      <c r="E739" s="1924"/>
      <c r="F739" s="1924"/>
      <c r="G739" s="1924"/>
      <c r="H739" s="1924"/>
      <c r="I739" s="1924"/>
    </row>
    <row r="740" spans="2:9" ht="12.75">
      <c r="B740" s="1924"/>
      <c r="C740" s="1924"/>
      <c r="D740" s="1924"/>
      <c r="E740" s="1924"/>
      <c r="F740" s="1924"/>
      <c r="G740" s="1924"/>
      <c r="H740" s="1924"/>
      <c r="I740" s="1924"/>
    </row>
    <row r="741" spans="2:9" ht="12.75">
      <c r="B741" s="1924"/>
      <c r="C741" s="1924"/>
      <c r="D741" s="1924"/>
      <c r="E741" s="1924"/>
      <c r="F741" s="1924"/>
      <c r="G741" s="1924"/>
      <c r="H741" s="1924"/>
      <c r="I741" s="1924"/>
    </row>
    <row r="742" spans="2:9" ht="12.75">
      <c r="B742" s="1924"/>
      <c r="C742" s="1924"/>
      <c r="D742" s="1924"/>
      <c r="E742" s="1924"/>
      <c r="F742" s="1924"/>
      <c r="G742" s="1924"/>
      <c r="H742" s="1924"/>
      <c r="I742" s="1924"/>
    </row>
    <row r="743" spans="2:9" ht="12.75">
      <c r="B743" s="1924"/>
      <c r="C743" s="1924"/>
      <c r="D743" s="1924"/>
      <c r="E743" s="1924"/>
      <c r="F743" s="1924"/>
      <c r="G743" s="1924"/>
      <c r="H743" s="1924"/>
      <c r="I743" s="1924"/>
    </row>
    <row r="744" spans="2:9" ht="12.75">
      <c r="B744" s="1924"/>
      <c r="C744" s="1924"/>
      <c r="D744" s="1924"/>
      <c r="E744" s="1924"/>
      <c r="F744" s="1924"/>
      <c r="G744" s="1924"/>
      <c r="H744" s="1924"/>
      <c r="I744" s="1924"/>
    </row>
    <row r="745" spans="2:9" ht="12.75">
      <c r="B745" s="1924"/>
      <c r="C745" s="1924"/>
      <c r="D745" s="1924"/>
      <c r="E745" s="1924"/>
      <c r="F745" s="1924"/>
      <c r="G745" s="1924"/>
      <c r="H745" s="1924"/>
      <c r="I745" s="1924"/>
    </row>
    <row r="746" spans="2:9" ht="12.75">
      <c r="B746" s="1924"/>
      <c r="C746" s="1924"/>
      <c r="D746" s="1924"/>
      <c r="E746" s="1924"/>
      <c r="F746" s="1924"/>
      <c r="G746" s="1924"/>
      <c r="H746" s="1924"/>
      <c r="I746" s="1924"/>
    </row>
    <row r="747" spans="2:9" ht="12.75">
      <c r="B747" s="1924"/>
      <c r="C747" s="1924"/>
      <c r="D747" s="1924"/>
      <c r="E747" s="1924"/>
      <c r="F747" s="1924"/>
      <c r="G747" s="1924"/>
      <c r="H747" s="1924"/>
      <c r="I747" s="1924"/>
    </row>
    <row r="748" spans="2:9" ht="12.75">
      <c r="B748" s="1924"/>
      <c r="C748" s="1924"/>
      <c r="D748" s="1924"/>
      <c r="E748" s="1924"/>
      <c r="F748" s="1924"/>
      <c r="G748" s="1924"/>
      <c r="H748" s="1924"/>
      <c r="I748" s="1924"/>
    </row>
    <row r="749" spans="2:9" ht="12.75">
      <c r="B749" s="1924"/>
      <c r="C749" s="1924"/>
      <c r="D749" s="1924"/>
      <c r="E749" s="1924"/>
      <c r="F749" s="1924"/>
      <c r="G749" s="1924"/>
      <c r="H749" s="1924"/>
      <c r="I749" s="1924"/>
    </row>
    <row r="750" spans="2:9" ht="12.75">
      <c r="B750" s="1924"/>
      <c r="C750" s="1924"/>
      <c r="D750" s="1924"/>
      <c r="E750" s="1924"/>
      <c r="F750" s="1924"/>
      <c r="G750" s="1924"/>
      <c r="H750" s="1924"/>
      <c r="I750" s="1924"/>
    </row>
    <row r="751" spans="2:9" ht="12.75">
      <c r="B751" s="1924"/>
      <c r="C751" s="1924"/>
      <c r="D751" s="1924"/>
      <c r="E751" s="1924"/>
      <c r="F751" s="1924"/>
      <c r="G751" s="1924"/>
      <c r="H751" s="1924"/>
      <c r="I751" s="1924"/>
    </row>
    <row r="752" spans="2:9" ht="12.75">
      <c r="B752" s="1924"/>
      <c r="C752" s="1924"/>
      <c r="D752" s="1924"/>
      <c r="E752" s="1924"/>
      <c r="F752" s="1924"/>
      <c r="G752" s="1924"/>
      <c r="H752" s="1924"/>
      <c r="I752" s="1924"/>
    </row>
    <row r="753" spans="2:9" ht="12.75">
      <c r="B753" s="1924"/>
      <c r="C753" s="1924"/>
      <c r="D753" s="1924"/>
      <c r="E753" s="1924"/>
      <c r="F753" s="1924"/>
      <c r="G753" s="1924"/>
      <c r="H753" s="1924"/>
      <c r="I753" s="1924"/>
    </row>
    <row r="754" spans="2:9" ht="12.75">
      <c r="B754" s="1924"/>
      <c r="C754" s="1924"/>
      <c r="D754" s="1924"/>
      <c r="E754" s="1924"/>
      <c r="F754" s="1924"/>
      <c r="G754" s="1924"/>
      <c r="H754" s="1924"/>
      <c r="I754" s="1924"/>
    </row>
    <row r="755" spans="2:9" ht="12.75">
      <c r="B755" s="1924"/>
      <c r="C755" s="1924"/>
      <c r="D755" s="1924"/>
      <c r="E755" s="1924"/>
      <c r="F755" s="1924"/>
      <c r="G755" s="1924"/>
      <c r="H755" s="1924"/>
      <c r="I755" s="1924"/>
    </row>
    <row r="756" spans="2:9" ht="12.75">
      <c r="B756" s="1924"/>
      <c r="C756" s="1924"/>
      <c r="D756" s="1924"/>
      <c r="E756" s="1924"/>
      <c r="F756" s="1924"/>
      <c r="G756" s="1924"/>
      <c r="H756" s="1924"/>
      <c r="I756" s="1924"/>
    </row>
    <row r="757" spans="2:9" ht="12.75">
      <c r="B757" s="1924"/>
      <c r="C757" s="1924"/>
      <c r="D757" s="1924"/>
      <c r="E757" s="1924"/>
      <c r="F757" s="1924"/>
      <c r="G757" s="1924"/>
      <c r="H757" s="1924"/>
      <c r="I757" s="1924"/>
    </row>
    <row r="758" spans="2:9" ht="12.75">
      <c r="B758" s="1924"/>
      <c r="C758" s="1924"/>
      <c r="D758" s="1924"/>
      <c r="E758" s="1924"/>
      <c r="F758" s="1924"/>
      <c r="G758" s="1924"/>
      <c r="H758" s="1924"/>
      <c r="I758" s="1924"/>
    </row>
    <row r="759" spans="2:9" ht="12.75">
      <c r="B759" s="1924"/>
      <c r="C759" s="1924"/>
      <c r="D759" s="1924"/>
      <c r="E759" s="1924"/>
      <c r="F759" s="1924"/>
      <c r="G759" s="1924"/>
      <c r="H759" s="1924"/>
      <c r="I759" s="1924"/>
    </row>
    <row r="760" spans="2:9" ht="12.75">
      <c r="B760" s="1924"/>
      <c r="C760" s="1924"/>
      <c r="D760" s="1924"/>
      <c r="E760" s="1924"/>
      <c r="F760" s="1924"/>
      <c r="G760" s="1924"/>
      <c r="H760" s="1924"/>
      <c r="I760" s="1924"/>
    </row>
    <row r="761" spans="2:9" ht="12.75">
      <c r="B761" s="1924"/>
      <c r="C761" s="1924"/>
      <c r="D761" s="1924"/>
      <c r="E761" s="1924"/>
      <c r="F761" s="1924"/>
      <c r="G761" s="1924"/>
      <c r="H761" s="1924"/>
      <c r="I761" s="1924"/>
    </row>
    <row r="762" spans="2:9" ht="12.75">
      <c r="B762" s="1924"/>
      <c r="C762" s="1924"/>
      <c r="D762" s="1924"/>
      <c r="E762" s="1924"/>
      <c r="F762" s="1924"/>
      <c r="G762" s="1924"/>
      <c r="H762" s="1924"/>
      <c r="I762" s="1924"/>
    </row>
    <row r="763" spans="2:9" ht="12.75">
      <c r="B763" s="1924"/>
      <c r="C763" s="1924"/>
      <c r="D763" s="1924"/>
      <c r="E763" s="1924"/>
      <c r="F763" s="1924"/>
      <c r="G763" s="1924"/>
      <c r="H763" s="1924"/>
      <c r="I763" s="1924"/>
    </row>
    <row r="764" spans="2:9" ht="12.75">
      <c r="B764" s="1924"/>
      <c r="C764" s="1924"/>
      <c r="D764" s="1924"/>
      <c r="E764" s="1924"/>
      <c r="F764" s="1924"/>
      <c r="G764" s="1924"/>
      <c r="H764" s="1924"/>
      <c r="I764" s="1924"/>
    </row>
    <row r="765" spans="2:9" ht="12.75">
      <c r="B765" s="1924"/>
      <c r="C765" s="1924"/>
      <c r="D765" s="1924"/>
      <c r="E765" s="1924"/>
      <c r="F765" s="1924"/>
      <c r="G765" s="1924"/>
      <c r="H765" s="1924"/>
      <c r="I765" s="1924"/>
    </row>
    <row r="766" spans="2:9" ht="12.75">
      <c r="B766" s="1924"/>
      <c r="C766" s="1924"/>
      <c r="D766" s="1924"/>
      <c r="E766" s="1924"/>
      <c r="F766" s="1924"/>
      <c r="G766" s="1924"/>
      <c r="H766" s="1924"/>
      <c r="I766" s="1924"/>
    </row>
    <row r="767" spans="2:9" ht="12.75">
      <c r="B767" s="1924"/>
      <c r="C767" s="1924"/>
      <c r="D767" s="1924"/>
      <c r="E767" s="1924"/>
      <c r="F767" s="1924"/>
      <c r="G767" s="1924"/>
      <c r="H767" s="1924"/>
      <c r="I767" s="1924"/>
    </row>
    <row r="768" spans="2:9" ht="12.75">
      <c r="B768" s="1924"/>
      <c r="C768" s="1924"/>
      <c r="D768" s="1924"/>
      <c r="E768" s="1924"/>
      <c r="F768" s="1924"/>
      <c r="G768" s="1924"/>
      <c r="H768" s="1924"/>
      <c r="I768" s="1924"/>
    </row>
    <row r="769" spans="2:9" ht="12.75">
      <c r="B769" s="1924"/>
      <c r="C769" s="1924"/>
      <c r="D769" s="1924"/>
      <c r="E769" s="1924"/>
      <c r="F769" s="1924"/>
      <c r="G769" s="1924"/>
      <c r="H769" s="1924"/>
      <c r="I769" s="1924"/>
    </row>
    <row r="770" spans="2:9" ht="12.75">
      <c r="B770" s="1924"/>
      <c r="C770" s="1924"/>
      <c r="D770" s="1924"/>
      <c r="E770" s="1924"/>
      <c r="F770" s="1924"/>
      <c r="G770" s="1924"/>
      <c r="H770" s="1924"/>
      <c r="I770" s="1924"/>
    </row>
    <row r="771" spans="2:9" ht="12.75">
      <c r="B771" s="1924"/>
      <c r="C771" s="1924"/>
      <c r="D771" s="1924"/>
      <c r="E771" s="1924"/>
      <c r="F771" s="1924"/>
      <c r="G771" s="1924"/>
      <c r="H771" s="1924"/>
      <c r="I771" s="1924"/>
    </row>
    <row r="772" spans="2:9" ht="12.75">
      <c r="B772" s="1924"/>
      <c r="C772" s="1924"/>
      <c r="D772" s="1924"/>
      <c r="E772" s="1924"/>
      <c r="F772" s="1924"/>
      <c r="G772" s="1924"/>
      <c r="H772" s="1924"/>
      <c r="I772" s="1924"/>
    </row>
    <row r="773" spans="2:9" ht="12.75">
      <c r="B773" s="1924"/>
      <c r="C773" s="1924"/>
      <c r="D773" s="1924"/>
      <c r="E773" s="1924"/>
      <c r="F773" s="1924"/>
      <c r="G773" s="1924"/>
      <c r="H773" s="1924"/>
      <c r="I773" s="1924"/>
    </row>
    <row r="774" spans="2:9" ht="12.75">
      <c r="B774" s="1924"/>
      <c r="C774" s="1924"/>
      <c r="D774" s="1924"/>
      <c r="E774" s="1924"/>
      <c r="F774" s="1924"/>
      <c r="G774" s="1924"/>
      <c r="H774" s="1924"/>
      <c r="I774" s="1924"/>
    </row>
    <row r="775" spans="2:9" ht="12.75">
      <c r="B775" s="1924"/>
      <c r="C775" s="1924"/>
      <c r="D775" s="1924"/>
      <c r="E775" s="1924"/>
      <c r="F775" s="1924"/>
      <c r="G775" s="1924"/>
      <c r="H775" s="1924"/>
      <c r="I775" s="1924"/>
    </row>
    <row r="776" spans="2:9" ht="12.75">
      <c r="B776" s="1924"/>
      <c r="C776" s="1924"/>
      <c r="D776" s="1924"/>
      <c r="E776" s="1924"/>
      <c r="F776" s="1924"/>
      <c r="G776" s="1924"/>
      <c r="H776" s="1924"/>
      <c r="I776" s="1924"/>
    </row>
    <row r="777" spans="2:9" ht="12.75">
      <c r="B777" s="1924"/>
      <c r="C777" s="1924"/>
      <c r="D777" s="1924"/>
      <c r="E777" s="1924"/>
      <c r="F777" s="1924"/>
      <c r="G777" s="1924"/>
      <c r="H777" s="1924"/>
      <c r="I777" s="1924"/>
    </row>
    <row r="778" spans="2:9" ht="12.75">
      <c r="B778" s="1924"/>
      <c r="C778" s="1924"/>
      <c r="D778" s="1924"/>
      <c r="E778" s="1924"/>
      <c r="F778" s="1924"/>
      <c r="G778" s="1924"/>
      <c r="H778" s="1924"/>
      <c r="I778" s="1924"/>
    </row>
    <row r="779" spans="2:9" ht="12.75">
      <c r="B779" s="1924"/>
      <c r="C779" s="1924"/>
      <c r="D779" s="1924"/>
      <c r="E779" s="1924"/>
      <c r="F779" s="1924"/>
      <c r="G779" s="1924"/>
      <c r="H779" s="1924"/>
      <c r="I779" s="1924"/>
    </row>
    <row r="780" spans="2:9" ht="12.75">
      <c r="B780" s="1924"/>
      <c r="C780" s="1924"/>
      <c r="D780" s="1924"/>
      <c r="E780" s="1924"/>
      <c r="F780" s="1924"/>
      <c r="G780" s="1924"/>
      <c r="H780" s="1924"/>
      <c r="I780" s="1924"/>
    </row>
    <row r="781" spans="2:9" ht="12.75">
      <c r="B781" s="1924"/>
      <c r="C781" s="1924"/>
      <c r="D781" s="1924"/>
      <c r="E781" s="1924"/>
      <c r="F781" s="1924"/>
      <c r="G781" s="1924"/>
      <c r="H781" s="1924"/>
      <c r="I781" s="1924"/>
    </row>
    <row r="782" spans="2:9" ht="12.75">
      <c r="B782" s="1924"/>
      <c r="C782" s="1924"/>
      <c r="D782" s="1924"/>
      <c r="E782" s="1924"/>
      <c r="F782" s="1924"/>
      <c r="G782" s="1924"/>
      <c r="H782" s="1924"/>
      <c r="I782" s="1924"/>
    </row>
    <row r="783" spans="2:9" ht="12.75">
      <c r="B783" s="1924"/>
      <c r="C783" s="1924"/>
      <c r="D783" s="1924"/>
      <c r="E783" s="1924"/>
      <c r="F783" s="1924"/>
      <c r="G783" s="1924"/>
      <c r="H783" s="1924"/>
      <c r="I783" s="1924"/>
    </row>
    <row r="784" spans="2:9" ht="12.75">
      <c r="B784" s="1924"/>
      <c r="C784" s="1924"/>
      <c r="D784" s="1924"/>
      <c r="E784" s="1924"/>
      <c r="F784" s="1924"/>
      <c r="G784" s="1924"/>
      <c r="H784" s="1924"/>
      <c r="I784" s="1924"/>
    </row>
    <row r="785" spans="2:9" ht="12.75">
      <c r="B785" s="1924"/>
      <c r="C785" s="1924"/>
      <c r="D785" s="1924"/>
      <c r="E785" s="1924"/>
      <c r="F785" s="1924"/>
      <c r="G785" s="1924"/>
      <c r="H785" s="1924"/>
      <c r="I785" s="1924"/>
    </row>
    <row r="786" spans="2:9" ht="12.75">
      <c r="B786" s="1924"/>
      <c r="C786" s="1924"/>
      <c r="D786" s="1924"/>
      <c r="E786" s="1924"/>
      <c r="F786" s="1924"/>
      <c r="G786" s="1924"/>
      <c r="H786" s="1924"/>
      <c r="I786" s="1924"/>
    </row>
    <row r="787" spans="2:9" ht="12.75">
      <c r="B787" s="1924"/>
      <c r="C787" s="1924"/>
      <c r="D787" s="1924"/>
      <c r="E787" s="1924"/>
      <c r="F787" s="1924"/>
      <c r="G787" s="1924"/>
      <c r="H787" s="1924"/>
      <c r="I787" s="1924"/>
    </row>
    <row r="788" spans="2:9" ht="12.75">
      <c r="B788" s="1924"/>
      <c r="C788" s="1924"/>
      <c r="D788" s="1924"/>
      <c r="E788" s="1924"/>
      <c r="F788" s="1924"/>
      <c r="G788" s="1924"/>
      <c r="H788" s="1924"/>
      <c r="I788" s="1924"/>
    </row>
    <row r="789" spans="2:9" ht="12.75">
      <c r="B789" s="1924"/>
      <c r="C789" s="1924"/>
      <c r="D789" s="1924"/>
      <c r="E789" s="1924"/>
      <c r="F789" s="1924"/>
      <c r="G789" s="1924"/>
      <c r="H789" s="1924"/>
      <c r="I789" s="1924"/>
    </row>
    <row r="790" spans="2:9" ht="12.75">
      <c r="B790" s="1924"/>
      <c r="C790" s="1924"/>
      <c r="D790" s="1924"/>
      <c r="E790" s="1924"/>
      <c r="F790" s="1924"/>
      <c r="G790" s="1924"/>
      <c r="H790" s="1924"/>
      <c r="I790" s="1924"/>
    </row>
    <row r="791" spans="2:9" ht="12.75">
      <c r="B791" s="1924"/>
      <c r="C791" s="1924"/>
      <c r="D791" s="1924"/>
      <c r="E791" s="1924"/>
      <c r="F791" s="1924"/>
      <c r="G791" s="1924"/>
      <c r="H791" s="1924"/>
      <c r="I791" s="1924"/>
    </row>
    <row r="792" spans="2:9" ht="12.75">
      <c r="B792" s="1924"/>
      <c r="C792" s="1924"/>
      <c r="D792" s="1924"/>
      <c r="E792" s="1924"/>
      <c r="F792" s="1924"/>
      <c r="G792" s="1924"/>
      <c r="H792" s="1924"/>
      <c r="I792" s="1924"/>
    </row>
    <row r="793" spans="2:9" ht="12.75">
      <c r="B793" s="1924"/>
      <c r="C793" s="1924"/>
      <c r="D793" s="1924"/>
      <c r="E793" s="1924"/>
      <c r="F793" s="1924"/>
      <c r="G793" s="1924"/>
      <c r="H793" s="1924"/>
      <c r="I793" s="1924"/>
    </row>
    <row r="794" spans="2:9" ht="12.75">
      <c r="B794" s="1924"/>
      <c r="C794" s="1924"/>
      <c r="D794" s="1924"/>
      <c r="E794" s="1924"/>
      <c r="F794" s="1924"/>
      <c r="G794" s="1924"/>
      <c r="H794" s="1924"/>
      <c r="I794" s="1924"/>
    </row>
    <row r="795" spans="2:9" ht="12.75">
      <c r="B795" s="1924"/>
      <c r="C795" s="1924"/>
      <c r="D795" s="1924"/>
      <c r="E795" s="1924"/>
      <c r="F795" s="1924"/>
      <c r="G795" s="1924"/>
      <c r="H795" s="1924"/>
      <c r="I795" s="1924"/>
    </row>
    <row r="796" spans="2:9" ht="12.75">
      <c r="B796" s="1924"/>
      <c r="C796" s="1924"/>
      <c r="D796" s="1924"/>
      <c r="E796" s="1924"/>
      <c r="F796" s="1924"/>
      <c r="G796" s="1924"/>
      <c r="H796" s="1924"/>
      <c r="I796" s="1924"/>
    </row>
    <row r="797" spans="2:9" ht="12.75">
      <c r="B797" s="1924"/>
      <c r="C797" s="1924"/>
      <c r="D797" s="1924"/>
      <c r="E797" s="1924"/>
      <c r="F797" s="1924"/>
      <c r="G797" s="1924"/>
      <c r="H797" s="1924"/>
      <c r="I797" s="1924"/>
    </row>
    <row r="798" spans="2:9" ht="12.75">
      <c r="B798" s="1924"/>
      <c r="C798" s="1924"/>
      <c r="D798" s="1924"/>
      <c r="E798" s="1924"/>
      <c r="F798" s="1924"/>
      <c r="G798" s="1924"/>
      <c r="H798" s="1924"/>
      <c r="I798" s="1924"/>
    </row>
    <row r="799" spans="2:9" ht="12.75">
      <c r="B799" s="1924"/>
      <c r="C799" s="1924"/>
      <c r="D799" s="1924"/>
      <c r="E799" s="1924"/>
      <c r="F799" s="1924"/>
      <c r="G799" s="1924"/>
      <c r="H799" s="1924"/>
      <c r="I799" s="1924"/>
    </row>
    <row r="800" spans="2:9" ht="12.75">
      <c r="B800" s="1924"/>
      <c r="C800" s="1924"/>
      <c r="D800" s="1924"/>
      <c r="E800" s="1924"/>
      <c r="F800" s="1924"/>
      <c r="G800" s="1924"/>
      <c r="H800" s="1924"/>
      <c r="I800" s="1924"/>
    </row>
    <row r="801" spans="2:9" ht="12.75">
      <c r="B801" s="1924"/>
      <c r="C801" s="1924"/>
      <c r="D801" s="1924"/>
      <c r="E801" s="1924"/>
      <c r="F801" s="1924"/>
      <c r="G801" s="1924"/>
      <c r="H801" s="1924"/>
      <c r="I801" s="1924"/>
    </row>
    <row r="802" spans="2:9" ht="12.75">
      <c r="B802" s="1924"/>
      <c r="C802" s="1924"/>
      <c r="D802" s="1924"/>
      <c r="E802" s="1924"/>
      <c r="F802" s="1924"/>
      <c r="G802" s="1924"/>
      <c r="H802" s="1924"/>
      <c r="I802" s="1924"/>
    </row>
    <row r="803" spans="2:9" ht="12.75">
      <c r="B803" s="1924"/>
      <c r="C803" s="1924"/>
      <c r="D803" s="1924"/>
      <c r="E803" s="1924"/>
      <c r="F803" s="1924"/>
      <c r="G803" s="1924"/>
      <c r="H803" s="1924"/>
      <c r="I803" s="1924"/>
    </row>
    <row r="804" spans="2:9" ht="12.75">
      <c r="B804" s="1924"/>
      <c r="C804" s="1924"/>
      <c r="D804" s="1924"/>
      <c r="E804" s="1924"/>
      <c r="F804" s="1924"/>
      <c r="G804" s="1924"/>
      <c r="H804" s="1924"/>
      <c r="I804" s="1924"/>
    </row>
    <row r="805" spans="2:9" ht="12.75">
      <c r="B805" s="1924"/>
      <c r="C805" s="1924"/>
      <c r="D805" s="1924"/>
      <c r="E805" s="1924"/>
      <c r="F805" s="1924"/>
      <c r="G805" s="1924"/>
      <c r="H805" s="1924"/>
      <c r="I805" s="1924"/>
    </row>
    <row r="806" spans="2:9" ht="12.75">
      <c r="B806" s="1924"/>
      <c r="C806" s="1924"/>
      <c r="D806" s="1924"/>
      <c r="E806" s="1924"/>
      <c r="F806" s="1924"/>
      <c r="G806" s="1924"/>
      <c r="H806" s="1924"/>
      <c r="I806" s="1924"/>
    </row>
    <row r="807" spans="2:9" ht="12.75">
      <c r="B807" s="1924"/>
      <c r="C807" s="1924"/>
      <c r="D807" s="1924"/>
      <c r="E807" s="1924"/>
      <c r="F807" s="1924"/>
      <c r="G807" s="1924"/>
      <c r="H807" s="1924"/>
      <c r="I807" s="1924"/>
    </row>
    <row r="808" spans="2:9" ht="12.75">
      <c r="B808" s="1924"/>
      <c r="C808" s="1924"/>
      <c r="D808" s="1924"/>
      <c r="E808" s="1924"/>
      <c r="F808" s="1924"/>
      <c r="G808" s="1924"/>
      <c r="H808" s="1924"/>
      <c r="I808" s="1924"/>
    </row>
    <row r="809" spans="2:9" ht="12.75">
      <c r="B809" s="1924"/>
      <c r="C809" s="1924"/>
      <c r="D809" s="1924"/>
      <c r="E809" s="1924"/>
      <c r="F809" s="1924"/>
      <c r="G809" s="1924"/>
      <c r="H809" s="1924"/>
      <c r="I809" s="1924"/>
    </row>
    <row r="810" spans="2:9" ht="12.75">
      <c r="B810" s="1924"/>
      <c r="C810" s="1924"/>
      <c r="D810" s="1924"/>
      <c r="E810" s="1924"/>
      <c r="F810" s="1924"/>
      <c r="G810" s="1924"/>
      <c r="H810" s="1924"/>
      <c r="I810" s="1924"/>
    </row>
    <row r="811" spans="2:9" ht="12.75">
      <c r="B811" s="1924"/>
      <c r="C811" s="1924"/>
      <c r="D811" s="1924"/>
      <c r="E811" s="1924"/>
      <c r="F811" s="1924"/>
      <c r="G811" s="1924"/>
      <c r="H811" s="1924"/>
      <c r="I811" s="1924"/>
    </row>
    <row r="812" spans="2:9" ht="12.75">
      <c r="B812" s="1924"/>
      <c r="C812" s="1924"/>
      <c r="D812" s="1924"/>
      <c r="E812" s="1924"/>
      <c r="F812" s="1924"/>
      <c r="G812" s="1924"/>
      <c r="H812" s="1924"/>
      <c r="I812" s="1924"/>
    </row>
    <row r="813" spans="2:9" ht="12.75">
      <c r="B813" s="1924"/>
      <c r="C813" s="1924"/>
      <c r="D813" s="1924"/>
      <c r="E813" s="1924"/>
      <c r="F813" s="1924"/>
      <c r="G813" s="1924"/>
      <c r="H813" s="1924"/>
      <c r="I813" s="1924"/>
    </row>
    <row r="814" spans="2:9" ht="12.75">
      <c r="B814" s="1924"/>
      <c r="C814" s="1924"/>
      <c r="D814" s="1924"/>
      <c r="E814" s="1924"/>
      <c r="F814" s="1924"/>
      <c r="G814" s="1924"/>
      <c r="H814" s="1924"/>
      <c r="I814" s="1924"/>
    </row>
    <row r="815" spans="2:9" ht="12.75">
      <c r="B815" s="1924"/>
      <c r="C815" s="1924"/>
      <c r="D815" s="1924"/>
      <c r="E815" s="1924"/>
      <c r="F815" s="1924"/>
      <c r="G815" s="1924"/>
      <c r="H815" s="1924"/>
      <c r="I815" s="1924"/>
    </row>
    <row r="816" spans="2:9" ht="12.75">
      <c r="B816" s="1924"/>
      <c r="C816" s="1924"/>
      <c r="D816" s="1924"/>
      <c r="E816" s="1924"/>
      <c r="F816" s="1924"/>
      <c r="G816" s="1924"/>
      <c r="H816" s="1924"/>
      <c r="I816" s="1924"/>
    </row>
    <row r="817" spans="2:9" ht="12.75">
      <c r="B817" s="1924"/>
      <c r="C817" s="1924"/>
      <c r="D817" s="1924"/>
      <c r="E817" s="1924"/>
      <c r="F817" s="1924"/>
      <c r="G817" s="1924"/>
      <c r="H817" s="1924"/>
      <c r="I817" s="1924"/>
    </row>
    <row r="818" spans="2:9" ht="12.75">
      <c r="B818" s="1924"/>
      <c r="C818" s="1924"/>
      <c r="D818" s="1924"/>
      <c r="E818" s="1924"/>
      <c r="F818" s="1924"/>
      <c r="G818" s="1924"/>
      <c r="H818" s="1924"/>
      <c r="I818" s="1924"/>
    </row>
    <row r="819" spans="2:9" ht="12.75">
      <c r="B819" s="1924"/>
      <c r="C819" s="1924"/>
      <c r="D819" s="1924"/>
      <c r="E819" s="1924"/>
      <c r="F819" s="1924"/>
      <c r="G819" s="1924"/>
      <c r="H819" s="1924"/>
      <c r="I819" s="1924"/>
    </row>
    <row r="820" spans="2:9" ht="12.75">
      <c r="B820" s="1924"/>
      <c r="C820" s="1924"/>
      <c r="D820" s="1924"/>
      <c r="E820" s="1924"/>
      <c r="F820" s="1924"/>
      <c r="G820" s="1924"/>
      <c r="H820" s="1924"/>
      <c r="I820" s="1924"/>
    </row>
    <row r="821" spans="2:9" ht="12.75">
      <c r="B821" s="1924"/>
      <c r="C821" s="1924"/>
      <c r="D821" s="1924"/>
      <c r="E821" s="1924"/>
      <c r="F821" s="1924"/>
      <c r="G821" s="1924"/>
      <c r="H821" s="1924"/>
      <c r="I821" s="1924"/>
    </row>
    <row r="822" spans="2:9" ht="12.75">
      <c r="B822" s="1924"/>
      <c r="C822" s="1924"/>
      <c r="D822" s="1924"/>
      <c r="E822" s="1924"/>
      <c r="F822" s="1924"/>
      <c r="G822" s="1924"/>
      <c r="H822" s="1924"/>
      <c r="I822" s="1924"/>
    </row>
    <row r="823" spans="2:9" ht="12.75">
      <c r="B823" s="1924"/>
      <c r="C823" s="1924"/>
      <c r="D823" s="1924"/>
      <c r="E823" s="1924"/>
      <c r="F823" s="1924"/>
      <c r="G823" s="1924"/>
      <c r="H823" s="1924"/>
      <c r="I823" s="1924"/>
    </row>
    <row r="824" spans="2:9" ht="12.75">
      <c r="B824" s="1924"/>
      <c r="C824" s="1924"/>
      <c r="D824" s="1924"/>
      <c r="E824" s="1924"/>
      <c r="F824" s="1924"/>
      <c r="G824" s="1924"/>
      <c r="H824" s="1924"/>
      <c r="I824" s="1924"/>
    </row>
    <row r="825" spans="2:9" ht="12.75">
      <c r="B825" s="1924"/>
      <c r="C825" s="1924"/>
      <c r="D825" s="1924"/>
      <c r="E825" s="1924"/>
      <c r="F825" s="1924"/>
      <c r="G825" s="1924"/>
      <c r="H825" s="1924"/>
      <c r="I825" s="1924"/>
    </row>
    <row r="826" spans="2:9" ht="12.75">
      <c r="B826" s="1924"/>
      <c r="C826" s="1924"/>
      <c r="D826" s="1924"/>
      <c r="E826" s="1924"/>
      <c r="F826" s="1924"/>
      <c r="G826" s="1924"/>
      <c r="H826" s="1924"/>
      <c r="I826" s="1924"/>
    </row>
    <row r="827" spans="2:9" ht="12.75">
      <c r="B827" s="1924"/>
      <c r="C827" s="1924"/>
      <c r="D827" s="1924"/>
      <c r="E827" s="1924"/>
      <c r="F827" s="1924"/>
      <c r="G827" s="1924"/>
      <c r="H827" s="1924"/>
      <c r="I827" s="1924"/>
    </row>
    <row r="828" spans="2:9" ht="12.75">
      <c r="B828" s="1924"/>
      <c r="C828" s="1924"/>
      <c r="D828" s="1924"/>
      <c r="E828" s="1924"/>
      <c r="F828" s="1924"/>
      <c r="G828" s="1924"/>
      <c r="H828" s="1924"/>
      <c r="I828" s="1924"/>
    </row>
    <row r="829" spans="2:9" ht="12.75">
      <c r="B829" s="1924"/>
      <c r="C829" s="1924"/>
      <c r="D829" s="1924"/>
      <c r="E829" s="1924"/>
      <c r="F829" s="1924"/>
      <c r="G829" s="1924"/>
      <c r="H829" s="1924"/>
      <c r="I829" s="1924"/>
    </row>
    <row r="830" spans="2:9" ht="12.75">
      <c r="B830" s="1924"/>
      <c r="C830" s="1924"/>
      <c r="D830" s="1924"/>
      <c r="E830" s="1924"/>
      <c r="F830" s="1924"/>
      <c r="G830" s="1924"/>
      <c r="H830" s="1924"/>
      <c r="I830" s="1924"/>
    </row>
    <row r="831" spans="2:9" ht="12.75">
      <c r="B831" s="1924"/>
      <c r="C831" s="1924"/>
      <c r="D831" s="1924"/>
      <c r="E831" s="1924"/>
      <c r="F831" s="1924"/>
      <c r="G831" s="1924"/>
      <c r="H831" s="1924"/>
      <c r="I831" s="1924"/>
    </row>
    <row r="832" spans="2:9" ht="12.75">
      <c r="B832" s="1924"/>
      <c r="C832" s="1924"/>
      <c r="D832" s="1924"/>
      <c r="E832" s="1924"/>
      <c r="F832" s="1924"/>
      <c r="G832" s="1924"/>
      <c r="H832" s="1924"/>
      <c r="I832" s="1924"/>
    </row>
    <row r="833" spans="2:9" ht="12.75">
      <c r="B833" s="1924"/>
      <c r="C833" s="1924"/>
      <c r="D833" s="1924"/>
      <c r="E833" s="1924"/>
      <c r="F833" s="1924"/>
      <c r="G833" s="1924"/>
      <c r="H833" s="1924"/>
      <c r="I833" s="1924"/>
    </row>
    <row r="834" spans="2:9" ht="12.75">
      <c r="B834" s="1924"/>
      <c r="C834" s="1924"/>
      <c r="D834" s="1924"/>
      <c r="E834" s="1924"/>
      <c r="F834" s="1924"/>
      <c r="G834" s="1924"/>
      <c r="H834" s="1924"/>
      <c r="I834" s="1924"/>
    </row>
    <row r="835" spans="2:9" ht="12.75">
      <c r="B835" s="1924"/>
      <c r="C835" s="1924"/>
      <c r="D835" s="1924"/>
      <c r="E835" s="1924"/>
      <c r="F835" s="1924"/>
      <c r="G835" s="1924"/>
      <c r="H835" s="1924"/>
      <c r="I835" s="1924"/>
    </row>
    <row r="836" spans="2:9" ht="12.75">
      <c r="B836" s="1924"/>
      <c r="C836" s="1924"/>
      <c r="D836" s="1924"/>
      <c r="E836" s="1924"/>
      <c r="F836" s="1924"/>
      <c r="G836" s="1924"/>
      <c r="H836" s="1924"/>
      <c r="I836" s="1924"/>
    </row>
    <row r="837" spans="2:9" ht="12.75">
      <c r="B837" s="1924"/>
      <c r="C837" s="1924"/>
      <c r="D837" s="1924"/>
      <c r="E837" s="1924"/>
      <c r="F837" s="1924"/>
      <c r="G837" s="1924"/>
      <c r="H837" s="1924"/>
      <c r="I837" s="1924"/>
    </row>
    <row r="838" spans="2:9" ht="12.75">
      <c r="B838" s="1924"/>
      <c r="C838" s="1924"/>
      <c r="D838" s="1924"/>
      <c r="E838" s="1924"/>
      <c r="F838" s="1924"/>
      <c r="G838" s="1924"/>
      <c r="H838" s="1924"/>
      <c r="I838" s="1924"/>
    </row>
    <row r="839" spans="2:9" ht="12.75">
      <c r="B839" s="1924"/>
      <c r="C839" s="1924"/>
      <c r="D839" s="1924"/>
      <c r="E839" s="1924"/>
      <c r="F839" s="1924"/>
      <c r="G839" s="1924"/>
      <c r="H839" s="1924"/>
      <c r="I839" s="1924"/>
    </row>
    <row r="840" spans="2:9" ht="12.75">
      <c r="B840" s="1924"/>
      <c r="C840" s="1924"/>
      <c r="D840" s="1924"/>
      <c r="E840" s="1924"/>
      <c r="F840" s="1924"/>
      <c r="G840" s="1924"/>
      <c r="H840" s="1924"/>
      <c r="I840" s="1924"/>
    </row>
    <row r="841" spans="2:9" ht="12.75">
      <c r="B841" s="1924"/>
      <c r="C841" s="1924"/>
      <c r="D841" s="1924"/>
      <c r="E841" s="1924"/>
      <c r="F841" s="1924"/>
      <c r="G841" s="1924"/>
      <c r="H841" s="1924"/>
      <c r="I841" s="1924"/>
    </row>
    <row r="842" spans="2:9" ht="12.75">
      <c r="B842" s="1924"/>
      <c r="C842" s="1924"/>
      <c r="D842" s="1924"/>
      <c r="E842" s="1924"/>
      <c r="F842" s="1924"/>
      <c r="G842" s="1924"/>
      <c r="H842" s="1924"/>
      <c r="I842" s="1924"/>
    </row>
    <row r="843" spans="2:9" ht="12.75">
      <c r="B843" s="1924"/>
      <c r="C843" s="1924"/>
      <c r="D843" s="1924"/>
      <c r="E843" s="1924"/>
      <c r="F843" s="1924"/>
      <c r="G843" s="1924"/>
      <c r="H843" s="1924"/>
      <c r="I843" s="1924"/>
    </row>
    <row r="844" spans="2:9" ht="12.75">
      <c r="B844" s="1924"/>
      <c r="C844" s="1924"/>
      <c r="D844" s="1924"/>
      <c r="E844" s="1924"/>
      <c r="F844" s="1924"/>
      <c r="G844" s="1924"/>
      <c r="H844" s="1924"/>
      <c r="I844" s="1924"/>
    </row>
    <row r="845" spans="2:9" ht="12.75">
      <c r="B845" s="1924"/>
      <c r="C845" s="1924"/>
      <c r="D845" s="1924"/>
      <c r="E845" s="1924"/>
      <c r="F845" s="1924"/>
      <c r="G845" s="1924"/>
      <c r="H845" s="1924"/>
      <c r="I845" s="1924"/>
    </row>
    <row r="846" spans="2:9" ht="12.75">
      <c r="B846" s="1924"/>
      <c r="C846" s="1924"/>
      <c r="D846" s="1924"/>
      <c r="E846" s="1924"/>
      <c r="F846" s="1924"/>
      <c r="G846" s="1924"/>
      <c r="H846" s="1924"/>
      <c r="I846" s="1924"/>
    </row>
    <row r="847" spans="2:9" ht="12.75">
      <c r="B847" s="1924"/>
      <c r="C847" s="1924"/>
      <c r="D847" s="1924"/>
      <c r="E847" s="1924"/>
      <c r="F847" s="1924"/>
      <c r="G847" s="1924"/>
      <c r="H847" s="1924"/>
      <c r="I847" s="1924"/>
    </row>
    <row r="848" spans="2:9" ht="12.75">
      <c r="B848" s="1924"/>
      <c r="C848" s="1924"/>
      <c r="D848" s="1924"/>
      <c r="E848" s="1924"/>
      <c r="F848" s="1924"/>
      <c r="G848" s="1924"/>
      <c r="H848" s="1924"/>
      <c r="I848" s="1924"/>
    </row>
    <row r="849" spans="2:9" ht="12.75">
      <c r="B849" s="1924"/>
      <c r="C849" s="1924"/>
      <c r="D849" s="1924"/>
      <c r="E849" s="1924"/>
      <c r="F849" s="1924"/>
      <c r="G849" s="1924"/>
      <c r="H849" s="1924"/>
      <c r="I849" s="1924"/>
    </row>
    <row r="850" spans="2:9" ht="12.75">
      <c r="B850" s="1924"/>
      <c r="C850" s="1924"/>
      <c r="D850" s="1924"/>
      <c r="E850" s="1924"/>
      <c r="F850" s="1924"/>
      <c r="G850" s="1924"/>
      <c r="H850" s="1924"/>
      <c r="I850" s="1924"/>
    </row>
    <row r="851" spans="2:9" ht="12.75">
      <c r="B851" s="1924"/>
      <c r="C851" s="1924"/>
      <c r="D851" s="1924"/>
      <c r="E851" s="1924"/>
      <c r="F851" s="1924"/>
      <c r="G851" s="1924"/>
      <c r="H851" s="1924"/>
      <c r="I851" s="1924"/>
    </row>
    <row r="852" spans="2:9" ht="12.75">
      <c r="B852" s="1924"/>
      <c r="C852" s="1924"/>
      <c r="D852" s="1924"/>
      <c r="E852" s="1924"/>
      <c r="F852" s="1924"/>
      <c r="G852" s="1924"/>
      <c r="H852" s="1924"/>
      <c r="I852" s="1924"/>
    </row>
    <row r="853" spans="2:9" ht="12.75">
      <c r="B853" s="1924"/>
      <c r="C853" s="1924"/>
      <c r="D853" s="1924"/>
      <c r="E853" s="1924"/>
      <c r="F853" s="1924"/>
      <c r="G853" s="1924"/>
      <c r="H853" s="1924"/>
      <c r="I853" s="1924"/>
    </row>
    <row r="854" spans="2:9" ht="12.75">
      <c r="B854" s="1924"/>
      <c r="C854" s="1924"/>
      <c r="D854" s="1924"/>
      <c r="E854" s="1924"/>
      <c r="F854" s="1924"/>
      <c r="G854" s="1924"/>
      <c r="H854" s="1924"/>
      <c r="I854" s="1924"/>
    </row>
    <row r="855" spans="2:9" ht="12.75">
      <c r="B855" s="1924"/>
      <c r="C855" s="1924"/>
      <c r="D855" s="1924"/>
      <c r="E855" s="1924"/>
      <c r="F855" s="1924"/>
      <c r="G855" s="1924"/>
      <c r="H855" s="1924"/>
      <c r="I855" s="1924"/>
    </row>
    <row r="856" spans="2:9" ht="12.75">
      <c r="B856" s="1924"/>
      <c r="C856" s="1924"/>
      <c r="D856" s="1924"/>
      <c r="E856" s="1924"/>
      <c r="F856" s="1924"/>
      <c r="G856" s="1924"/>
      <c r="H856" s="1924"/>
      <c r="I856" s="1924"/>
    </row>
    <row r="857" spans="2:9" ht="12.75">
      <c r="B857" s="1924"/>
      <c r="C857" s="1924"/>
      <c r="D857" s="1924"/>
      <c r="E857" s="1924"/>
      <c r="F857" s="1924"/>
      <c r="G857" s="1924"/>
      <c r="H857" s="1924"/>
      <c r="I857" s="1924"/>
    </row>
    <row r="858" spans="2:9" ht="12.75">
      <c r="B858" s="1924"/>
      <c r="C858" s="1924"/>
      <c r="D858" s="1924"/>
      <c r="E858" s="1924"/>
      <c r="F858" s="1924"/>
      <c r="G858" s="1924"/>
      <c r="H858" s="1924"/>
      <c r="I858" s="1924"/>
    </row>
    <row r="859" spans="2:9" ht="12.75">
      <c r="B859" s="1924"/>
      <c r="C859" s="1924"/>
      <c r="D859" s="1924"/>
      <c r="E859" s="1924"/>
      <c r="F859" s="1924"/>
      <c r="G859" s="1924"/>
      <c r="H859" s="1924"/>
      <c r="I859" s="1924"/>
    </row>
    <row r="860" spans="2:9" ht="12.75">
      <c r="B860" s="1924"/>
      <c r="C860" s="1924"/>
      <c r="D860" s="1924"/>
      <c r="E860" s="1924"/>
      <c r="F860" s="1924"/>
      <c r="G860" s="1924"/>
      <c r="H860" s="1924"/>
      <c r="I860" s="1924"/>
    </row>
    <row r="861" spans="2:9" ht="12.75">
      <c r="B861" s="1924"/>
      <c r="C861" s="1924"/>
      <c r="D861" s="1924"/>
      <c r="E861" s="1924"/>
      <c r="F861" s="1924"/>
      <c r="G861" s="1924"/>
      <c r="H861" s="1924"/>
      <c r="I861" s="1924"/>
    </row>
    <row r="862" spans="2:9" ht="12.75">
      <c r="B862" s="1924"/>
      <c r="C862" s="1924"/>
      <c r="D862" s="1924"/>
      <c r="E862" s="1924"/>
      <c r="F862" s="1924"/>
      <c r="G862" s="1924"/>
      <c r="H862" s="1924"/>
      <c r="I862" s="1924"/>
    </row>
    <row r="863" spans="2:9" ht="12.75">
      <c r="B863" s="1924"/>
      <c r="C863" s="1924"/>
      <c r="D863" s="1924"/>
      <c r="E863" s="1924"/>
      <c r="F863" s="1924"/>
      <c r="G863" s="1924"/>
      <c r="H863" s="1924"/>
      <c r="I863" s="1924"/>
    </row>
    <row r="864" spans="2:9" ht="12.75">
      <c r="B864" s="1924"/>
      <c r="C864" s="1924"/>
      <c r="D864" s="1924"/>
      <c r="E864" s="1924"/>
      <c r="F864" s="1924"/>
      <c r="G864" s="1924"/>
      <c r="H864" s="1924"/>
      <c r="I864" s="1924"/>
    </row>
    <row r="865" spans="2:9" ht="12.75">
      <c r="B865" s="1924"/>
      <c r="C865" s="1924"/>
      <c r="D865" s="1924"/>
      <c r="E865" s="1924"/>
      <c r="F865" s="1924"/>
      <c r="G865" s="1924"/>
      <c r="H865" s="1924"/>
      <c r="I865" s="1924"/>
    </row>
    <row r="866" spans="2:9" ht="12.75">
      <c r="B866" s="1924"/>
      <c r="C866" s="1924"/>
      <c r="D866" s="1924"/>
      <c r="E866" s="1924"/>
      <c r="F866" s="1924"/>
      <c r="G866" s="1924"/>
      <c r="H866" s="1924"/>
      <c r="I866" s="1924"/>
    </row>
    <row r="867" spans="2:9" ht="12.75">
      <c r="B867" s="1924"/>
      <c r="C867" s="1924"/>
      <c r="D867" s="1924"/>
      <c r="E867" s="1924"/>
      <c r="F867" s="1924"/>
      <c r="G867" s="1924"/>
      <c r="H867" s="1924"/>
      <c r="I867" s="1924"/>
    </row>
    <row r="868" spans="2:9" ht="12.75">
      <c r="B868" s="1924"/>
      <c r="C868" s="1924"/>
      <c r="D868" s="1924"/>
      <c r="E868" s="1924"/>
      <c r="F868" s="1924"/>
      <c r="G868" s="1924"/>
      <c r="H868" s="1924"/>
      <c r="I868" s="1924"/>
    </row>
    <row r="869" spans="2:9" ht="12.75">
      <c r="B869" s="1924"/>
      <c r="C869" s="1924"/>
      <c r="D869" s="1924"/>
      <c r="E869" s="1924"/>
      <c r="F869" s="1924"/>
      <c r="G869" s="1924"/>
      <c r="H869" s="1924"/>
      <c r="I869" s="1924"/>
    </row>
    <row r="870" spans="2:9" ht="12.75">
      <c r="B870" s="1924"/>
      <c r="C870" s="1924"/>
      <c r="D870" s="1924"/>
      <c r="E870" s="1924"/>
      <c r="F870" s="1924"/>
      <c r="G870" s="1924"/>
      <c r="H870" s="1924"/>
      <c r="I870" s="1924"/>
    </row>
    <row r="871" spans="2:9" ht="12.75">
      <c r="B871" s="1924"/>
      <c r="C871" s="1924"/>
      <c r="D871" s="1924"/>
      <c r="E871" s="1924"/>
      <c r="F871" s="1924"/>
      <c r="G871" s="1924"/>
      <c r="H871" s="1924"/>
      <c r="I871" s="1924"/>
    </row>
    <row r="872" spans="2:9" ht="12.75">
      <c r="B872" s="1924"/>
      <c r="C872" s="1924"/>
      <c r="D872" s="1924"/>
      <c r="E872" s="1924"/>
      <c r="F872" s="1924"/>
      <c r="G872" s="1924"/>
      <c r="H872" s="1924"/>
      <c r="I872" s="1924"/>
    </row>
    <row r="873" spans="2:9" ht="12.75">
      <c r="B873" s="1924"/>
      <c r="C873" s="1924"/>
      <c r="D873" s="1924"/>
      <c r="E873" s="1924"/>
      <c r="F873" s="1924"/>
      <c r="G873" s="1924"/>
      <c r="H873" s="1924"/>
      <c r="I873" s="1924"/>
    </row>
    <row r="874" spans="2:9" ht="12.75">
      <c r="B874" s="1924"/>
      <c r="C874" s="1924"/>
      <c r="D874" s="1924"/>
      <c r="E874" s="1924"/>
      <c r="F874" s="1924"/>
      <c r="G874" s="1924"/>
      <c r="H874" s="1924"/>
      <c r="I874" s="1924"/>
    </row>
    <row r="875" spans="2:9" ht="12.75">
      <c r="B875" s="1924"/>
      <c r="C875" s="1924"/>
      <c r="D875" s="1924"/>
      <c r="E875" s="1924"/>
      <c r="F875" s="1924"/>
      <c r="G875" s="1924"/>
      <c r="H875" s="1924"/>
      <c r="I875" s="1924"/>
    </row>
    <row r="876" spans="2:9" ht="12.75">
      <c r="B876" s="1924"/>
      <c r="C876" s="1924"/>
      <c r="D876" s="1924"/>
      <c r="E876" s="1924"/>
      <c r="F876" s="1924"/>
      <c r="G876" s="1924"/>
      <c r="H876" s="1924"/>
      <c r="I876" s="1924"/>
    </row>
    <row r="877" spans="2:9" ht="12.75">
      <c r="B877" s="1924"/>
      <c r="C877" s="1924"/>
      <c r="D877" s="1924"/>
      <c r="E877" s="1924"/>
      <c r="F877" s="1924"/>
      <c r="G877" s="1924"/>
      <c r="H877" s="1924"/>
      <c r="I877" s="1924"/>
    </row>
    <row r="878" spans="2:9" ht="12.75">
      <c r="B878" s="1924"/>
      <c r="C878" s="1924"/>
      <c r="D878" s="1924"/>
      <c r="E878" s="1924"/>
      <c r="F878" s="1924"/>
      <c r="G878" s="1924"/>
      <c r="H878" s="1924"/>
      <c r="I878" s="1924"/>
    </row>
    <row r="879" spans="2:9" ht="12.75">
      <c r="B879" s="1924"/>
      <c r="C879" s="1924"/>
      <c r="D879" s="1924"/>
      <c r="E879" s="1924"/>
      <c r="F879" s="1924"/>
      <c r="G879" s="1924"/>
      <c r="H879" s="1924"/>
      <c r="I879" s="1924"/>
    </row>
    <row r="880" spans="2:9" ht="12.75">
      <c r="B880" s="1924"/>
      <c r="C880" s="1924"/>
      <c r="D880" s="1924"/>
      <c r="E880" s="1924"/>
      <c r="F880" s="1924"/>
      <c r="G880" s="1924"/>
      <c r="H880" s="1924"/>
      <c r="I880" s="1924"/>
    </row>
    <row r="881" spans="2:9" ht="12.75">
      <c r="B881" s="1924"/>
      <c r="C881" s="1924"/>
      <c r="D881" s="1924"/>
      <c r="E881" s="1924"/>
      <c r="F881" s="1924"/>
      <c r="G881" s="1924"/>
      <c r="H881" s="1924"/>
      <c r="I881" s="1924"/>
    </row>
    <row r="882" spans="2:9" ht="12.75">
      <c r="B882" s="1924"/>
      <c r="C882" s="1924"/>
      <c r="D882" s="1924"/>
      <c r="E882" s="1924"/>
      <c r="F882" s="1924"/>
      <c r="G882" s="1924"/>
      <c r="H882" s="1924"/>
      <c r="I882" s="1924"/>
    </row>
    <row r="883" spans="2:9" ht="12.75">
      <c r="B883" s="1924"/>
      <c r="C883" s="1924"/>
      <c r="D883" s="1924"/>
      <c r="E883" s="1924"/>
      <c r="F883" s="1924"/>
      <c r="G883" s="1924"/>
      <c r="H883" s="1924"/>
      <c r="I883" s="1924"/>
    </row>
    <row r="884" spans="2:9" ht="12.75">
      <c r="B884" s="1924"/>
      <c r="C884" s="1924"/>
      <c r="D884" s="1924"/>
      <c r="E884" s="1924"/>
      <c r="F884" s="1924"/>
      <c r="G884" s="1924"/>
      <c r="H884" s="1924"/>
      <c r="I884" s="1924"/>
    </row>
    <row r="885" spans="2:9" ht="12.75">
      <c r="B885" s="1924"/>
      <c r="C885" s="1924"/>
      <c r="D885" s="1924"/>
      <c r="E885" s="1924"/>
      <c r="F885" s="1924"/>
      <c r="G885" s="1924"/>
      <c r="H885" s="1924"/>
      <c r="I885" s="1924"/>
    </row>
    <row r="886" spans="2:9" ht="12.75">
      <c r="B886" s="1924"/>
      <c r="C886" s="1924"/>
      <c r="D886" s="1924"/>
      <c r="E886" s="1924"/>
      <c r="F886" s="1924"/>
      <c r="G886" s="1924"/>
      <c r="H886" s="1924"/>
      <c r="I886" s="1924"/>
    </row>
    <row r="887" spans="2:9" ht="12.75">
      <c r="B887" s="1924"/>
      <c r="C887" s="1924"/>
      <c r="D887" s="1924"/>
      <c r="E887" s="1924"/>
      <c r="F887" s="1924"/>
      <c r="G887" s="1924"/>
      <c r="H887" s="1924"/>
      <c r="I887" s="1924"/>
    </row>
    <row r="888" spans="2:9" ht="12.75">
      <c r="B888" s="1924"/>
      <c r="C888" s="1924"/>
      <c r="D888" s="1924"/>
      <c r="E888" s="1924"/>
      <c r="F888" s="1924"/>
      <c r="G888" s="1924"/>
      <c r="H888" s="1924"/>
      <c r="I888" s="1924"/>
    </row>
    <row r="889" spans="2:9" ht="12.75">
      <c r="B889" s="1924"/>
      <c r="C889" s="1924"/>
      <c r="D889" s="1924"/>
      <c r="E889" s="1924"/>
      <c r="F889" s="1924"/>
      <c r="G889" s="1924"/>
      <c r="H889" s="1924"/>
      <c r="I889" s="1924"/>
    </row>
    <row r="890" spans="2:9" ht="12.75">
      <c r="B890" s="1924"/>
      <c r="C890" s="1924"/>
      <c r="D890" s="1924"/>
      <c r="E890" s="1924"/>
      <c r="F890" s="1924"/>
      <c r="G890" s="1924"/>
      <c r="H890" s="1924"/>
      <c r="I890" s="1924"/>
    </row>
    <row r="891" spans="2:9" ht="12.75">
      <c r="B891" s="1924"/>
      <c r="C891" s="1924"/>
      <c r="D891" s="1924"/>
      <c r="E891" s="1924"/>
      <c r="F891" s="1924"/>
      <c r="G891" s="1924"/>
      <c r="H891" s="1924"/>
      <c r="I891" s="1924"/>
    </row>
    <row r="892" spans="2:9" ht="12.75">
      <c r="B892" s="1924"/>
      <c r="C892" s="1924"/>
      <c r="D892" s="1924"/>
      <c r="E892" s="1924"/>
      <c r="F892" s="1924"/>
      <c r="G892" s="1924"/>
      <c r="H892" s="1924"/>
      <c r="I892" s="1924"/>
    </row>
    <row r="893" spans="2:9" ht="12.75">
      <c r="B893" s="1924"/>
      <c r="C893" s="1924"/>
      <c r="D893" s="1924"/>
      <c r="E893" s="1924"/>
      <c r="F893" s="1924"/>
      <c r="G893" s="1924"/>
      <c r="H893" s="1924"/>
      <c r="I893" s="1924"/>
    </row>
    <row r="894" spans="2:9" ht="12.75">
      <c r="B894" s="1924"/>
      <c r="C894" s="1924"/>
      <c r="D894" s="1924"/>
      <c r="E894" s="1924"/>
      <c r="F894" s="1924"/>
      <c r="G894" s="1924"/>
      <c r="H894" s="1924"/>
      <c r="I894" s="1924"/>
    </row>
    <row r="895" spans="2:9" ht="12.75">
      <c r="B895" s="1924"/>
      <c r="C895" s="1924"/>
      <c r="D895" s="1924"/>
      <c r="E895" s="1924"/>
      <c r="F895" s="1924"/>
      <c r="G895" s="1924"/>
      <c r="H895" s="1924"/>
      <c r="I895" s="1924"/>
    </row>
    <row r="896" spans="2:9" ht="12.75">
      <c r="B896" s="1924"/>
      <c r="C896" s="1924"/>
      <c r="D896" s="1924"/>
      <c r="E896" s="1924"/>
      <c r="F896" s="1924"/>
      <c r="G896" s="1924"/>
      <c r="H896" s="1924"/>
      <c r="I896" s="1924"/>
    </row>
    <row r="897" spans="2:9" ht="12.75">
      <c r="B897" s="1924"/>
      <c r="C897" s="1924"/>
      <c r="D897" s="1924"/>
      <c r="E897" s="1924"/>
      <c r="F897" s="1924"/>
      <c r="G897" s="1924"/>
      <c r="H897" s="1924"/>
      <c r="I897" s="1924"/>
    </row>
    <row r="898" spans="2:9" ht="12.75">
      <c r="B898" s="1924"/>
      <c r="C898" s="1924"/>
      <c r="D898" s="1924"/>
      <c r="E898" s="1924"/>
      <c r="F898" s="1924"/>
      <c r="G898" s="1924"/>
      <c r="H898" s="1924"/>
      <c r="I898" s="1924"/>
    </row>
    <row r="899" spans="2:9" ht="12.75">
      <c r="B899" s="1924"/>
      <c r="C899" s="1924"/>
      <c r="D899" s="1924"/>
      <c r="E899" s="1924"/>
      <c r="F899" s="1924"/>
      <c r="G899" s="1924"/>
      <c r="H899" s="1924"/>
      <c r="I899" s="1924"/>
    </row>
    <row r="900" spans="2:9" ht="12.75">
      <c r="B900" s="1924"/>
      <c r="C900" s="1924"/>
      <c r="D900" s="1924"/>
      <c r="E900" s="1924"/>
      <c r="F900" s="1924"/>
      <c r="G900" s="1924"/>
      <c r="H900" s="1924"/>
      <c r="I900" s="1924"/>
    </row>
    <row r="901" spans="2:9" ht="12.75">
      <c r="B901" s="1924"/>
      <c r="C901" s="1924"/>
      <c r="D901" s="1924"/>
      <c r="E901" s="1924"/>
      <c r="F901" s="1924"/>
      <c r="G901" s="1924"/>
      <c r="H901" s="1924"/>
      <c r="I901" s="1924"/>
    </row>
    <row r="902" spans="2:9" ht="12.75">
      <c r="B902" s="1924"/>
      <c r="C902" s="1924"/>
      <c r="D902" s="1924"/>
      <c r="E902" s="1924"/>
      <c r="F902" s="1924"/>
      <c r="G902" s="1924"/>
      <c r="H902" s="1924"/>
      <c r="I902" s="1924"/>
    </row>
    <row r="903" spans="2:9" ht="12.75">
      <c r="B903" s="1924"/>
      <c r="C903" s="1924"/>
      <c r="D903" s="1924"/>
      <c r="E903" s="1924"/>
      <c r="F903" s="1924"/>
      <c r="G903" s="1924"/>
      <c r="H903" s="1924"/>
      <c r="I903" s="1924"/>
    </row>
    <row r="904" spans="2:9" ht="12.75">
      <c r="B904" s="1924"/>
      <c r="C904" s="1924"/>
      <c r="D904" s="1924"/>
      <c r="E904" s="1924"/>
      <c r="F904" s="1924"/>
      <c r="G904" s="1924"/>
      <c r="H904" s="1924"/>
      <c r="I904" s="1924"/>
    </row>
    <row r="905" spans="2:9" ht="12.75">
      <c r="B905" s="1924"/>
      <c r="C905" s="1924"/>
      <c r="D905" s="1924"/>
      <c r="E905" s="1924"/>
      <c r="F905" s="1924"/>
      <c r="G905" s="1924"/>
      <c r="H905" s="1924"/>
      <c r="I905" s="1924"/>
    </row>
    <row r="906" spans="2:9" ht="12.75">
      <c r="B906" s="1924"/>
      <c r="C906" s="1924"/>
      <c r="D906" s="1924"/>
      <c r="E906" s="1924"/>
      <c r="F906" s="1924"/>
      <c r="G906" s="1924"/>
      <c r="H906" s="1924"/>
      <c r="I906" s="1924"/>
    </row>
    <row r="907" spans="2:9" ht="12.75">
      <c r="B907" s="1924"/>
      <c r="C907" s="1924"/>
      <c r="D907" s="1924"/>
      <c r="E907" s="1924"/>
      <c r="F907" s="1924"/>
      <c r="G907" s="1924"/>
      <c r="H907" s="1924"/>
      <c r="I907" s="1924"/>
    </row>
    <row r="908" spans="2:9" ht="12.75">
      <c r="B908" s="1924"/>
      <c r="C908" s="1924"/>
      <c r="D908" s="1924"/>
      <c r="E908" s="1924"/>
      <c r="F908" s="1924"/>
      <c r="G908" s="1924"/>
      <c r="H908" s="1924"/>
      <c r="I908" s="1924"/>
    </row>
    <row r="909" spans="2:9" ht="12.75">
      <c r="B909" s="1924"/>
      <c r="C909" s="1924"/>
      <c r="D909" s="1924"/>
      <c r="E909" s="1924"/>
      <c r="F909" s="1924"/>
      <c r="G909" s="1924"/>
      <c r="H909" s="1924"/>
      <c r="I909" s="1924"/>
    </row>
    <row r="910" spans="2:9" ht="12.75">
      <c r="B910" s="1924"/>
      <c r="C910" s="1924"/>
      <c r="D910" s="1924"/>
      <c r="E910" s="1924"/>
      <c r="F910" s="1924"/>
      <c r="G910" s="1924"/>
      <c r="H910" s="1924"/>
      <c r="I910" s="1924"/>
    </row>
    <row r="911" spans="2:9" ht="12.75">
      <c r="B911" s="1924"/>
      <c r="C911" s="1924"/>
      <c r="D911" s="1924"/>
      <c r="E911" s="1924"/>
      <c r="F911" s="1924"/>
      <c r="G911" s="1924"/>
      <c r="H911" s="1924"/>
      <c r="I911" s="1924"/>
    </row>
    <row r="912" spans="2:9" ht="12.75">
      <c r="B912" s="1924"/>
      <c r="C912" s="1924"/>
      <c r="D912" s="1924"/>
      <c r="E912" s="1924"/>
      <c r="F912" s="1924"/>
      <c r="G912" s="1924"/>
      <c r="H912" s="1924"/>
      <c r="I912" s="1924"/>
    </row>
    <row r="913" spans="2:9" ht="12.75">
      <c r="B913" s="1924"/>
      <c r="C913" s="1924"/>
      <c r="D913" s="1924"/>
      <c r="E913" s="1924"/>
      <c r="F913" s="1924"/>
      <c r="G913" s="1924"/>
      <c r="H913" s="1924"/>
      <c r="I913" s="1924"/>
    </row>
    <row r="914" spans="2:9" ht="12.75">
      <c r="B914" s="1924"/>
      <c r="C914" s="1924"/>
      <c r="D914" s="1924"/>
      <c r="E914" s="1924"/>
      <c r="F914" s="1924"/>
      <c r="G914" s="1924"/>
      <c r="H914" s="1924"/>
      <c r="I914" s="1924"/>
    </row>
    <row r="915" spans="2:9" ht="12.75">
      <c r="B915" s="1924"/>
      <c r="C915" s="1924"/>
      <c r="D915" s="1924"/>
      <c r="E915" s="1924"/>
      <c r="F915" s="1924"/>
      <c r="G915" s="1924"/>
      <c r="H915" s="1924"/>
      <c r="I915" s="1924"/>
    </row>
    <row r="916" spans="2:9" ht="12.75">
      <c r="B916" s="1924"/>
      <c r="C916" s="1924"/>
      <c r="D916" s="1924"/>
      <c r="E916" s="1924"/>
      <c r="F916" s="1924"/>
      <c r="G916" s="1924"/>
      <c r="H916" s="1924"/>
      <c r="I916" s="1924"/>
    </row>
    <row r="917" spans="2:9" ht="12.75">
      <c r="B917" s="1924"/>
      <c r="C917" s="1924"/>
      <c r="D917" s="1924"/>
      <c r="E917" s="1924"/>
      <c r="F917" s="1924"/>
      <c r="G917" s="1924"/>
      <c r="H917" s="1924"/>
      <c r="I917" s="1924"/>
    </row>
    <row r="918" spans="2:9" ht="12.75">
      <c r="B918" s="1924"/>
      <c r="C918" s="1924"/>
      <c r="D918" s="1924"/>
      <c r="E918" s="1924"/>
      <c r="F918" s="1924"/>
      <c r="G918" s="1924"/>
      <c r="H918" s="1924"/>
      <c r="I918" s="1924"/>
    </row>
    <row r="919" spans="2:9" ht="12.75">
      <c r="B919" s="1924"/>
      <c r="C919" s="1924"/>
      <c r="D919" s="1924"/>
      <c r="E919" s="1924"/>
      <c r="F919" s="1924"/>
      <c r="G919" s="1924"/>
      <c r="H919" s="1924"/>
      <c r="I919" s="1924"/>
    </row>
    <row r="920" spans="2:9" ht="12.75">
      <c r="B920" s="1924"/>
      <c r="C920" s="1924"/>
      <c r="D920" s="1924"/>
      <c r="E920" s="1924"/>
      <c r="F920" s="1924"/>
      <c r="G920" s="1924"/>
      <c r="H920" s="1924"/>
      <c r="I920" s="1924"/>
    </row>
    <row r="921" spans="2:9" ht="12.75">
      <c r="B921" s="1924"/>
      <c r="C921" s="1924"/>
      <c r="D921" s="1924"/>
      <c r="E921" s="1924"/>
      <c r="F921" s="1924"/>
      <c r="G921" s="1924"/>
      <c r="H921" s="1924"/>
      <c r="I921" s="1924"/>
    </row>
    <row r="922" spans="2:9" ht="12.75">
      <c r="B922" s="1924"/>
      <c r="C922" s="1924"/>
      <c r="D922" s="1924"/>
      <c r="E922" s="1924"/>
      <c r="F922" s="1924"/>
      <c r="G922" s="1924"/>
      <c r="H922" s="1924"/>
      <c r="I922" s="1924"/>
    </row>
    <row r="923" spans="2:9" ht="12.75">
      <c r="B923" s="1924"/>
      <c r="C923" s="1924"/>
      <c r="D923" s="1924"/>
      <c r="E923" s="1924"/>
      <c r="F923" s="1924"/>
      <c r="G923" s="1924"/>
      <c r="H923" s="1924"/>
      <c r="I923" s="1924"/>
    </row>
    <row r="924" spans="2:9" ht="12.75">
      <c r="B924" s="1924"/>
      <c r="C924" s="1924"/>
      <c r="D924" s="1924"/>
      <c r="E924" s="1924"/>
      <c r="F924" s="1924"/>
      <c r="G924" s="1924"/>
      <c r="H924" s="1924"/>
      <c r="I924" s="1924"/>
    </row>
    <row r="925" spans="2:9" ht="12.75">
      <c r="B925" s="1924"/>
      <c r="C925" s="1924"/>
      <c r="D925" s="1924"/>
      <c r="E925" s="1924"/>
      <c r="F925" s="1924"/>
      <c r="G925" s="1924"/>
      <c r="H925" s="1924"/>
      <c r="I925" s="1924"/>
    </row>
    <row r="926" spans="2:9" ht="12.75">
      <c r="B926" s="1924"/>
      <c r="C926" s="1924"/>
      <c r="D926" s="1924"/>
      <c r="E926" s="1924"/>
      <c r="F926" s="1924"/>
      <c r="G926" s="1924"/>
      <c r="H926" s="1924"/>
      <c r="I926" s="1924"/>
    </row>
    <row r="927" spans="2:9" ht="12.75">
      <c r="B927" s="1924"/>
      <c r="C927" s="1924"/>
      <c r="D927" s="1924"/>
      <c r="E927" s="1924"/>
      <c r="F927" s="1924"/>
      <c r="G927" s="1924"/>
      <c r="H927" s="1924"/>
      <c r="I927" s="1924"/>
    </row>
    <row r="928" spans="2:9" ht="12.75">
      <c r="B928" s="1924"/>
      <c r="C928" s="1924"/>
      <c r="D928" s="1924"/>
      <c r="E928" s="1924"/>
      <c r="F928" s="1924"/>
      <c r="G928" s="1924"/>
      <c r="H928" s="1924"/>
      <c r="I928" s="1924"/>
    </row>
    <row r="929" spans="2:9" ht="12.75">
      <c r="B929" s="1924"/>
      <c r="C929" s="1924"/>
      <c r="D929" s="1924"/>
      <c r="E929" s="1924"/>
      <c r="F929" s="1924"/>
      <c r="G929" s="1924"/>
      <c r="H929" s="1924"/>
      <c r="I929" s="1924"/>
    </row>
    <row r="930" spans="2:9" ht="12.75">
      <c r="B930" s="1924"/>
      <c r="C930" s="1924"/>
      <c r="D930" s="1924"/>
      <c r="E930" s="1924"/>
      <c r="F930" s="1924"/>
      <c r="G930" s="1924"/>
      <c r="H930" s="1924"/>
      <c r="I930" s="1924"/>
    </row>
    <row r="931" spans="2:9" ht="12.75">
      <c r="B931" s="1924"/>
      <c r="C931" s="1924"/>
      <c r="D931" s="1924"/>
      <c r="E931" s="1924"/>
      <c r="F931" s="1924"/>
      <c r="G931" s="1924"/>
      <c r="H931" s="1924"/>
      <c r="I931" s="1924"/>
    </row>
    <row r="932" spans="2:9" ht="12.75">
      <c r="B932" s="1924"/>
      <c r="C932" s="1924"/>
      <c r="D932" s="1924"/>
      <c r="E932" s="1924"/>
      <c r="F932" s="1924"/>
      <c r="G932" s="1924"/>
      <c r="H932" s="1924"/>
      <c r="I932" s="1924"/>
    </row>
    <row r="933" spans="2:9" ht="12.75">
      <c r="B933" s="1924"/>
      <c r="C933" s="1924"/>
      <c r="D933" s="1924"/>
      <c r="E933" s="1924"/>
      <c r="F933" s="1924"/>
      <c r="G933" s="1924"/>
      <c r="H933" s="1924"/>
      <c r="I933" s="1924"/>
    </row>
    <row r="934" spans="2:9" ht="12.75">
      <c r="B934" s="1924"/>
      <c r="C934" s="1924"/>
      <c r="D934" s="1924"/>
      <c r="E934" s="1924"/>
      <c r="F934" s="1924"/>
      <c r="G934" s="1924"/>
      <c r="H934" s="1924"/>
      <c r="I934" s="1924"/>
    </row>
    <row r="935" spans="2:9" ht="12.75">
      <c r="B935" s="1924"/>
      <c r="C935" s="1924"/>
      <c r="D935" s="1924"/>
      <c r="E935" s="1924"/>
      <c r="F935" s="1924"/>
      <c r="G935" s="1924"/>
      <c r="H935" s="1924"/>
      <c r="I935" s="1924"/>
    </row>
    <row r="936" spans="2:9" ht="12.75">
      <c r="B936" s="1924"/>
      <c r="C936" s="1924"/>
      <c r="D936" s="1924"/>
      <c r="E936" s="1924"/>
      <c r="F936" s="1924"/>
      <c r="G936" s="1924"/>
      <c r="H936" s="1924"/>
      <c r="I936" s="1924"/>
    </row>
    <row r="937" spans="2:9" ht="12.75">
      <c r="B937" s="1924"/>
      <c r="C937" s="1924"/>
      <c r="D937" s="1924"/>
      <c r="E937" s="1924"/>
      <c r="F937" s="1924"/>
      <c r="G937" s="1924"/>
      <c r="H937" s="1924"/>
      <c r="I937" s="1924"/>
    </row>
    <row r="938" spans="2:9" ht="12.75">
      <c r="B938" s="1924"/>
      <c r="C938" s="1924"/>
      <c r="D938" s="1924"/>
      <c r="E938" s="1924"/>
      <c r="F938" s="1924"/>
      <c r="G938" s="1924"/>
      <c r="H938" s="1924"/>
      <c r="I938" s="1924"/>
    </row>
    <row r="939" spans="2:9" ht="12.75">
      <c r="B939" s="1924"/>
      <c r="C939" s="1924"/>
      <c r="D939" s="1924"/>
      <c r="E939" s="1924"/>
      <c r="F939" s="1924"/>
      <c r="G939" s="1924"/>
      <c r="H939" s="1924"/>
      <c r="I939" s="1924"/>
    </row>
    <row r="940" spans="2:9" ht="12.75">
      <c r="B940" s="1924"/>
      <c r="C940" s="1924"/>
      <c r="D940" s="1924"/>
      <c r="E940" s="1924"/>
      <c r="F940" s="1924"/>
      <c r="G940" s="1924"/>
      <c r="H940" s="1924"/>
      <c r="I940" s="1924"/>
    </row>
    <row r="941" spans="2:9" ht="12.75">
      <c r="B941" s="1924"/>
      <c r="C941" s="1924"/>
      <c r="D941" s="1924"/>
      <c r="E941" s="1924"/>
      <c r="F941" s="1924"/>
      <c r="G941" s="1924"/>
      <c r="H941" s="1924"/>
      <c r="I941" s="1924"/>
    </row>
    <row r="942" spans="2:9" ht="12.75">
      <c r="B942" s="1924"/>
      <c r="C942" s="1924"/>
      <c r="D942" s="1924"/>
      <c r="E942" s="1924"/>
      <c r="F942" s="1924"/>
      <c r="G942" s="1924"/>
      <c r="H942" s="1924"/>
      <c r="I942" s="1924"/>
    </row>
    <row r="943" spans="2:9" ht="12.75">
      <c r="B943" s="1924"/>
      <c r="C943" s="1924"/>
      <c r="D943" s="1924"/>
      <c r="E943" s="1924"/>
      <c r="F943" s="1924"/>
      <c r="G943" s="1924"/>
      <c r="H943" s="1924"/>
      <c r="I943" s="1924"/>
    </row>
    <row r="944" spans="2:9" ht="12.75">
      <c r="B944" s="1924"/>
      <c r="C944" s="1924"/>
      <c r="D944" s="1924"/>
      <c r="E944" s="1924"/>
      <c r="F944" s="1924"/>
      <c r="G944" s="1924"/>
      <c r="H944" s="1924"/>
      <c r="I944" s="1924"/>
    </row>
    <row r="945" spans="2:9" ht="12.75">
      <c r="B945" s="1924"/>
      <c r="C945" s="1924"/>
      <c r="D945" s="1924"/>
      <c r="E945" s="1924"/>
      <c r="F945" s="1924"/>
      <c r="G945" s="1924"/>
      <c r="H945" s="1924"/>
      <c r="I945" s="1924"/>
    </row>
    <row r="946" spans="2:9" ht="12.75">
      <c r="B946" s="1924"/>
      <c r="C946" s="1924"/>
      <c r="D946" s="1924"/>
      <c r="E946" s="1924"/>
      <c r="F946" s="1924"/>
      <c r="G946" s="1924"/>
      <c r="H946" s="1924"/>
      <c r="I946" s="1924"/>
    </row>
    <row r="947" spans="2:9" ht="12.75">
      <c r="B947" s="1924"/>
      <c r="C947" s="1924"/>
      <c r="D947" s="1924"/>
      <c r="E947" s="1924"/>
      <c r="F947" s="1924"/>
      <c r="G947" s="1924"/>
      <c r="H947" s="1924"/>
      <c r="I947" s="1924"/>
    </row>
    <row r="948" spans="2:9" ht="12.75">
      <c r="B948" s="1924"/>
      <c r="C948" s="1924"/>
      <c r="D948" s="1924"/>
      <c r="E948" s="1924"/>
      <c r="F948" s="1924"/>
      <c r="G948" s="1924"/>
      <c r="H948" s="1924"/>
      <c r="I948" s="1924"/>
    </row>
    <row r="949" spans="2:9" ht="12.75">
      <c r="B949" s="1924"/>
      <c r="C949" s="1924"/>
      <c r="D949" s="1924"/>
      <c r="E949" s="1924"/>
      <c r="F949" s="1924"/>
      <c r="G949" s="1924"/>
      <c r="H949" s="1924"/>
      <c r="I949" s="1924"/>
    </row>
    <row r="950" spans="2:9" ht="12.75">
      <c r="B950" s="1924"/>
      <c r="C950" s="1924"/>
      <c r="D950" s="1924"/>
      <c r="E950" s="1924"/>
      <c r="F950" s="1924"/>
      <c r="G950" s="1924"/>
      <c r="H950" s="1924"/>
      <c r="I950" s="1924"/>
    </row>
    <row r="951" spans="2:9" ht="12.75">
      <c r="B951" s="1924"/>
      <c r="C951" s="1924"/>
      <c r="D951" s="1924"/>
      <c r="E951" s="1924"/>
      <c r="F951" s="1924"/>
      <c r="G951" s="1924"/>
      <c r="H951" s="1924"/>
      <c r="I951" s="1924"/>
    </row>
    <row r="952" spans="2:9" ht="12.75">
      <c r="B952" s="1924"/>
      <c r="C952" s="1924"/>
      <c r="D952" s="1924"/>
      <c r="E952" s="1924"/>
      <c r="F952" s="1924"/>
      <c r="G952" s="1924"/>
      <c r="H952" s="1924"/>
      <c r="I952" s="1924"/>
    </row>
    <row r="953" spans="2:9" ht="12.75">
      <c r="B953" s="1924"/>
      <c r="C953" s="1924"/>
      <c r="D953" s="1924"/>
      <c r="E953" s="1924"/>
      <c r="F953" s="1924"/>
      <c r="G953" s="1924"/>
      <c r="H953" s="1924"/>
      <c r="I953" s="1924"/>
    </row>
    <row r="954" spans="2:9" ht="12.75">
      <c r="B954" s="1924"/>
      <c r="C954" s="1924"/>
      <c r="D954" s="1924"/>
      <c r="E954" s="1924"/>
      <c r="F954" s="1924"/>
      <c r="G954" s="1924"/>
      <c r="H954" s="1924"/>
      <c r="I954" s="1924"/>
    </row>
    <row r="955" spans="2:9" ht="12.75">
      <c r="B955" s="1924"/>
      <c r="C955" s="1924"/>
      <c r="D955" s="1924"/>
      <c r="E955" s="1924"/>
      <c r="F955" s="1924"/>
      <c r="G955" s="1924"/>
      <c r="H955" s="1924"/>
      <c r="I955" s="1924"/>
    </row>
    <row r="956" spans="2:9" ht="12.75">
      <c r="B956" s="1924"/>
      <c r="C956" s="1924"/>
      <c r="D956" s="1924"/>
      <c r="E956" s="1924"/>
      <c r="F956" s="1924"/>
      <c r="G956" s="1924"/>
      <c r="H956" s="1924"/>
      <c r="I956" s="1924"/>
    </row>
    <row r="957" spans="2:9" ht="12.75">
      <c r="B957" s="1924"/>
      <c r="C957" s="1924"/>
      <c r="D957" s="1924"/>
      <c r="E957" s="1924"/>
      <c r="F957" s="1924"/>
      <c r="G957" s="1924"/>
      <c r="H957" s="1924"/>
      <c r="I957" s="1924"/>
    </row>
    <row r="958" spans="2:9" ht="12.75">
      <c r="B958" s="1924"/>
      <c r="C958" s="1924"/>
      <c r="D958" s="1924"/>
      <c r="E958" s="1924"/>
      <c r="F958" s="1924"/>
      <c r="G958" s="1924"/>
      <c r="H958" s="1924"/>
      <c r="I958" s="1924"/>
    </row>
    <row r="959" spans="2:9" ht="12.75">
      <c r="B959" s="1924"/>
      <c r="C959" s="1924"/>
      <c r="D959" s="1924"/>
      <c r="E959" s="1924"/>
      <c r="F959" s="1924"/>
      <c r="G959" s="1924"/>
      <c r="H959" s="1924"/>
      <c r="I959" s="1924"/>
    </row>
    <row r="960" spans="2:9" ht="12.75">
      <c r="B960" s="1924"/>
      <c r="C960" s="1924"/>
      <c r="D960" s="1924"/>
      <c r="E960" s="1924"/>
      <c r="F960" s="1924"/>
      <c r="G960" s="1924"/>
      <c r="H960" s="1924"/>
      <c r="I960" s="1924"/>
    </row>
    <row r="961" spans="2:9" ht="12.75">
      <c r="B961" s="1924"/>
      <c r="C961" s="1924"/>
      <c r="D961" s="1924"/>
      <c r="E961" s="1924"/>
      <c r="F961" s="1924"/>
      <c r="G961" s="1924"/>
      <c r="H961" s="1924"/>
      <c r="I961" s="1924"/>
    </row>
    <row r="962" spans="2:9" ht="12.75">
      <c r="B962" s="1924"/>
      <c r="C962" s="1924"/>
      <c r="D962" s="1924"/>
      <c r="E962" s="1924"/>
      <c r="F962" s="1924"/>
      <c r="G962" s="1924"/>
      <c r="H962" s="1924"/>
      <c r="I962" s="1924"/>
    </row>
    <row r="963" spans="2:9" ht="12.75">
      <c r="B963" s="1924"/>
      <c r="C963" s="1924"/>
      <c r="D963" s="1924"/>
      <c r="E963" s="1924"/>
      <c r="F963" s="1924"/>
      <c r="G963" s="1924"/>
      <c r="H963" s="1924"/>
      <c r="I963" s="1924"/>
    </row>
    <row r="964" spans="2:9" ht="12.75">
      <c r="B964" s="1924"/>
      <c r="C964" s="1924"/>
      <c r="D964" s="1924"/>
      <c r="E964" s="1924"/>
      <c r="F964" s="1924"/>
      <c r="G964" s="1924"/>
      <c r="H964" s="1924"/>
      <c r="I964" s="1924"/>
    </row>
    <row r="965" spans="2:9" ht="12.75">
      <c r="B965" s="1924"/>
      <c r="C965" s="1924"/>
      <c r="D965" s="1924"/>
      <c r="E965" s="1924"/>
      <c r="F965" s="1924"/>
      <c r="G965" s="1924"/>
      <c r="H965" s="1924"/>
      <c r="I965" s="1924"/>
    </row>
    <row r="966" spans="2:9" ht="12.75">
      <c r="B966" s="1924"/>
      <c r="C966" s="1924"/>
      <c r="D966" s="1924"/>
      <c r="E966" s="1924"/>
      <c r="F966" s="1924"/>
      <c r="G966" s="1924"/>
      <c r="H966" s="1924"/>
      <c r="I966" s="1924"/>
    </row>
    <row r="967" spans="2:9" ht="12.75">
      <c r="B967" s="1924"/>
      <c r="C967" s="1924"/>
      <c r="D967" s="1924"/>
      <c r="E967" s="1924"/>
      <c r="F967" s="1924"/>
      <c r="G967" s="1924"/>
      <c r="H967" s="1924"/>
      <c r="I967" s="1924"/>
    </row>
    <row r="968" spans="2:9" ht="12.75">
      <c r="B968" s="1924"/>
      <c r="C968" s="1924"/>
      <c r="D968" s="1924"/>
      <c r="E968" s="1924"/>
      <c r="F968" s="1924"/>
      <c r="G968" s="1924"/>
      <c r="H968" s="1924"/>
      <c r="I968" s="1924"/>
    </row>
    <row r="969" spans="2:9" ht="12.75">
      <c r="B969" s="1924"/>
      <c r="C969" s="1924"/>
      <c r="D969" s="1924"/>
      <c r="E969" s="1924"/>
      <c r="F969" s="1924"/>
      <c r="G969" s="1924"/>
      <c r="H969" s="1924"/>
      <c r="I969" s="1924"/>
    </row>
    <row r="970" spans="2:9" ht="12.75">
      <c r="B970" s="1924"/>
      <c r="C970" s="1924"/>
      <c r="D970" s="1924"/>
      <c r="E970" s="1924"/>
      <c r="F970" s="1924"/>
      <c r="G970" s="1924"/>
      <c r="H970" s="1924"/>
      <c r="I970" s="1924"/>
    </row>
    <row r="971" spans="2:9" ht="12.75">
      <c r="B971" s="1924"/>
      <c r="C971" s="1924"/>
      <c r="D971" s="1924"/>
      <c r="E971" s="1924"/>
      <c r="F971" s="1924"/>
      <c r="G971" s="1924"/>
      <c r="H971" s="1924"/>
      <c r="I971" s="1924"/>
    </row>
    <row r="972" spans="2:9" ht="12.75">
      <c r="B972" s="1924"/>
      <c r="C972" s="1924"/>
      <c r="D972" s="1924"/>
      <c r="E972" s="1924"/>
      <c r="F972" s="1924"/>
      <c r="G972" s="1924"/>
      <c r="H972" s="1924"/>
      <c r="I972" s="1924"/>
    </row>
    <row r="973" spans="2:9" ht="12.75">
      <c r="B973" s="1924"/>
      <c r="C973" s="1924"/>
      <c r="D973" s="1924"/>
      <c r="E973" s="1924"/>
      <c r="F973" s="1924"/>
      <c r="G973" s="1924"/>
      <c r="H973" s="1924"/>
      <c r="I973" s="1924"/>
    </row>
    <row r="974" spans="2:9" ht="12.75">
      <c r="B974" s="1924"/>
      <c r="C974" s="1924"/>
      <c r="D974" s="1924"/>
      <c r="E974" s="1924"/>
      <c r="F974" s="1924"/>
      <c r="G974" s="1924"/>
      <c r="H974" s="1924"/>
      <c r="I974" s="1924"/>
    </row>
    <row r="975" spans="2:9" ht="12.75">
      <c r="B975" s="1924"/>
      <c r="C975" s="1924"/>
      <c r="D975" s="1924"/>
      <c r="E975" s="1924"/>
      <c r="F975" s="1924"/>
      <c r="G975" s="1924"/>
      <c r="H975" s="1924"/>
      <c r="I975" s="1924"/>
    </row>
    <row r="976" spans="2:9" ht="12.75">
      <c r="B976" s="1924"/>
      <c r="C976" s="1924"/>
      <c r="D976" s="1924"/>
      <c r="E976" s="1924"/>
      <c r="F976" s="1924"/>
      <c r="G976" s="1924"/>
      <c r="H976" s="1924"/>
      <c r="I976" s="1924"/>
    </row>
    <row r="977" spans="2:9" ht="12.75">
      <c r="B977" s="1924"/>
      <c r="C977" s="1924"/>
      <c r="D977" s="1924"/>
      <c r="E977" s="1924"/>
      <c r="F977" s="1924"/>
      <c r="G977" s="1924"/>
      <c r="H977" s="1924"/>
      <c r="I977" s="1924"/>
    </row>
    <row r="978" spans="2:9" ht="12.75">
      <c r="B978" s="1924"/>
      <c r="C978" s="1924"/>
      <c r="D978" s="1924"/>
      <c r="E978" s="1924"/>
      <c r="F978" s="1924"/>
      <c r="G978" s="1924"/>
      <c r="H978" s="1924"/>
      <c r="I978" s="1924"/>
    </row>
    <row r="979" spans="2:9" ht="12.75">
      <c r="B979" s="1924"/>
      <c r="C979" s="1924"/>
      <c r="D979" s="1924"/>
      <c r="E979" s="1924"/>
      <c r="F979" s="1924"/>
      <c r="G979" s="1924"/>
      <c r="H979" s="1924"/>
      <c r="I979" s="1924"/>
    </row>
    <row r="980" spans="2:9" ht="12.75">
      <c r="B980" s="1924"/>
      <c r="C980" s="1924"/>
      <c r="D980" s="1924"/>
      <c r="E980" s="1924"/>
      <c r="F980" s="1924"/>
      <c r="G980" s="1924"/>
      <c r="H980" s="1924"/>
      <c r="I980" s="1924"/>
    </row>
    <row r="981" spans="2:9" ht="12.75">
      <c r="B981" s="1924"/>
      <c r="C981" s="1924"/>
      <c r="D981" s="1924"/>
      <c r="E981" s="1924"/>
      <c r="F981" s="1924"/>
      <c r="G981" s="1924"/>
      <c r="H981" s="1924"/>
      <c r="I981" s="1924"/>
    </row>
    <row r="982" spans="2:9" ht="12.75">
      <c r="B982" s="1924"/>
      <c r="C982" s="1924"/>
      <c r="D982" s="1924"/>
      <c r="E982" s="1924"/>
      <c r="F982" s="1924"/>
      <c r="G982" s="1924"/>
      <c r="H982" s="1924"/>
      <c r="I982" s="1924"/>
    </row>
    <row r="983" spans="2:9" ht="12.75">
      <c r="B983" s="1924"/>
      <c r="C983" s="1924"/>
      <c r="D983" s="1924"/>
      <c r="E983" s="1924"/>
      <c r="F983" s="1924"/>
      <c r="G983" s="1924"/>
      <c r="H983" s="1924"/>
      <c r="I983" s="1924"/>
    </row>
    <row r="984" spans="2:9" ht="12.75">
      <c r="B984" s="1924"/>
      <c r="C984" s="1924"/>
      <c r="D984" s="1924"/>
      <c r="E984" s="1924"/>
      <c r="F984" s="1924"/>
      <c r="G984" s="1924"/>
      <c r="H984" s="1924"/>
      <c r="I984" s="1924"/>
    </row>
    <row r="985" spans="2:9" ht="12.75">
      <c r="B985" s="1924"/>
      <c r="C985" s="1924"/>
      <c r="D985" s="1924"/>
      <c r="E985" s="1924"/>
      <c r="F985" s="1924"/>
      <c r="G985" s="1924"/>
      <c r="H985" s="1924"/>
      <c r="I985" s="1924"/>
    </row>
    <row r="986" spans="2:9" ht="12.75">
      <c r="B986" s="1924"/>
      <c r="C986" s="1924"/>
      <c r="D986" s="1924"/>
      <c r="E986" s="1924"/>
      <c r="F986" s="1924"/>
      <c r="G986" s="1924"/>
      <c r="H986" s="1924"/>
      <c r="I986" s="1924"/>
    </row>
    <row r="987" spans="2:9" ht="12.75">
      <c r="B987" s="1924"/>
      <c r="C987" s="1924"/>
      <c r="D987" s="1924"/>
      <c r="E987" s="1924"/>
      <c r="F987" s="1924"/>
      <c r="G987" s="1924"/>
      <c r="H987" s="1924"/>
      <c r="I987" s="1924"/>
    </row>
    <row r="988" spans="2:9" ht="12.75">
      <c r="B988" s="1924"/>
      <c r="C988" s="1924"/>
      <c r="D988" s="1924"/>
      <c r="E988" s="1924"/>
      <c r="F988" s="1924"/>
      <c r="G988" s="1924"/>
      <c r="H988" s="1924"/>
      <c r="I988" s="1924"/>
    </row>
    <row r="989" spans="2:9" ht="12.75">
      <c r="B989" s="1924"/>
      <c r="C989" s="1924"/>
      <c r="D989" s="1924"/>
      <c r="E989" s="1924"/>
      <c r="F989" s="1924"/>
      <c r="G989" s="1924"/>
      <c r="H989" s="1924"/>
      <c r="I989" s="1924"/>
    </row>
    <row r="990" spans="2:9" ht="12.75">
      <c r="B990" s="1924"/>
      <c r="C990" s="1924"/>
      <c r="D990" s="1924"/>
      <c r="E990" s="1924"/>
      <c r="F990" s="1924"/>
      <c r="G990" s="1924"/>
      <c r="H990" s="1924"/>
      <c r="I990" s="1924"/>
    </row>
    <row r="991" spans="2:9" ht="12.75">
      <c r="B991" s="1924"/>
      <c r="C991" s="1924"/>
      <c r="D991" s="1924"/>
      <c r="E991" s="1924"/>
      <c r="F991" s="1924"/>
      <c r="G991" s="1924"/>
      <c r="H991" s="1924"/>
      <c r="I991" s="1924"/>
    </row>
    <row r="992" spans="2:9" ht="12.75">
      <c r="B992" s="1924"/>
      <c r="C992" s="1924"/>
      <c r="D992" s="1924"/>
      <c r="E992" s="1924"/>
      <c r="F992" s="1924"/>
      <c r="G992" s="1924"/>
      <c r="H992" s="1924"/>
      <c r="I992" s="1924"/>
    </row>
    <row r="993" spans="2:9" ht="12.75">
      <c r="B993" s="1924"/>
      <c r="C993" s="1924"/>
      <c r="D993" s="1924"/>
      <c r="E993" s="1924"/>
      <c r="F993" s="1924"/>
      <c r="G993" s="1924"/>
      <c r="H993" s="1924"/>
      <c r="I993" s="1924"/>
    </row>
    <row r="994" spans="2:9" ht="12.75">
      <c r="B994" s="1924"/>
      <c r="C994" s="1924"/>
      <c r="D994" s="1924"/>
      <c r="E994" s="1924"/>
      <c r="F994" s="1924"/>
      <c r="G994" s="1924"/>
      <c r="H994" s="1924"/>
      <c r="I994" s="1924"/>
    </row>
    <row r="995" spans="2:9" ht="12.75">
      <c r="B995" s="1924"/>
      <c r="C995" s="1924"/>
      <c r="D995" s="1924"/>
      <c r="E995" s="1924"/>
      <c r="F995" s="1924"/>
      <c r="G995" s="1924"/>
      <c r="H995" s="1924"/>
      <c r="I995" s="1924"/>
    </row>
    <row r="996" spans="2:9" ht="12.75">
      <c r="B996" s="1924"/>
      <c r="C996" s="1924"/>
      <c r="D996" s="1924"/>
      <c r="E996" s="1924"/>
      <c r="F996" s="1924"/>
      <c r="G996" s="1924"/>
      <c r="H996" s="1924"/>
      <c r="I996" s="1924"/>
    </row>
    <row r="997" spans="2:9" ht="12.75">
      <c r="B997" s="1924"/>
      <c r="C997" s="1924"/>
      <c r="D997" s="1924"/>
      <c r="E997" s="1924"/>
      <c r="F997" s="1924"/>
      <c r="G997" s="1924"/>
      <c r="H997" s="1924"/>
      <c r="I997" s="1924"/>
    </row>
    <row r="998" spans="2:9" ht="12.75">
      <c r="B998" s="1924"/>
      <c r="C998" s="1924"/>
      <c r="D998" s="1924"/>
      <c r="E998" s="1924"/>
      <c r="F998" s="1924"/>
      <c r="G998" s="1924"/>
      <c r="H998" s="1924"/>
      <c r="I998" s="1924"/>
    </row>
    <row r="999" spans="2:9" ht="12.75">
      <c r="B999" s="1924"/>
      <c r="C999" s="1924"/>
      <c r="D999" s="1924"/>
      <c r="E999" s="1924"/>
      <c r="F999" s="1924"/>
      <c r="G999" s="1924"/>
      <c r="H999" s="1924"/>
      <c r="I999" s="1924"/>
    </row>
    <row r="1000" spans="2:9" ht="12.75">
      <c r="B1000" s="1924"/>
      <c r="C1000" s="1924"/>
      <c r="D1000" s="1924"/>
      <c r="E1000" s="1924"/>
      <c r="F1000" s="1924"/>
      <c r="G1000" s="1924"/>
      <c r="H1000" s="1924"/>
      <c r="I1000" s="1924"/>
    </row>
    <row r="1001" spans="2:9" ht="12.75">
      <c r="B1001" s="1924"/>
      <c r="C1001" s="1924"/>
      <c r="D1001" s="1924"/>
      <c r="E1001" s="1924"/>
      <c r="F1001" s="1924"/>
      <c r="G1001" s="1924"/>
      <c r="H1001" s="1924"/>
      <c r="I1001" s="1924"/>
    </row>
    <row r="1002" spans="2:9" ht="12.75">
      <c r="B1002" s="1924"/>
      <c r="C1002" s="1924"/>
      <c r="D1002" s="1924"/>
      <c r="E1002" s="1924"/>
      <c r="F1002" s="1924"/>
      <c r="G1002" s="1924"/>
      <c r="H1002" s="1924"/>
      <c r="I1002" s="1924"/>
    </row>
    <row r="1003" spans="2:9" ht="12.75">
      <c r="B1003" s="1924"/>
      <c r="C1003" s="1924"/>
      <c r="D1003" s="1924"/>
      <c r="E1003" s="1924"/>
      <c r="F1003" s="1924"/>
      <c r="G1003" s="1924"/>
      <c r="H1003" s="1924"/>
      <c r="I1003" s="1924"/>
    </row>
    <row r="1004" spans="2:9" ht="12.75">
      <c r="I1004" s="1924"/>
    </row>
    <row r="1005" spans="2:9" ht="12.75">
      <c r="I1005" s="1924"/>
    </row>
    <row r="1006" spans="2:9" ht="12.75">
      <c r="I1006" s="1924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5B99-D00E-4867-9965-0A516D33CC10}">
  <sheetPr>
    <tabColor theme="3" tint="0.59999389629810485"/>
  </sheetPr>
  <dimension ref="A2:O136"/>
  <sheetViews>
    <sheetView showGridLines="0" zoomScaleNormal="100" workbookViewId="0">
      <selection activeCell="E20" sqref="E20"/>
    </sheetView>
  </sheetViews>
  <sheetFormatPr defaultColWidth="12.42578125" defaultRowHeight="12.75"/>
  <cols>
    <col min="1" max="1" width="2.42578125" style="1485" customWidth="1"/>
    <col min="2" max="2" width="20.42578125" style="1485" customWidth="1"/>
    <col min="3" max="14" width="12.42578125" style="1485"/>
    <col min="15" max="15" width="2.42578125" style="1485" customWidth="1"/>
    <col min="16" max="16384" width="12.42578125" style="1485"/>
  </cols>
  <sheetData>
    <row r="2" spans="1:15" ht="16.5" thickBot="1">
      <c r="B2" s="1482" t="s">
        <v>876</v>
      </c>
      <c r="C2" s="1483"/>
      <c r="D2" s="1483"/>
      <c r="E2" s="1483"/>
      <c r="F2" s="1483"/>
      <c r="G2" s="1483"/>
      <c r="H2" s="1483"/>
      <c r="I2" s="1483"/>
      <c r="J2" s="1483"/>
      <c r="K2" s="1483"/>
      <c r="L2" s="1483"/>
      <c r="M2" s="1483"/>
      <c r="N2" s="1483"/>
      <c r="O2" s="1483"/>
    </row>
    <row r="3" spans="1:15" ht="15" thickTop="1">
      <c r="B3" s="1486" t="s">
        <v>1140</v>
      </c>
    </row>
    <row r="4" spans="1:15">
      <c r="B4" s="1506"/>
    </row>
    <row r="5" spans="1:15">
      <c r="B5" s="1507" t="s">
        <v>877</v>
      </c>
      <c r="C5" s="1508"/>
      <c r="D5" s="1508"/>
      <c r="E5" s="1508"/>
      <c r="F5" s="1508"/>
      <c r="G5" s="1508"/>
      <c r="H5" s="1508"/>
      <c r="I5" s="1508"/>
      <c r="J5" s="1508"/>
      <c r="K5" s="1508"/>
      <c r="L5" s="1508"/>
      <c r="M5" s="1508"/>
      <c r="N5" s="1509"/>
    </row>
    <row r="6" spans="1:15">
      <c r="B6" s="1506"/>
      <c r="C6" s="1510"/>
      <c r="D6" s="1510"/>
    </row>
    <row r="7" spans="1:15">
      <c r="B7" s="1506" t="s">
        <v>878</v>
      </c>
      <c r="C7" s="1511">
        <v>1</v>
      </c>
      <c r="D7" s="1511">
        <v>2</v>
      </c>
      <c r="E7" s="1511">
        <v>3</v>
      </c>
      <c r="F7" s="1511">
        <v>4</v>
      </c>
      <c r="G7" s="1511">
        <v>5</v>
      </c>
      <c r="H7" s="1511">
        <v>6</v>
      </c>
      <c r="I7" s="1511">
        <v>7</v>
      </c>
      <c r="J7" s="1511">
        <v>8</v>
      </c>
      <c r="K7" s="1511">
        <v>9</v>
      </c>
      <c r="L7" s="1511">
        <v>10</v>
      </c>
      <c r="M7" s="1511">
        <v>11</v>
      </c>
      <c r="N7" s="1511">
        <v>12</v>
      </c>
    </row>
    <row r="8" spans="1:15">
      <c r="B8" s="1512" t="s">
        <v>380</v>
      </c>
      <c r="C8" s="1513" t="s">
        <v>417</v>
      </c>
      <c r="D8" s="1513" t="s">
        <v>418</v>
      </c>
      <c r="E8" s="1513" t="s">
        <v>419</v>
      </c>
      <c r="F8" s="1513" t="s">
        <v>420</v>
      </c>
      <c r="G8" s="1513" t="s">
        <v>421</v>
      </c>
      <c r="H8" s="1513" t="s">
        <v>422</v>
      </c>
      <c r="I8" s="1513" t="s">
        <v>423</v>
      </c>
      <c r="J8" s="1513" t="s">
        <v>424</v>
      </c>
      <c r="K8" s="1513" t="s">
        <v>425</v>
      </c>
      <c r="L8" s="1513" t="s">
        <v>426</v>
      </c>
      <c r="M8" s="1513" t="s">
        <v>427</v>
      </c>
      <c r="N8" s="1492" t="s">
        <v>428</v>
      </c>
    </row>
    <row r="9" spans="1:15">
      <c r="A9" s="1514"/>
      <c r="B9" s="1515" t="str">
        <f>'Assumptions MH'!$G$8</f>
        <v>Nashville</v>
      </c>
      <c r="C9" s="1516">
        <f>_xlfn.XLOOKUP($B$9,$B$21:$B$70,C$21:C$70)</f>
        <v>0.78405741381519933</v>
      </c>
      <c r="D9" s="1516">
        <f t="shared" ref="D9:N9" si="0">_xlfn.SINGLE(_xlfn.XLOOKUP($B$9,$B$21:$B$70,D$21:D$70))</f>
        <v>0.95399205433807499</v>
      </c>
      <c r="E9" s="1516">
        <f t="shared" si="0"/>
        <v>1.0660002563116751</v>
      </c>
      <c r="F9" s="1516">
        <f t="shared" si="0"/>
        <v>1.0713828014866076</v>
      </c>
      <c r="G9" s="1516">
        <f t="shared" si="0"/>
        <v>1.0662565679866716</v>
      </c>
      <c r="H9" s="1516">
        <f t="shared" si="0"/>
        <v>1.0598487761117519</v>
      </c>
      <c r="I9" s="1516">
        <f t="shared" si="0"/>
        <v>1.0229398949122133</v>
      </c>
      <c r="J9" s="1516">
        <f t="shared" si="0"/>
        <v>1.0083301294373959</v>
      </c>
      <c r="K9" s="1516">
        <f t="shared" si="0"/>
        <v>1.0478021273869025</v>
      </c>
      <c r="L9" s="1516">
        <f t="shared" si="0"/>
        <v>1.0993207740612583</v>
      </c>
      <c r="M9" s="1516">
        <f t="shared" si="0"/>
        <v>0.97859797513776758</v>
      </c>
      <c r="N9" s="1517">
        <f t="shared" si="0"/>
        <v>0.84147122901448168</v>
      </c>
    </row>
    <row r="10" spans="1:15">
      <c r="A10" s="1514"/>
      <c r="B10" s="1503"/>
      <c r="C10" s="1518"/>
      <c r="D10" s="1518"/>
      <c r="E10" s="1518"/>
      <c r="F10" s="1518"/>
      <c r="G10" s="1518"/>
      <c r="H10" s="1518"/>
      <c r="I10" s="1518"/>
      <c r="J10" s="1518"/>
      <c r="K10" s="1518"/>
      <c r="L10" s="1518"/>
      <c r="M10" s="1518"/>
      <c r="N10" s="1518"/>
    </row>
    <row r="11" spans="1:15">
      <c r="A11" s="1514"/>
      <c r="B11" s="1507" t="s">
        <v>879</v>
      </c>
      <c r="C11" s="1519"/>
      <c r="D11" s="1519"/>
      <c r="E11" s="1519"/>
      <c r="F11" s="1519"/>
      <c r="G11" s="1519"/>
      <c r="H11" s="1519"/>
      <c r="I11" s="1519"/>
      <c r="J11" s="1519"/>
      <c r="K11" s="1519"/>
      <c r="L11" s="1519"/>
      <c r="M11" s="1519"/>
      <c r="N11" s="1520"/>
    </row>
    <row r="12" spans="1:15">
      <c r="A12" s="1514"/>
      <c r="B12" s="1506"/>
      <c r="C12" s="1521"/>
      <c r="D12" s="1521"/>
      <c r="E12" s="1521"/>
      <c r="F12" s="1521"/>
      <c r="G12" s="1521"/>
      <c r="H12" s="1521"/>
      <c r="I12" s="1521"/>
      <c r="J12" s="1521"/>
      <c r="K12" s="1521"/>
      <c r="L12" s="1521"/>
      <c r="M12" s="1521"/>
      <c r="N12" s="1521"/>
    </row>
    <row r="13" spans="1:15">
      <c r="A13" s="1514"/>
      <c r="B13" s="1506" t="s">
        <v>878</v>
      </c>
      <c r="C13" s="1511">
        <v>1</v>
      </c>
      <c r="D13" s="1511">
        <v>2</v>
      </c>
      <c r="E13" s="1511">
        <v>3</v>
      </c>
      <c r="F13" s="1511">
        <v>4</v>
      </c>
      <c r="G13" s="1511">
        <v>5</v>
      </c>
      <c r="H13" s="1511">
        <v>6</v>
      </c>
      <c r="I13" s="1511">
        <v>7</v>
      </c>
      <c r="J13" s="1511">
        <v>8</v>
      </c>
      <c r="K13" s="1511">
        <v>9</v>
      </c>
      <c r="L13" s="1511">
        <v>10</v>
      </c>
      <c r="M13" s="1511">
        <v>11</v>
      </c>
      <c r="N13" s="1511">
        <v>12</v>
      </c>
    </row>
    <row r="14" spans="1:15">
      <c r="A14" s="1514"/>
      <c r="B14" s="1512" t="s">
        <v>380</v>
      </c>
      <c r="C14" s="1513" t="s">
        <v>417</v>
      </c>
      <c r="D14" s="1513" t="s">
        <v>418</v>
      </c>
      <c r="E14" s="1513" t="s">
        <v>419</v>
      </c>
      <c r="F14" s="1513" t="s">
        <v>420</v>
      </c>
      <c r="G14" s="1513" t="s">
        <v>421</v>
      </c>
      <c r="H14" s="1513" t="s">
        <v>422</v>
      </c>
      <c r="I14" s="1513" t="s">
        <v>423</v>
      </c>
      <c r="J14" s="1513" t="s">
        <v>424</v>
      </c>
      <c r="K14" s="1513" t="s">
        <v>425</v>
      </c>
      <c r="L14" s="1513" t="s">
        <v>426</v>
      </c>
      <c r="M14" s="1513" t="s">
        <v>427</v>
      </c>
      <c r="N14" s="1492" t="s">
        <v>428</v>
      </c>
    </row>
    <row r="15" spans="1:15">
      <c r="A15" s="1514"/>
      <c r="B15" s="1515" t="str">
        <f>B9</f>
        <v>Nashville</v>
      </c>
      <c r="C15" s="1516">
        <f>_xlfn.XLOOKUP($B$15,$B$75:$B$124,C$75:C$124)</f>
        <v>0.88111218437382199</v>
      </c>
      <c r="D15" s="1516">
        <f t="shared" ref="D15:N15" si="1">_xlfn.SINGLE(_xlfn.XLOOKUP($B$15,$B$75:$B$124,D$75:D$124))</f>
        <v>0.96163584978463856</v>
      </c>
      <c r="E15" s="1516">
        <f t="shared" si="1"/>
        <v>1.016255392926722</v>
      </c>
      <c r="F15" s="1516">
        <f t="shared" si="1"/>
        <v>1.034366023998937</v>
      </c>
      <c r="G15" s="1516">
        <f t="shared" si="1"/>
        <v>1.0278752034314205</v>
      </c>
      <c r="H15" s="1516">
        <f t="shared" si="1"/>
        <v>1.0840335777912908</v>
      </c>
      <c r="I15" s="1516">
        <f t="shared" si="1"/>
        <v>0.95598678878226329</v>
      </c>
      <c r="J15" s="1516">
        <f t="shared" si="1"/>
        <v>0.96444177892398109</v>
      </c>
      <c r="K15" s="1516">
        <f t="shared" si="1"/>
        <v>1.0276244685797471</v>
      </c>
      <c r="L15" s="1516">
        <f t="shared" si="1"/>
        <v>1.1094693100981017</v>
      </c>
      <c r="M15" s="1516">
        <f t="shared" si="1"/>
        <v>1.0038820355006832</v>
      </c>
      <c r="N15" s="1517">
        <f t="shared" si="1"/>
        <v>0.93331738580839285</v>
      </c>
    </row>
    <row r="16" spans="1:15">
      <c r="A16" s="1514"/>
      <c r="B16" s="1506"/>
    </row>
    <row r="17" spans="1:14">
      <c r="A17" s="1514"/>
    </row>
    <row r="18" spans="1:14">
      <c r="A18" s="1514"/>
      <c r="B18" s="1507" t="s">
        <v>880</v>
      </c>
      <c r="C18" s="1522"/>
      <c r="D18" s="1522"/>
      <c r="E18" s="1522"/>
      <c r="F18" s="1522"/>
      <c r="G18" s="1522"/>
      <c r="H18" s="1522"/>
      <c r="I18" s="1522"/>
      <c r="J18" s="1522"/>
      <c r="K18" s="1522"/>
      <c r="L18" s="1522"/>
      <c r="M18" s="1522"/>
      <c r="N18" s="1523"/>
    </row>
    <row r="19" spans="1:14">
      <c r="A19" s="1514"/>
      <c r="B19" s="1503"/>
    </row>
    <row r="20" spans="1:14">
      <c r="A20" s="1514"/>
      <c r="B20" s="1512"/>
      <c r="C20" s="1513" t="s">
        <v>417</v>
      </c>
      <c r="D20" s="1513" t="s">
        <v>418</v>
      </c>
      <c r="E20" s="1513" t="s">
        <v>419</v>
      </c>
      <c r="F20" s="1513" t="s">
        <v>420</v>
      </c>
      <c r="G20" s="1513" t="s">
        <v>421</v>
      </c>
      <c r="H20" s="1513" t="s">
        <v>422</v>
      </c>
      <c r="I20" s="1513" t="s">
        <v>423</v>
      </c>
      <c r="J20" s="1513" t="s">
        <v>424</v>
      </c>
      <c r="K20" s="1513" t="s">
        <v>425</v>
      </c>
      <c r="L20" s="1513" t="s">
        <v>426</v>
      </c>
      <c r="M20" s="1513" t="s">
        <v>427</v>
      </c>
      <c r="N20" s="1492" t="s">
        <v>428</v>
      </c>
    </row>
    <row r="21" spans="1:14">
      <c r="A21" s="1514"/>
      <c r="B21" s="1524" t="s">
        <v>881</v>
      </c>
      <c r="C21" s="1525">
        <v>0.74175622414257392</v>
      </c>
      <c r="D21" s="1525">
        <v>0.92888442801537374</v>
      </c>
      <c r="E21" s="1525">
        <v>1.0560846042742784</v>
      </c>
      <c r="F21" s="1525">
        <v>1.0569658987980122</v>
      </c>
      <c r="G21" s="1525">
        <v>1.0587284878454797</v>
      </c>
      <c r="H21" s="1525">
        <v>1.1647775955347746</v>
      </c>
      <c r="I21" s="1525">
        <v>1.0722416705427307</v>
      </c>
      <c r="J21" s="1525">
        <v>1.0522656613380987</v>
      </c>
      <c r="K21" s="1525">
        <v>1.0710666111777523</v>
      </c>
      <c r="L21" s="1525">
        <v>1.1536145315674804</v>
      </c>
      <c r="M21" s="1525">
        <v>0.88070699405126185</v>
      </c>
      <c r="N21" s="1526">
        <v>0.76290729271218405</v>
      </c>
    </row>
    <row r="22" spans="1:14">
      <c r="A22" s="1514"/>
      <c r="B22" s="1524" t="s">
        <v>882</v>
      </c>
      <c r="C22" s="1525">
        <v>0.96018273838849799</v>
      </c>
      <c r="D22" s="1525">
        <v>1.0233349755900925</v>
      </c>
      <c r="E22" s="1525">
        <v>1.0660635105477669</v>
      </c>
      <c r="F22" s="1525">
        <v>1.0743942311998924</v>
      </c>
      <c r="G22" s="1525">
        <v>1.0123169256953464</v>
      </c>
      <c r="H22" s="1525">
        <v>1.0459085412281093</v>
      </c>
      <c r="I22" s="1525">
        <v>1.0504770009405651</v>
      </c>
      <c r="J22" s="1525">
        <v>0.97791911138979704</v>
      </c>
      <c r="K22" s="1525">
        <v>1.0168853854078019</v>
      </c>
      <c r="L22" s="1525">
        <v>1.0577327898956419</v>
      </c>
      <c r="M22" s="1525">
        <v>0.91530434003672678</v>
      </c>
      <c r="N22" s="1526">
        <v>0.79948044967975984</v>
      </c>
    </row>
    <row r="23" spans="1:14">
      <c r="A23" s="1514"/>
      <c r="B23" s="1524" t="s">
        <v>883</v>
      </c>
      <c r="C23" s="1525">
        <v>0.90473469028882947</v>
      </c>
      <c r="D23" s="1525">
        <v>1.0524464764584343</v>
      </c>
      <c r="E23" s="1525">
        <v>1.1120587330197391</v>
      </c>
      <c r="F23" s="1525">
        <v>1.1120587330197391</v>
      </c>
      <c r="G23" s="1525">
        <v>1.0484899107574628</v>
      </c>
      <c r="H23" s="1525">
        <v>1.0598320657669145</v>
      </c>
      <c r="I23" s="1525">
        <v>0.97384270453246602</v>
      </c>
      <c r="J23" s="1525">
        <v>0.9326944212423619</v>
      </c>
      <c r="K23" s="1525">
        <v>0.99520815931771245</v>
      </c>
      <c r="L23" s="1525">
        <v>1.0988701806831673</v>
      </c>
      <c r="M23" s="1525">
        <v>0.96012661010243128</v>
      </c>
      <c r="N23" s="1526">
        <v>0.74963731481074425</v>
      </c>
    </row>
    <row r="24" spans="1:14">
      <c r="A24" s="1514"/>
      <c r="B24" s="1524" t="s">
        <v>884</v>
      </c>
      <c r="C24" s="1525">
        <v>0.75090146441975103</v>
      </c>
      <c r="D24" s="1525">
        <v>0.88924865700198652</v>
      </c>
      <c r="E24" s="1525">
        <v>1.0222974464640515</v>
      </c>
      <c r="F24" s="1525">
        <v>1.0764589005813523</v>
      </c>
      <c r="G24" s="1525">
        <v>1.0976525130620349</v>
      </c>
      <c r="H24" s="1525">
        <v>1.1547575244683195</v>
      </c>
      <c r="I24" s="1525">
        <v>1.0876444182794907</v>
      </c>
      <c r="J24" s="1525">
        <v>1.0882331297372871</v>
      </c>
      <c r="K24" s="1525">
        <v>1.0614467584075351</v>
      </c>
      <c r="L24" s="1525">
        <v>1.1179630583560229</v>
      </c>
      <c r="M24" s="1525">
        <v>0.94605931267937282</v>
      </c>
      <c r="N24" s="1526">
        <v>0.70733681654279179</v>
      </c>
    </row>
    <row r="25" spans="1:14">
      <c r="A25" s="1514"/>
      <c r="B25" s="1524" t="s">
        <v>885</v>
      </c>
      <c r="C25" s="1525">
        <v>0.87838909148565114</v>
      </c>
      <c r="D25" s="1525">
        <v>1.0667512287934044</v>
      </c>
      <c r="E25" s="1525">
        <v>1.069288092595529</v>
      </c>
      <c r="F25" s="1525">
        <v>1.0604090692880928</v>
      </c>
      <c r="G25" s="1525">
        <v>1.0369430791184402</v>
      </c>
      <c r="H25" s="1525">
        <v>1.0943396226415101</v>
      </c>
      <c r="I25" s="1525">
        <v>1.0480418582527353</v>
      </c>
      <c r="J25" s="1525">
        <v>0.97669256381798009</v>
      </c>
      <c r="K25" s="1525">
        <v>0.9529094656730619</v>
      </c>
      <c r="L25" s="1525">
        <v>1.0962422704931032</v>
      </c>
      <c r="M25" s="1525">
        <v>0.92468685587442556</v>
      </c>
      <c r="N25" s="1526">
        <v>0.79530680196606973</v>
      </c>
    </row>
    <row r="26" spans="1:14">
      <c r="A26" s="1514"/>
      <c r="B26" s="1524" t="s">
        <v>886</v>
      </c>
      <c r="C26" s="1525">
        <v>0.73199082334947707</v>
      </c>
      <c r="D26" s="1525">
        <v>0.85771093550853916</v>
      </c>
      <c r="E26" s="1525">
        <v>0.95161865918939559</v>
      </c>
      <c r="F26" s="1525">
        <v>0.9867958195258727</v>
      </c>
      <c r="G26" s="1525">
        <v>1.0516441498852913</v>
      </c>
      <c r="H26" s="1525">
        <v>1.206423655365791</v>
      </c>
      <c r="I26" s="1525">
        <v>1.2162120825898541</v>
      </c>
      <c r="J26" s="1525">
        <v>1.2593423400458827</v>
      </c>
      <c r="K26" s="1525">
        <v>1.1519755289319393</v>
      </c>
      <c r="L26" s="1525">
        <v>1.0219729798623498</v>
      </c>
      <c r="M26" s="1525">
        <v>0.81182768289574259</v>
      </c>
      <c r="N26" s="1526">
        <v>0.75248534284985946</v>
      </c>
    </row>
    <row r="27" spans="1:14">
      <c r="A27" s="1514"/>
      <c r="B27" s="1524" t="s">
        <v>887</v>
      </c>
      <c r="C27" s="1525">
        <v>0.76750629722921893</v>
      </c>
      <c r="D27" s="1525">
        <v>0.82367758186397977</v>
      </c>
      <c r="E27" s="1525">
        <v>0.97430730478589411</v>
      </c>
      <c r="F27" s="1525">
        <v>1.0581863979848865</v>
      </c>
      <c r="G27" s="1525">
        <v>1.0692695214105792</v>
      </c>
      <c r="H27" s="1525">
        <v>1.1163727959697731</v>
      </c>
      <c r="I27" s="1525">
        <v>1.1158690176322417</v>
      </c>
      <c r="J27" s="1525">
        <v>1.1100755667506295</v>
      </c>
      <c r="K27" s="1525">
        <v>1.1050377833753147</v>
      </c>
      <c r="L27" s="1525">
        <v>1.1178841309823677</v>
      </c>
      <c r="M27" s="1525">
        <v>0.96801007556675056</v>
      </c>
      <c r="N27" s="1526">
        <v>0.7738035264483627</v>
      </c>
    </row>
    <row r="28" spans="1:14">
      <c r="A28" s="1514"/>
      <c r="B28" s="1524" t="s">
        <v>888</v>
      </c>
      <c r="C28" s="1525">
        <v>0.78543151227236729</v>
      </c>
      <c r="D28" s="1525">
        <v>0.97651095275798361</v>
      </c>
      <c r="E28" s="1525">
        <v>1.1071522829242544</v>
      </c>
      <c r="F28" s="1525">
        <v>1.1691739245183428</v>
      </c>
      <c r="G28" s="1525">
        <v>1.105040907891264</v>
      </c>
      <c r="H28" s="1525">
        <v>1.1163895486935869</v>
      </c>
      <c r="I28" s="1525">
        <v>1.0657165479018211</v>
      </c>
      <c r="J28" s="1525">
        <v>0.9978886249670097</v>
      </c>
      <c r="K28" s="1525">
        <v>0.90498812351543934</v>
      </c>
      <c r="L28" s="1525">
        <v>1.0071258907363421</v>
      </c>
      <c r="M28" s="1525">
        <v>0.95909210873581419</v>
      </c>
      <c r="N28" s="1526">
        <v>0.80548957508577446</v>
      </c>
    </row>
    <row r="29" spans="1:14">
      <c r="A29" s="1514"/>
      <c r="B29" s="1524" t="s">
        <v>634</v>
      </c>
      <c r="C29" s="1525">
        <v>0.90294997862334359</v>
      </c>
      <c r="D29" s="1525">
        <v>1.0292147641442213</v>
      </c>
      <c r="E29" s="1525">
        <v>1.0694028787231014</v>
      </c>
      <c r="F29" s="1525">
        <v>1.0625623485820153</v>
      </c>
      <c r="G29" s="1525">
        <v>1.0423257802479695</v>
      </c>
      <c r="H29" s="1525">
        <v>1.053726663816446</v>
      </c>
      <c r="I29" s="1525">
        <v>1.007268063274904</v>
      </c>
      <c r="J29" s="1525">
        <v>1.0180989026649567</v>
      </c>
      <c r="K29" s="1525">
        <v>0.99159184836824865</v>
      </c>
      <c r="L29" s="1525">
        <v>1.0944848225737496</v>
      </c>
      <c r="M29" s="1525">
        <v>0.93344734216901826</v>
      </c>
      <c r="N29" s="1526">
        <v>0.79492660681202798</v>
      </c>
    </row>
    <row r="30" spans="1:14">
      <c r="A30" s="1514"/>
      <c r="B30" s="1524" t="s">
        <v>889</v>
      </c>
      <c r="C30" s="1525">
        <v>0.67862725427524895</v>
      </c>
      <c r="D30" s="1525">
        <v>0.77885355668058687</v>
      </c>
      <c r="E30" s="1525">
        <v>0.93647201549121595</v>
      </c>
      <c r="F30" s="1525">
        <v>1.0445372465763012</v>
      </c>
      <c r="G30" s="1525">
        <v>1.1036091734129667</v>
      </c>
      <c r="H30" s="1525">
        <v>1.1951566619228704</v>
      </c>
      <c r="I30" s="1525">
        <v>1.147563166367263</v>
      </c>
      <c r="J30" s="1525">
        <v>1.1246063038051466</v>
      </c>
      <c r="K30" s="1525">
        <v>1.1150876046940248</v>
      </c>
      <c r="L30" s="1525">
        <v>1.1304855003149568</v>
      </c>
      <c r="M30" s="1525">
        <v>0.98770501364813457</v>
      </c>
      <c r="N30" s="1526">
        <v>0.75729650281128236</v>
      </c>
    </row>
    <row r="31" spans="1:14">
      <c r="A31" s="1514"/>
      <c r="B31" s="1524" t="s">
        <v>890</v>
      </c>
      <c r="C31" s="1525">
        <v>0.77823904228615604</v>
      </c>
      <c r="D31" s="1525">
        <v>0.87758254489283671</v>
      </c>
      <c r="E31" s="1525">
        <v>0.95056960803243895</v>
      </c>
      <c r="F31" s="1525">
        <v>1.0588916779301025</v>
      </c>
      <c r="G31" s="1525">
        <v>1.0458582737980309</v>
      </c>
      <c r="H31" s="1525">
        <v>1.1840123575979922</v>
      </c>
      <c r="I31" s="1525">
        <v>1.1092875072407804</v>
      </c>
      <c r="J31" s="1525">
        <v>1.1284031666344858</v>
      </c>
      <c r="K31" s="1525">
        <v>1.1049430391967567</v>
      </c>
      <c r="L31" s="1525">
        <v>1.0948059470940339</v>
      </c>
      <c r="M31" s="1525">
        <v>0.91697238849198714</v>
      </c>
      <c r="N31" s="1526">
        <v>0.75043444680440263</v>
      </c>
    </row>
    <row r="32" spans="1:14">
      <c r="A32" s="1514"/>
      <c r="B32" s="1524" t="s">
        <v>891</v>
      </c>
      <c r="C32" s="1525">
        <v>0.79458806961070327</v>
      </c>
      <c r="D32" s="1525">
        <v>0.89508097776883611</v>
      </c>
      <c r="E32" s="1525">
        <v>0.97776883613318588</v>
      </c>
      <c r="F32" s="1525">
        <v>1.0396338396539586</v>
      </c>
      <c r="G32" s="1525">
        <v>1.0637762800523087</v>
      </c>
      <c r="H32" s="1525">
        <v>1.1295644301378132</v>
      </c>
      <c r="I32" s="1525">
        <v>1.0912383060054323</v>
      </c>
      <c r="J32" s="1525">
        <v>1.145257016396741</v>
      </c>
      <c r="K32" s="1525">
        <v>1.1359018207423799</v>
      </c>
      <c r="L32" s="1525">
        <v>1.0936525500452672</v>
      </c>
      <c r="M32" s="1525">
        <v>0.91379136907755765</v>
      </c>
      <c r="N32" s="1526">
        <v>0.71974650437581733</v>
      </c>
    </row>
    <row r="33" spans="1:14">
      <c r="A33" s="1514"/>
      <c r="B33" s="1524" t="s">
        <v>892</v>
      </c>
      <c r="C33" s="1525">
        <v>0.78566245827891434</v>
      </c>
      <c r="D33" s="1525">
        <v>0.96299521114497144</v>
      </c>
      <c r="E33" s="1525">
        <v>1.0396168915977357</v>
      </c>
      <c r="F33" s="1525">
        <v>1.0564504426062977</v>
      </c>
      <c r="G33" s="1525">
        <v>1.0750253954433318</v>
      </c>
      <c r="H33" s="1525">
        <v>1.1205920766216801</v>
      </c>
      <c r="I33" s="1525">
        <v>1.097373385575388</v>
      </c>
      <c r="J33" s="1525">
        <v>1.048033667102017</v>
      </c>
      <c r="K33" s="1525">
        <v>1.0468727325497023</v>
      </c>
      <c r="L33" s="1525">
        <v>1.118270207517051</v>
      </c>
      <c r="M33" s="1525">
        <v>0.95138586562182548</v>
      </c>
      <c r="N33" s="1526">
        <v>0.69772166594108243</v>
      </c>
    </row>
    <row r="34" spans="1:14">
      <c r="A34" s="1514"/>
      <c r="B34" s="1524" t="s">
        <v>893</v>
      </c>
      <c r="C34" s="1525">
        <v>0.97864192075416123</v>
      </c>
      <c r="D34" s="1525">
        <v>1.0735012520253351</v>
      </c>
      <c r="E34" s="1525">
        <v>1.0743850346148183</v>
      </c>
      <c r="F34" s="1525">
        <v>1.1103255265871264</v>
      </c>
      <c r="G34" s="1525">
        <v>1.0083959346000884</v>
      </c>
      <c r="H34" s="1525">
        <v>1.0357931948740611</v>
      </c>
      <c r="I34" s="1525">
        <v>0.9547797908381207</v>
      </c>
      <c r="J34" s="1525">
        <v>0.92443658859920452</v>
      </c>
      <c r="K34" s="1525">
        <v>1.0299013109441746</v>
      </c>
      <c r="L34" s="1525">
        <v>1.1050228310502286</v>
      </c>
      <c r="M34" s="1525">
        <v>0.95566357342760366</v>
      </c>
      <c r="N34" s="1526">
        <v>0.7491530416850789</v>
      </c>
    </row>
    <row r="35" spans="1:14">
      <c r="A35" s="1514"/>
      <c r="B35" s="1524" t="s">
        <v>894</v>
      </c>
      <c r="C35" s="1525">
        <v>0.81885651456844388</v>
      </c>
      <c r="D35" s="1525">
        <v>0.90049477735019212</v>
      </c>
      <c r="E35" s="1525">
        <v>0.94007696536558505</v>
      </c>
      <c r="F35" s="1525">
        <v>0.98158328752061552</v>
      </c>
      <c r="G35" s="1525">
        <v>1.0557998900494774</v>
      </c>
      <c r="H35" s="1525">
        <v>1.1847168774051671</v>
      </c>
      <c r="I35" s="1525">
        <v>1.1673996701484328</v>
      </c>
      <c r="J35" s="1525">
        <v>1.1503573391973609</v>
      </c>
      <c r="K35" s="1525">
        <v>1.1269928532160522</v>
      </c>
      <c r="L35" s="1525">
        <v>1.090159428257284</v>
      </c>
      <c r="M35" s="1525">
        <v>0.87245739417262202</v>
      </c>
      <c r="N35" s="1526">
        <v>0.71110500274876276</v>
      </c>
    </row>
    <row r="36" spans="1:14">
      <c r="A36" s="1514"/>
      <c r="B36" s="1524" t="s">
        <v>895</v>
      </c>
      <c r="C36" s="1525">
        <v>0.87502212333442875</v>
      </c>
      <c r="D36" s="1525">
        <v>0.9174989254380419</v>
      </c>
      <c r="E36" s="1525">
        <v>0.98485499734519988</v>
      </c>
      <c r="F36" s="1525">
        <v>0.9960810093297261</v>
      </c>
      <c r="G36" s="1525">
        <v>1.0361305655988469</v>
      </c>
      <c r="H36" s="1525">
        <v>1.1180501125129576</v>
      </c>
      <c r="I36" s="1525">
        <v>1.0582791838385879</v>
      </c>
      <c r="J36" s="1525">
        <v>1.0928674369801012</v>
      </c>
      <c r="K36" s="1525">
        <v>1.0955980885439052</v>
      </c>
      <c r="L36" s="1525">
        <v>1.1141058380319082</v>
      </c>
      <c r="M36" s="1525">
        <v>0.95269399003817823</v>
      </c>
      <c r="N36" s="1526">
        <v>0.75881772900811595</v>
      </c>
    </row>
    <row r="37" spans="1:14">
      <c r="A37" s="1514"/>
      <c r="B37" s="1524" t="s">
        <v>896</v>
      </c>
      <c r="C37" s="1525">
        <v>1.0438944463608137</v>
      </c>
      <c r="D37" s="1525">
        <v>1.1510003449465329</v>
      </c>
      <c r="E37" s="1525">
        <v>1.1525526043463259</v>
      </c>
      <c r="F37" s="1525">
        <v>1.0883925491548805</v>
      </c>
      <c r="G37" s="1525">
        <v>0.99189375646774725</v>
      </c>
      <c r="H37" s="1525">
        <v>0.96265953777164504</v>
      </c>
      <c r="I37" s="1525">
        <v>1.0200931355639873</v>
      </c>
      <c r="J37" s="1525">
        <v>0.91971369437737116</v>
      </c>
      <c r="K37" s="1525">
        <v>0.79061745429458408</v>
      </c>
      <c r="L37" s="1525">
        <v>0.89565367368057913</v>
      </c>
      <c r="M37" s="1525">
        <v>0.99163504656778179</v>
      </c>
      <c r="N37" s="1526">
        <v>0.99189375646774725</v>
      </c>
    </row>
    <row r="38" spans="1:14">
      <c r="A38" s="1514"/>
      <c r="B38" s="1524" t="s">
        <v>897</v>
      </c>
      <c r="C38" s="1525">
        <v>1.0715095409030797</v>
      </c>
      <c r="D38" s="1525">
        <v>1.247496693746458</v>
      </c>
      <c r="E38" s="1525">
        <v>1.2885887020593239</v>
      </c>
      <c r="F38" s="1525">
        <v>1.1440581900623468</v>
      </c>
      <c r="G38" s="1525">
        <v>0.96183638768184421</v>
      </c>
      <c r="H38" s="1525">
        <v>0.99952767806536946</v>
      </c>
      <c r="I38" s="1525">
        <v>1.0185150198375215</v>
      </c>
      <c r="J38" s="1525">
        <v>0.76346117513697342</v>
      </c>
      <c r="K38" s="1525">
        <v>0.67617608161723042</v>
      </c>
      <c r="L38" s="1525">
        <v>0.89127149064802569</v>
      </c>
      <c r="M38" s="1525">
        <v>1.0049121481201588</v>
      </c>
      <c r="N38" s="1526">
        <v>0.93264689212167029</v>
      </c>
    </row>
    <row r="39" spans="1:14">
      <c r="A39" s="1514"/>
      <c r="B39" s="1524" t="s">
        <v>898</v>
      </c>
      <c r="C39" s="1525">
        <v>0.83869941605507714</v>
      </c>
      <c r="D39" s="1525">
        <v>1.0107473131717073</v>
      </c>
      <c r="E39" s="1525">
        <v>1.0707323169207696</v>
      </c>
      <c r="F39" s="1525">
        <v>1.0810933630228809</v>
      </c>
      <c r="G39" s="1525">
        <v>1.0527368157960511</v>
      </c>
      <c r="H39" s="1525">
        <v>1.090636431801141</v>
      </c>
      <c r="I39" s="1525">
        <v>1.0036581763649997</v>
      </c>
      <c r="J39" s="1525">
        <v>0.98838926631978363</v>
      </c>
      <c r="K39" s="1525">
        <v>1.0167458135466134</v>
      </c>
      <c r="L39" s="1525">
        <v>1.098543545931699</v>
      </c>
      <c r="M39" s="1525">
        <v>0.9788461975415238</v>
      </c>
      <c r="N39" s="1526">
        <v>0.76917134352775451</v>
      </c>
    </row>
    <row r="40" spans="1:14">
      <c r="A40" s="1514"/>
      <c r="B40" s="1524" t="s">
        <v>899</v>
      </c>
      <c r="C40" s="1525">
        <v>0.93088398471211953</v>
      </c>
      <c r="D40" s="1525">
        <v>1.0880039452595243</v>
      </c>
      <c r="E40" s="1525">
        <v>1.1072370854395268</v>
      </c>
      <c r="F40" s="1525">
        <v>1.0575268154358282</v>
      </c>
      <c r="G40" s="1525">
        <v>1.0282332634693627</v>
      </c>
      <c r="H40" s="1525">
        <v>1.0134385402539763</v>
      </c>
      <c r="I40" s="1525">
        <v>0.98680803846628062</v>
      </c>
      <c r="J40" s="1525">
        <v>0.91313031685365587</v>
      </c>
      <c r="K40" s="1525">
        <v>1.0193564295401309</v>
      </c>
      <c r="L40" s="1525">
        <v>1.0844532116878316</v>
      </c>
      <c r="M40" s="1525">
        <v>0.95781038096412296</v>
      </c>
      <c r="N40" s="1526">
        <v>0.813117987917643</v>
      </c>
    </row>
    <row r="41" spans="1:14">
      <c r="A41" s="1514"/>
      <c r="B41" s="1524" t="s">
        <v>900</v>
      </c>
      <c r="C41" s="1525">
        <v>0.81712450945415627</v>
      </c>
      <c r="D41" s="1525">
        <v>0.96125579735997146</v>
      </c>
      <c r="E41" s="1525">
        <v>1.0391723153763823</v>
      </c>
      <c r="F41" s="1525">
        <v>1.0600071352122724</v>
      </c>
      <c r="G41" s="1525">
        <v>1.0677131644666429</v>
      </c>
      <c r="H41" s="1525">
        <v>1.1090973956475203</v>
      </c>
      <c r="I41" s="1525">
        <v>1.057438458794149</v>
      </c>
      <c r="J41" s="1525">
        <v>1.0591509097395648</v>
      </c>
      <c r="K41" s="1525">
        <v>1.033749554049233</v>
      </c>
      <c r="L41" s="1525">
        <v>1.1022475918658581</v>
      </c>
      <c r="M41" s="1525">
        <v>0.95868712094184794</v>
      </c>
      <c r="N41" s="1526">
        <v>0.73435604709240099</v>
      </c>
    </row>
    <row r="42" spans="1:14">
      <c r="A42" s="1514"/>
      <c r="B42" s="1524" t="s">
        <v>901</v>
      </c>
      <c r="C42" s="1525">
        <v>0.89951305887560862</v>
      </c>
      <c r="D42" s="1525">
        <v>1.0913383503024936</v>
      </c>
      <c r="E42" s="1525">
        <v>1.1592149918843144</v>
      </c>
      <c r="F42" s="1525">
        <v>1.1432787369042348</v>
      </c>
      <c r="G42" s="1525">
        <v>1.0606463036741922</v>
      </c>
      <c r="H42" s="1525">
        <v>1.0538586395160099</v>
      </c>
      <c r="I42" s="1525">
        <v>1.1043234469529288</v>
      </c>
      <c r="J42" s="1525">
        <v>0.94259997048841659</v>
      </c>
      <c r="K42" s="1525">
        <v>0.87944518223402668</v>
      </c>
      <c r="L42" s="1525">
        <v>0.96266784712999842</v>
      </c>
      <c r="M42" s="1525">
        <v>0.90187398553932407</v>
      </c>
      <c r="N42" s="1526">
        <v>0.80123948649845056</v>
      </c>
    </row>
    <row r="43" spans="1:14">
      <c r="A43" s="1514"/>
      <c r="B43" s="1524" t="s">
        <v>902</v>
      </c>
      <c r="C43" s="1525">
        <v>0.74547719910291543</v>
      </c>
      <c r="D43" s="1525">
        <v>0.91562422128083709</v>
      </c>
      <c r="E43" s="1525">
        <v>1.0477946673311733</v>
      </c>
      <c r="F43" s="1525">
        <v>1.093845003737852</v>
      </c>
      <c r="G43" s="1525">
        <v>1.0552703712932967</v>
      </c>
      <c r="H43" s="1525">
        <v>1.1647146772987791</v>
      </c>
      <c r="I43" s="1525">
        <v>1.0684276102666335</v>
      </c>
      <c r="J43" s="1525">
        <v>1.0690256665836031</v>
      </c>
      <c r="K43" s="1525">
        <v>1.0480936954896585</v>
      </c>
      <c r="L43" s="1525">
        <v>1.1288312982805881</v>
      </c>
      <c r="M43" s="1525">
        <v>0.89768253177174162</v>
      </c>
      <c r="N43" s="1526">
        <v>0.76521305756292046</v>
      </c>
    </row>
    <row r="44" spans="1:14">
      <c r="A44" s="1514"/>
      <c r="B44" s="1524" t="s">
        <v>903</v>
      </c>
      <c r="C44" s="1525">
        <v>0.93045778229908438</v>
      </c>
      <c r="D44" s="1525">
        <v>1.0115157680569684</v>
      </c>
      <c r="E44" s="1525">
        <v>1.0312919633774158</v>
      </c>
      <c r="F44" s="1525">
        <v>1.0090742624618514</v>
      </c>
      <c r="G44" s="1525">
        <v>0.99222787385554412</v>
      </c>
      <c r="H44" s="1525">
        <v>1.0478942014242114</v>
      </c>
      <c r="I44" s="1525">
        <v>1.0710885045778231</v>
      </c>
      <c r="J44" s="1525">
        <v>1.0652288911495422</v>
      </c>
      <c r="K44" s="1525">
        <v>1.0022380467955239</v>
      </c>
      <c r="L44" s="1525">
        <v>1.0229908443540181</v>
      </c>
      <c r="M44" s="1525">
        <v>0.94193285859613429</v>
      </c>
      <c r="N44" s="1526">
        <v>0.87405900305188189</v>
      </c>
    </row>
    <row r="45" spans="1:14">
      <c r="A45" s="1514"/>
      <c r="B45" s="1524" t="s">
        <v>904</v>
      </c>
      <c r="C45" s="1525">
        <v>0.76070816676185016</v>
      </c>
      <c r="D45" s="1525">
        <v>0.91386288580438479</v>
      </c>
      <c r="E45" s="1525">
        <v>1.0869813522707519</v>
      </c>
      <c r="F45" s="1525">
        <v>1.11618205745785</v>
      </c>
      <c r="G45" s="1525">
        <v>1.0911528815831943</v>
      </c>
      <c r="H45" s="1525">
        <v>1.1561095523055147</v>
      </c>
      <c r="I45" s="1525">
        <v>1.0732748988155834</v>
      </c>
      <c r="J45" s="1525">
        <v>0.96332530479477552</v>
      </c>
      <c r="K45" s="1525">
        <v>1.0950264445161766</v>
      </c>
      <c r="L45" s="1525">
        <v>1.1397214014352046</v>
      </c>
      <c r="M45" s="1525">
        <v>0.94276562461202285</v>
      </c>
      <c r="N45" s="1526">
        <v>0.66088942964268849</v>
      </c>
    </row>
    <row r="46" spans="1:14">
      <c r="A46" s="1514"/>
      <c r="B46" s="1524" t="s">
        <v>905</v>
      </c>
      <c r="C46" s="1525">
        <v>0.80184990941165257</v>
      </c>
      <c r="D46" s="1525">
        <v>0.94059311528559175</v>
      </c>
      <c r="E46" s="1525">
        <v>1.0616000762849243</v>
      </c>
      <c r="F46" s="1525">
        <v>1.1119481262515496</v>
      </c>
      <c r="G46" s="1525">
        <v>1.0856298274053591</v>
      </c>
      <c r="H46" s="1525">
        <v>1.1110899208543914</v>
      </c>
      <c r="I46" s="1525">
        <v>1.0407170782874033</v>
      </c>
      <c r="J46" s="1525">
        <v>0.98293124821207212</v>
      </c>
      <c r="K46" s="1525">
        <v>1.0862019643367982</v>
      </c>
      <c r="L46" s="1525">
        <v>1.0799084580909699</v>
      </c>
      <c r="M46" s="1525">
        <v>0.90569276246781749</v>
      </c>
      <c r="N46" s="1526">
        <v>0.79183751311147144</v>
      </c>
    </row>
    <row r="47" spans="1:14">
      <c r="A47" s="1514"/>
      <c r="B47" s="1524" t="s">
        <v>906</v>
      </c>
      <c r="C47" s="1525">
        <v>1.0407400118086987</v>
      </c>
      <c r="D47" s="1525">
        <v>1.1066063110936162</v>
      </c>
      <c r="E47" s="1525">
        <v>1.1152660237486054</v>
      </c>
      <c r="F47" s="1525">
        <v>1.0664567342386664</v>
      </c>
      <c r="G47" s="1525">
        <v>0.99796627960375206</v>
      </c>
      <c r="H47" s="1525">
        <v>0.95939119595880029</v>
      </c>
      <c r="I47" s="1525">
        <v>1.0221085088237221</v>
      </c>
      <c r="J47" s="1525">
        <v>0.97723545233877807</v>
      </c>
      <c r="K47" s="1525">
        <v>0.82975792166896245</v>
      </c>
      <c r="L47" s="1525">
        <v>0.89851079183887661</v>
      </c>
      <c r="M47" s="1525">
        <v>0.99140589122876033</v>
      </c>
      <c r="N47" s="1526">
        <v>0.99455487764875639</v>
      </c>
    </row>
    <row r="48" spans="1:14">
      <c r="A48" s="1514"/>
      <c r="B48" s="1524" t="s">
        <v>907</v>
      </c>
      <c r="C48" s="1525">
        <v>0.79650573278215409</v>
      </c>
      <c r="D48" s="1525">
        <v>0.91318929880664523</v>
      </c>
      <c r="E48" s="1525">
        <v>0.94095624366274078</v>
      </c>
      <c r="F48" s="1525">
        <v>1.0267529833866313</v>
      </c>
      <c r="G48" s="1525">
        <v>1.0417284143202556</v>
      </c>
      <c r="H48" s="1525">
        <v>1.1637157788004051</v>
      </c>
      <c r="I48" s="1525">
        <v>1.1849309726230401</v>
      </c>
      <c r="J48" s="1525">
        <v>1.1437485375555725</v>
      </c>
      <c r="K48" s="1525">
        <v>1.0925824818656888</v>
      </c>
      <c r="L48" s="1525">
        <v>1.096326339599095</v>
      </c>
      <c r="M48" s="1525">
        <v>0.86545511270571696</v>
      </c>
      <c r="N48" s="1526">
        <v>0.73410810389205194</v>
      </c>
    </row>
    <row r="49" spans="1:14">
      <c r="A49" s="1514"/>
      <c r="B49" s="1524" t="s">
        <v>908</v>
      </c>
      <c r="C49" s="1525">
        <v>0.84031875132225375</v>
      </c>
      <c r="D49" s="1525">
        <v>0.9108389553607108</v>
      </c>
      <c r="E49" s="1525">
        <v>0.93114877412378638</v>
      </c>
      <c r="F49" s="1525">
        <v>1.0219787969253191</v>
      </c>
      <c r="G49" s="1525">
        <v>1.0397498883430101</v>
      </c>
      <c r="H49" s="1525">
        <v>1.1396064972614655</v>
      </c>
      <c r="I49" s="1525">
        <v>1.1181683552337744</v>
      </c>
      <c r="J49" s="1525">
        <v>1.1520180531722337</v>
      </c>
      <c r="K49" s="1525">
        <v>1.0978585364706985</v>
      </c>
      <c r="L49" s="1525">
        <v>1.1125267389106979</v>
      </c>
      <c r="M49" s="1525">
        <v>0.88037422721609715</v>
      </c>
      <c r="N49" s="1526">
        <v>0.75541242565995159</v>
      </c>
    </row>
    <row r="50" spans="1:14">
      <c r="A50" s="1514"/>
      <c r="B50" s="1524" t="s">
        <v>150</v>
      </c>
      <c r="C50" s="1525">
        <v>0.78405741381519933</v>
      </c>
      <c r="D50" s="1525">
        <v>0.95399205433807499</v>
      </c>
      <c r="E50" s="1525">
        <v>1.0660002563116751</v>
      </c>
      <c r="F50" s="1525">
        <v>1.0713828014866076</v>
      </c>
      <c r="G50" s="1525">
        <v>1.0662565679866716</v>
      </c>
      <c r="H50" s="1525">
        <v>1.0598487761117519</v>
      </c>
      <c r="I50" s="1525">
        <v>1.0229398949122133</v>
      </c>
      <c r="J50" s="1525">
        <v>1.0083301294373959</v>
      </c>
      <c r="K50" s="1525">
        <v>1.0478021273869025</v>
      </c>
      <c r="L50" s="1525">
        <v>1.0993207740612583</v>
      </c>
      <c r="M50" s="1525">
        <v>0.97859797513776758</v>
      </c>
      <c r="N50" s="1526">
        <v>0.84147122901448168</v>
      </c>
    </row>
    <row r="51" spans="1:14">
      <c r="A51" s="1514"/>
      <c r="B51" s="1524" t="s">
        <v>909</v>
      </c>
      <c r="C51" s="1525">
        <v>0.91761870760442699</v>
      </c>
      <c r="D51" s="1525">
        <v>1.0780078543377365</v>
      </c>
      <c r="E51" s="1525">
        <v>1.1425383791503034</v>
      </c>
      <c r="F51" s="1525">
        <v>1.123527311674402</v>
      </c>
      <c r="G51" s="1525">
        <v>1.0603355944305606</v>
      </c>
      <c r="H51" s="1525">
        <v>1.0314173509460909</v>
      </c>
      <c r="I51" s="1525">
        <v>0.95510531952873978</v>
      </c>
      <c r="J51" s="1525">
        <v>0.83836129953588012</v>
      </c>
      <c r="K51" s="1525">
        <v>0.93555872902534809</v>
      </c>
      <c r="L51" s="1525">
        <v>1.0681006783291682</v>
      </c>
      <c r="M51" s="1525">
        <v>0.97384862549089612</v>
      </c>
      <c r="N51" s="1526">
        <v>0.87558014994644784</v>
      </c>
    </row>
    <row r="52" spans="1:14">
      <c r="A52" s="1514"/>
      <c r="B52" s="1524" t="s">
        <v>910</v>
      </c>
      <c r="C52" s="1525">
        <v>0.8190235853634863</v>
      </c>
      <c r="D52" s="1525">
        <v>0.87516257400757058</v>
      </c>
      <c r="E52" s="1525">
        <v>0.97905464427836519</v>
      </c>
      <c r="F52" s="1525">
        <v>1.0188877026108898</v>
      </c>
      <c r="G52" s="1525">
        <v>1.0335630398912936</v>
      </c>
      <c r="H52" s="1525">
        <v>1.0508007376492281</v>
      </c>
      <c r="I52" s="1525">
        <v>1.0400854120159178</v>
      </c>
      <c r="J52" s="1525">
        <v>1.0375230515383869</v>
      </c>
      <c r="K52" s="1525">
        <v>1.0475395515869161</v>
      </c>
      <c r="L52" s="1525">
        <v>1.0547607492963214</v>
      </c>
      <c r="M52" s="1525">
        <v>1.019353586334077</v>
      </c>
      <c r="N52" s="1526">
        <v>1.0242453654275452</v>
      </c>
    </row>
    <row r="53" spans="1:14">
      <c r="A53" s="1514"/>
      <c r="B53" s="1524" t="s">
        <v>911</v>
      </c>
      <c r="C53" s="1525">
        <v>0.8477744807121661</v>
      </c>
      <c r="D53" s="1525">
        <v>0.98219584569732954</v>
      </c>
      <c r="E53" s="1525">
        <v>1.0925816023738875</v>
      </c>
      <c r="F53" s="1525">
        <v>1.0881305637982197</v>
      </c>
      <c r="G53" s="1525">
        <v>1.0884272997032642</v>
      </c>
      <c r="H53" s="1525">
        <v>1.1074183976261129</v>
      </c>
      <c r="I53" s="1525">
        <v>0.98753709198813067</v>
      </c>
      <c r="J53" s="1525">
        <v>1.0270029673590506</v>
      </c>
      <c r="K53" s="1525">
        <v>1.0035608308605342</v>
      </c>
      <c r="L53" s="1525">
        <v>1.0679525222551929</v>
      </c>
      <c r="M53" s="1525">
        <v>0.9456973293768548</v>
      </c>
      <c r="N53" s="1526">
        <v>0.76172106824925834</v>
      </c>
    </row>
    <row r="54" spans="1:14">
      <c r="A54" s="1514"/>
      <c r="B54" s="1524" t="s">
        <v>912</v>
      </c>
      <c r="C54" s="1525">
        <v>0.90553691275167769</v>
      </c>
      <c r="D54" s="1525">
        <v>0.98078859060402668</v>
      </c>
      <c r="E54" s="1525">
        <v>1.0323825503355704</v>
      </c>
      <c r="F54" s="1525">
        <v>1.0011744966442953</v>
      </c>
      <c r="G54" s="1525">
        <v>0.95939597315436231</v>
      </c>
      <c r="H54" s="1525">
        <v>1.0565436241610735</v>
      </c>
      <c r="I54" s="1525">
        <v>1.1101510067114091</v>
      </c>
      <c r="J54" s="1525">
        <v>1.0484899328859061</v>
      </c>
      <c r="K54" s="1525">
        <v>0.98028523489932895</v>
      </c>
      <c r="L54" s="1525">
        <v>1.046728187919463</v>
      </c>
      <c r="M54" s="1525">
        <v>0.9536073825503355</v>
      </c>
      <c r="N54" s="1526">
        <v>0.92491610738255026</v>
      </c>
    </row>
    <row r="55" spans="1:14">
      <c r="A55" s="1514"/>
      <c r="B55" s="1524" t="s">
        <v>913</v>
      </c>
      <c r="C55" s="1525">
        <v>1.0047693393502573</v>
      </c>
      <c r="D55" s="1525">
        <v>1.0732938383557538</v>
      </c>
      <c r="E55" s="1525">
        <v>1.141305045233868</v>
      </c>
      <c r="F55" s="1525">
        <v>1.0876660179224495</v>
      </c>
      <c r="G55" s="1525">
        <v>0.98321107000021346</v>
      </c>
      <c r="H55" s="1525">
        <v>1.0122120751972961</v>
      </c>
      <c r="I55" s="1525">
        <v>1.0368500973116321</v>
      </c>
      <c r="J55" s="1525">
        <v>0.8959514083452742</v>
      </c>
      <c r="K55" s="1525">
        <v>0.84410890347969247</v>
      </c>
      <c r="L55" s="1525">
        <v>0.99732660350321845</v>
      </c>
      <c r="M55" s="1525">
        <v>0.95934298607695057</v>
      </c>
      <c r="N55" s="1526">
        <v>0.96396261522338855</v>
      </c>
    </row>
    <row r="56" spans="1:14">
      <c r="A56" s="1514"/>
      <c r="B56" s="1524" t="s">
        <v>914</v>
      </c>
      <c r="C56" s="1525">
        <v>1.0472489082969432</v>
      </c>
      <c r="D56" s="1525">
        <v>1.1586026200873358</v>
      </c>
      <c r="E56" s="1525">
        <v>1.168296943231441</v>
      </c>
      <c r="F56" s="1525">
        <v>1.0663755458515278</v>
      </c>
      <c r="G56" s="1525">
        <v>0.97703056768558927</v>
      </c>
      <c r="H56" s="1525">
        <v>0.96759825327510895</v>
      </c>
      <c r="I56" s="1525">
        <v>0.98908296943231411</v>
      </c>
      <c r="J56" s="1525">
        <v>0.895021834061135</v>
      </c>
      <c r="K56" s="1525">
        <v>0.81379912663755438</v>
      </c>
      <c r="L56" s="1525">
        <v>0.90026200873362427</v>
      </c>
      <c r="M56" s="1525">
        <v>0.99877729257641901</v>
      </c>
      <c r="N56" s="1526">
        <v>1.0179039301310042</v>
      </c>
    </row>
    <row r="57" spans="1:14">
      <c r="A57" s="1514"/>
      <c r="B57" s="1524" t="s">
        <v>915</v>
      </c>
      <c r="C57" s="1525">
        <v>0.77297201871303711</v>
      </c>
      <c r="D57" s="1525">
        <v>0.89028157825050713</v>
      </c>
      <c r="E57" s="1525">
        <v>1.0073263306558384</v>
      </c>
      <c r="F57" s="1525">
        <v>1.070615235237002</v>
      </c>
      <c r="G57" s="1525">
        <v>1.0711448495012794</v>
      </c>
      <c r="H57" s="1525">
        <v>1.127813575778974</v>
      </c>
      <c r="I57" s="1525">
        <v>1.0502250860623175</v>
      </c>
      <c r="J57" s="1525">
        <v>1.0491658575337626</v>
      </c>
      <c r="K57" s="1525">
        <v>1.058434107158619</v>
      </c>
      <c r="L57" s="1525">
        <v>1.103451319622208</v>
      </c>
      <c r="M57" s="1525">
        <v>0.99938211669167587</v>
      </c>
      <c r="N57" s="1526">
        <v>0.79918792479477407</v>
      </c>
    </row>
    <row r="58" spans="1:14">
      <c r="A58" s="1514"/>
      <c r="B58" s="1524" t="s">
        <v>916</v>
      </c>
      <c r="C58" s="1525">
        <v>1.039932536336128</v>
      </c>
      <c r="D58" s="1525">
        <v>1.2235725978471157</v>
      </c>
      <c r="E58" s="1525">
        <v>1.3247680936554393</v>
      </c>
      <c r="F58" s="1525">
        <v>1.1569026241381024</v>
      </c>
      <c r="G58" s="1525">
        <v>0.99528746465598505</v>
      </c>
      <c r="H58" s="1525">
        <v>0.94052284339500991</v>
      </c>
      <c r="I58" s="1525">
        <v>0.83992261520908795</v>
      </c>
      <c r="J58" s="1525">
        <v>0.81760007936901669</v>
      </c>
      <c r="K58" s="1525">
        <v>0.87444813730839832</v>
      </c>
      <c r="L58" s="1525">
        <v>1.0214792400416692</v>
      </c>
      <c r="M58" s="1525">
        <v>0.9821915769631433</v>
      </c>
      <c r="N58" s="1526">
        <v>0.78337219108090694</v>
      </c>
    </row>
    <row r="59" spans="1:14">
      <c r="A59" s="1514"/>
      <c r="B59" s="1524" t="s">
        <v>917</v>
      </c>
      <c r="C59" s="1525">
        <v>0.74218064893306057</v>
      </c>
      <c r="D59" s="1525">
        <v>0.82402806197018408</v>
      </c>
      <c r="E59" s="1525">
        <v>0.9561531715872551</v>
      </c>
      <c r="F59" s="1525">
        <v>1.0087693656825487</v>
      </c>
      <c r="G59" s="1525">
        <v>1.0868167202572347</v>
      </c>
      <c r="H59" s="1525">
        <v>1.1338789827535809</v>
      </c>
      <c r="I59" s="1525">
        <v>1.1128325051154633</v>
      </c>
      <c r="J59" s="1525">
        <v>1.118386436714411</v>
      </c>
      <c r="K59" s="1525">
        <v>1.1072785735165156</v>
      </c>
      <c r="L59" s="1525">
        <v>1.153756211634025</v>
      </c>
      <c r="M59" s="1525">
        <v>0.94358374744226825</v>
      </c>
      <c r="N59" s="1526">
        <v>0.81233557439345216</v>
      </c>
    </row>
    <row r="60" spans="1:14">
      <c r="A60" s="1514"/>
      <c r="B60" s="1524" t="s">
        <v>918</v>
      </c>
      <c r="C60" s="1525">
        <v>0.80329399779268196</v>
      </c>
      <c r="D60" s="1525">
        <v>0.94439256303591146</v>
      </c>
      <c r="E60" s="1525">
        <v>0.99889634094575086</v>
      </c>
      <c r="F60" s="1525">
        <v>1.0126496306987012</v>
      </c>
      <c r="G60" s="1525">
        <v>1.0052636047202648</v>
      </c>
      <c r="H60" s="1525">
        <v>1.0921130826046352</v>
      </c>
      <c r="I60" s="1525">
        <v>1.1178368282536717</v>
      </c>
      <c r="J60" s="1525">
        <v>1.1392308345360389</v>
      </c>
      <c r="K60" s="1525">
        <v>1.0893114865438493</v>
      </c>
      <c r="L60" s="1525">
        <v>1.051362594447746</v>
      </c>
      <c r="M60" s="1525">
        <v>0.94362849138296967</v>
      </c>
      <c r="N60" s="1526">
        <v>0.80202054503777909</v>
      </c>
    </row>
    <row r="61" spans="1:14">
      <c r="A61" s="1514"/>
      <c r="B61" s="1524" t="s">
        <v>919</v>
      </c>
      <c r="C61" s="1525">
        <v>0.89779539740862502</v>
      </c>
      <c r="D61" s="1525">
        <v>0.9949719590021272</v>
      </c>
      <c r="E61" s="1525">
        <v>1.0593695610133438</v>
      </c>
      <c r="F61" s="1525">
        <v>1.0857667762521757</v>
      </c>
      <c r="G61" s="1525">
        <v>1.0422548830013536</v>
      </c>
      <c r="H61" s="1525">
        <v>1.0448655965964029</v>
      </c>
      <c r="I61" s="1525">
        <v>0.95784181009475922</v>
      </c>
      <c r="J61" s="1525">
        <v>0.97640688454844327</v>
      </c>
      <c r="K61" s="1525">
        <v>1.0332624250628504</v>
      </c>
      <c r="L61" s="1525">
        <v>1.1228969251595435</v>
      </c>
      <c r="M61" s="1525">
        <v>1.0080255269773737</v>
      </c>
      <c r="N61" s="1526">
        <v>0.77654225488300133</v>
      </c>
    </row>
    <row r="62" spans="1:14">
      <c r="A62" s="1514"/>
      <c r="B62" s="1524" t="s">
        <v>920</v>
      </c>
      <c r="C62" s="1525">
        <v>0.75199348674600719</v>
      </c>
      <c r="D62" s="1525">
        <v>0.92267905462033994</v>
      </c>
      <c r="E62" s="1525">
        <v>1.012332080170494</v>
      </c>
      <c r="F62" s="1525">
        <v>1.0922152247312087</v>
      </c>
      <c r="G62" s="1525">
        <v>1.0784224515696466</v>
      </c>
      <c r="H62" s="1525">
        <v>1.1491104140226531</v>
      </c>
      <c r="I62" s="1525">
        <v>1.1249730609899191</v>
      </c>
      <c r="J62" s="1525">
        <v>1.0827326931826347</v>
      </c>
      <c r="K62" s="1525">
        <v>1.1068700462153689</v>
      </c>
      <c r="L62" s="1525">
        <v>1.0531357007734492</v>
      </c>
      <c r="M62" s="1525">
        <v>0.92267905462033994</v>
      </c>
      <c r="N62" s="1526">
        <v>0.70285673235794177</v>
      </c>
    </row>
    <row r="63" spans="1:14">
      <c r="A63" s="1514"/>
      <c r="B63" s="1524" t="s">
        <v>921</v>
      </c>
      <c r="C63" s="1525">
        <v>0.89969688619454413</v>
      </c>
      <c r="D63" s="1525">
        <v>1.0531826949572884</v>
      </c>
      <c r="E63" s="1525">
        <v>1.0788095894185727</v>
      </c>
      <c r="F63" s="1525">
        <v>0.98181317167263715</v>
      </c>
      <c r="G63" s="1525">
        <v>0.99255993386607866</v>
      </c>
      <c r="H63" s="1525">
        <v>1.1432901625792227</v>
      </c>
      <c r="I63" s="1525">
        <v>1.038302562689446</v>
      </c>
      <c r="J63" s="1525">
        <v>1.0895563516120144</v>
      </c>
      <c r="K63" s="1525">
        <v>1.0644805731606501</v>
      </c>
      <c r="L63" s="1525">
        <v>1.0137779002480023</v>
      </c>
      <c r="M63" s="1525">
        <v>0.84045191512813444</v>
      </c>
      <c r="N63" s="1526">
        <v>0.80407825847340864</v>
      </c>
    </row>
    <row r="64" spans="1:14">
      <c r="A64" s="1514"/>
      <c r="B64" s="1524" t="s">
        <v>922</v>
      </c>
      <c r="C64" s="1525">
        <v>0.8928114011596775</v>
      </c>
      <c r="D64" s="1525">
        <v>1.0397969401299405</v>
      </c>
      <c r="E64" s="1525">
        <v>1.155764618214844</v>
      </c>
      <c r="F64" s="1525">
        <v>1.0895372936217786</v>
      </c>
      <c r="G64" s="1525">
        <v>0.9623920080106193</v>
      </c>
      <c r="H64" s="1525">
        <v>1.0652259972521725</v>
      </c>
      <c r="I64" s="1525">
        <v>1.1236289965768587</v>
      </c>
      <c r="J64" s="1525">
        <v>0.93305078825419807</v>
      </c>
      <c r="K64" s="1525">
        <v>0.90510676943855872</v>
      </c>
      <c r="L64" s="1525">
        <v>1.0255454905339645</v>
      </c>
      <c r="M64" s="1525">
        <v>0.93919847239363885</v>
      </c>
      <c r="N64" s="1526">
        <v>0.86794122441375843</v>
      </c>
    </row>
    <row r="65" spans="1:14">
      <c r="A65" s="1514"/>
      <c r="B65" s="1524" t="s">
        <v>923</v>
      </c>
      <c r="C65" s="1525">
        <v>0.90031225439174112</v>
      </c>
      <c r="D65" s="1525">
        <v>1.0045669860016568</v>
      </c>
      <c r="E65" s="1525">
        <v>1.0402532022006501</v>
      </c>
      <c r="F65" s="1525">
        <v>1.0377041867578647</v>
      </c>
      <c r="G65" s="1525">
        <v>0.9760180130424625</v>
      </c>
      <c r="H65" s="1525">
        <v>1.084096267816556</v>
      </c>
      <c r="I65" s="1525">
        <v>1.1218216963697771</v>
      </c>
      <c r="J65" s="1525">
        <v>1.0876648894364553</v>
      </c>
      <c r="K65" s="1525">
        <v>1.0083905091658349</v>
      </c>
      <c r="L65" s="1525">
        <v>1.0053316906344925</v>
      </c>
      <c r="M65" s="1525">
        <v>0.9158612485927311</v>
      </c>
      <c r="N65" s="1526">
        <v>0.81797905558977857</v>
      </c>
    </row>
    <row r="66" spans="1:14">
      <c r="A66" s="1514"/>
      <c r="B66" s="1524" t="s">
        <v>924</v>
      </c>
      <c r="C66" s="1525">
        <v>0.89224568063083332</v>
      </c>
      <c r="D66" s="1525">
        <v>0.96057291564756264</v>
      </c>
      <c r="E66" s="1525">
        <v>0.99086230849003054</v>
      </c>
      <c r="F66" s="1525">
        <v>1.0173948774140529</v>
      </c>
      <c r="G66" s="1525">
        <v>1.0286653491693898</v>
      </c>
      <c r="H66" s="1525">
        <v>1.0631811689201087</v>
      </c>
      <c r="I66" s="1525">
        <v>1.0580155360322459</v>
      </c>
      <c r="J66" s="1525">
        <v>1.0716340227366112</v>
      </c>
      <c r="K66" s="1525">
        <v>1.0535543076290916</v>
      </c>
      <c r="L66" s="1525">
        <v>1.0479190717514235</v>
      </c>
      <c r="M66" s="1525">
        <v>0.93216193476431797</v>
      </c>
      <c r="N66" s="1526">
        <v>0.88379282681433058</v>
      </c>
    </row>
    <row r="67" spans="1:14">
      <c r="A67" s="1527"/>
      <c r="B67" s="1524" t="s">
        <v>925</v>
      </c>
      <c r="C67" s="1525">
        <v>0.89894928006226515</v>
      </c>
      <c r="D67" s="1525">
        <v>1.0136204436373075</v>
      </c>
      <c r="E67" s="1525">
        <v>1.0164742508756004</v>
      </c>
      <c r="F67" s="1525">
        <v>1.0006485925541579</v>
      </c>
      <c r="G67" s="1525">
        <v>1.0416396419769105</v>
      </c>
      <c r="H67" s="1525">
        <v>1.087041120767934</v>
      </c>
      <c r="I67" s="1525">
        <v>1.0450123232585296</v>
      </c>
      <c r="J67" s="1525">
        <v>1.0732909586197956</v>
      </c>
      <c r="K67" s="1525">
        <v>1.0377480866519657</v>
      </c>
      <c r="L67" s="1525">
        <v>1.0699182773381766</v>
      </c>
      <c r="M67" s="1525">
        <v>0.94305357374497378</v>
      </c>
      <c r="N67" s="1526">
        <v>0.77260345051238832</v>
      </c>
    </row>
    <row r="68" spans="1:14">
      <c r="A68" s="1527"/>
      <c r="B68" s="1524" t="s">
        <v>926</v>
      </c>
      <c r="C68" s="1525">
        <v>0.82234475124007445</v>
      </c>
      <c r="D68" s="1525">
        <v>0.92759670448981368</v>
      </c>
      <c r="E68" s="1525">
        <v>1.0116449875460376</v>
      </c>
      <c r="F68" s="1525">
        <v>1.0024482149319824</v>
      </c>
      <c r="G68" s="1525">
        <v>1.048176612096311</v>
      </c>
      <c r="H68" s="1525">
        <v>1.129670236093075</v>
      </c>
      <c r="I68" s="1525">
        <v>1.1120430885828034</v>
      </c>
      <c r="J68" s="1525">
        <v>1.1368232814595622</v>
      </c>
      <c r="K68" s="1525">
        <v>1.0895620888595581</v>
      </c>
      <c r="L68" s="1525">
        <v>1.0185425670065789</v>
      </c>
      <c r="M68" s="1525">
        <v>0.91916632959359668</v>
      </c>
      <c r="N68" s="1526">
        <v>0.78198113810061121</v>
      </c>
    </row>
    <row r="69" spans="1:14">
      <c r="A69" s="1527"/>
      <c r="B69" s="1524" t="s">
        <v>927</v>
      </c>
      <c r="C69" s="1525">
        <v>0.96974597399097084</v>
      </c>
      <c r="D69" s="1525">
        <v>1.1328077622801696</v>
      </c>
      <c r="E69" s="1525">
        <v>1.1872515329155715</v>
      </c>
      <c r="F69" s="1525">
        <v>1.1012734990903577</v>
      </c>
      <c r="G69" s="1525">
        <v>1.023381173775352</v>
      </c>
      <c r="H69" s="1525">
        <v>1.0473687756889696</v>
      </c>
      <c r="I69" s="1525">
        <v>1.0136783235631019</v>
      </c>
      <c r="J69" s="1525">
        <v>0.92069267569570779</v>
      </c>
      <c r="K69" s="1525">
        <v>0.85088605889091018</v>
      </c>
      <c r="L69" s="1525">
        <v>0.9667812142038944</v>
      </c>
      <c r="M69" s="1525">
        <v>0.90640792399434</v>
      </c>
      <c r="N69" s="1526">
        <v>0.8797250859106529</v>
      </c>
    </row>
    <row r="70" spans="1:14">
      <c r="A70" s="1527"/>
      <c r="B70" s="1528" t="s">
        <v>928</v>
      </c>
      <c r="C70" s="1529">
        <v>0.7430808694478197</v>
      </c>
      <c r="D70" s="1529">
        <v>0.903469690832996</v>
      </c>
      <c r="E70" s="1529">
        <v>1.072228972593493</v>
      </c>
      <c r="F70" s="1529">
        <v>1.1475631159713786</v>
      </c>
      <c r="G70" s="1529">
        <v>1.1238018090995006</v>
      </c>
      <c r="H70" s="1529">
        <v>1.1383826110436077</v>
      </c>
      <c r="I70" s="1529">
        <v>1.0816794923720807</v>
      </c>
      <c r="J70" s="1529">
        <v>0.9939246658566222</v>
      </c>
      <c r="K70" s="1529">
        <v>1.016605913325233</v>
      </c>
      <c r="L70" s="1529">
        <v>1.1038207101390578</v>
      </c>
      <c r="M70" s="1529">
        <v>0.92912110166059148</v>
      </c>
      <c r="N70" s="1530">
        <v>0.74632104765762131</v>
      </c>
    </row>
    <row r="71" spans="1:14">
      <c r="A71" s="1527"/>
    </row>
    <row r="72" spans="1:14">
      <c r="A72" s="1514"/>
      <c r="B72" s="1507" t="s">
        <v>929</v>
      </c>
      <c r="C72" s="1522"/>
      <c r="D72" s="1522"/>
      <c r="E72" s="1522"/>
      <c r="F72" s="1522"/>
      <c r="G72" s="1522"/>
      <c r="H72" s="1522"/>
      <c r="I72" s="1522"/>
      <c r="J72" s="1522"/>
      <c r="K72" s="1522"/>
      <c r="L72" s="1522"/>
      <c r="M72" s="1522"/>
      <c r="N72" s="1523"/>
    </row>
    <row r="73" spans="1:14">
      <c r="A73" s="1514"/>
    </row>
    <row r="74" spans="1:14">
      <c r="A74" s="1514"/>
      <c r="B74" s="1512"/>
      <c r="C74" s="1513" t="s">
        <v>417</v>
      </c>
      <c r="D74" s="1513" t="s">
        <v>418</v>
      </c>
      <c r="E74" s="1513" t="s">
        <v>419</v>
      </c>
      <c r="F74" s="1513" t="s">
        <v>420</v>
      </c>
      <c r="G74" s="1513" t="s">
        <v>421</v>
      </c>
      <c r="H74" s="1513" t="s">
        <v>422</v>
      </c>
      <c r="I74" s="1513" t="s">
        <v>423</v>
      </c>
      <c r="J74" s="1513" t="s">
        <v>424</v>
      </c>
      <c r="K74" s="1513" t="s">
        <v>425</v>
      </c>
      <c r="L74" s="1513" t="s">
        <v>426</v>
      </c>
      <c r="M74" s="1513" t="s">
        <v>427</v>
      </c>
      <c r="N74" s="1492" t="s">
        <v>428</v>
      </c>
    </row>
    <row r="75" spans="1:14">
      <c r="A75" s="1514"/>
      <c r="B75" s="1524" t="s">
        <v>881</v>
      </c>
      <c r="C75" s="1525">
        <v>0.90656412975554668</v>
      </c>
      <c r="D75" s="1525">
        <v>0.95812253318307439</v>
      </c>
      <c r="E75" s="1525">
        <v>0.97179727480324873</v>
      </c>
      <c r="F75" s="1525">
        <v>1.0100663152417315</v>
      </c>
      <c r="G75" s="1525">
        <v>1.0061346596317384</v>
      </c>
      <c r="H75" s="1525">
        <v>1.0279417004739788</v>
      </c>
      <c r="I75" s="1525">
        <v>0.98633982098575668</v>
      </c>
      <c r="J75" s="1525">
        <v>0.98174602834544411</v>
      </c>
      <c r="K75" s="1525">
        <v>1.0231399257152789</v>
      </c>
      <c r="L75" s="1525">
        <v>1.2278493842986697</v>
      </c>
      <c r="M75" s="1525">
        <v>0.98467844395262838</v>
      </c>
      <c r="N75" s="1526">
        <v>0.91561978361290197</v>
      </c>
    </row>
    <row r="76" spans="1:14">
      <c r="A76" s="1514"/>
      <c r="B76" s="1524" t="s">
        <v>882</v>
      </c>
      <c r="C76" s="1525">
        <v>1.0799618912622988</v>
      </c>
      <c r="D76" s="1525">
        <v>1.0656253785568803</v>
      </c>
      <c r="E76" s="1525">
        <v>1.0099027361100164</v>
      </c>
      <c r="F76" s="1525">
        <v>1.0044594463068612</v>
      </c>
      <c r="G76" s="1525">
        <v>0.96831107951899364</v>
      </c>
      <c r="H76" s="1525">
        <v>0.96701410360342066</v>
      </c>
      <c r="I76" s="1525">
        <v>0.97237492892989374</v>
      </c>
      <c r="J76" s="1525">
        <v>0.93091686479109614</v>
      </c>
      <c r="K76" s="1525">
        <v>1.0430416569726855</v>
      </c>
      <c r="L76" s="1525">
        <v>1.0628685276671808</v>
      </c>
      <c r="M76" s="1525">
        <v>0.98329627048483659</v>
      </c>
      <c r="N76" s="1526">
        <v>0.9122271157958356</v>
      </c>
    </row>
    <row r="77" spans="1:14">
      <c r="A77" s="1514"/>
      <c r="B77" s="1524" t="s">
        <v>883</v>
      </c>
      <c r="C77" s="1525">
        <v>0.92479812340422174</v>
      </c>
      <c r="D77" s="1525">
        <v>1.0117837035366422</v>
      </c>
      <c r="E77" s="1525">
        <v>1.2899716312415535</v>
      </c>
      <c r="F77" s="1525">
        <v>1.0622731904829088</v>
      </c>
      <c r="G77" s="1525">
        <v>1.014500093550728</v>
      </c>
      <c r="H77" s="1525">
        <v>0.95882614194921545</v>
      </c>
      <c r="I77" s="1525">
        <v>0.87791361559243009</v>
      </c>
      <c r="J77" s="1525">
        <v>0.86382632023821704</v>
      </c>
      <c r="K77" s="1525">
        <v>1.0165765035658212</v>
      </c>
      <c r="L77" s="1525">
        <v>1.1837995760720006</v>
      </c>
      <c r="M77" s="1525">
        <v>1.0004704708127035</v>
      </c>
      <c r="N77" s="1526">
        <v>0.79526062955356047</v>
      </c>
    </row>
    <row r="78" spans="1:14">
      <c r="A78" s="1514"/>
      <c r="B78" s="1524" t="s">
        <v>884</v>
      </c>
      <c r="C78" s="1525">
        <v>0.83050558828628818</v>
      </c>
      <c r="D78" s="1525">
        <v>0.87131754324334076</v>
      </c>
      <c r="E78" s="1525">
        <v>0.98706131821533538</v>
      </c>
      <c r="F78" s="1525">
        <v>1.0459902138432293</v>
      </c>
      <c r="G78" s="1525">
        <v>1.116152595890576</v>
      </c>
      <c r="H78" s="1525">
        <v>1.0817815249042786</v>
      </c>
      <c r="I78" s="1525">
        <v>1.0015519880610264</v>
      </c>
      <c r="J78" s="1525">
        <v>0.98680457854977421</v>
      </c>
      <c r="K78" s="1525">
        <v>1.1080279115267393</v>
      </c>
      <c r="L78" s="1525">
        <v>1.1280292827353293</v>
      </c>
      <c r="M78" s="1525">
        <v>0.98895334155522308</v>
      </c>
      <c r="N78" s="1526">
        <v>0.85382411318886164</v>
      </c>
    </row>
    <row r="79" spans="1:14">
      <c r="A79" s="1514"/>
      <c r="B79" s="1524" t="s">
        <v>885</v>
      </c>
      <c r="C79" s="1525">
        <v>0.94752764533516509</v>
      </c>
      <c r="D79" s="1525">
        <v>0.99326866770148958</v>
      </c>
      <c r="E79" s="1525">
        <v>1.0035639507387044</v>
      </c>
      <c r="F79" s="1525">
        <v>1.0255472380134529</v>
      </c>
      <c r="G79" s="1525">
        <v>1.0451000291289716</v>
      </c>
      <c r="H79" s="1525">
        <v>1.0006668525942621</v>
      </c>
      <c r="I79" s="1525">
        <v>0.97255879434751313</v>
      </c>
      <c r="J79" s="1525">
        <v>0.97482903334146087</v>
      </c>
      <c r="K79" s="1525">
        <v>1.0065425235692984</v>
      </c>
      <c r="L79" s="1525">
        <v>1.0922065672351959</v>
      </c>
      <c r="M79" s="1525">
        <v>0.9967631524143058</v>
      </c>
      <c r="N79" s="1526">
        <v>0.94142554558018077</v>
      </c>
    </row>
    <row r="80" spans="1:14">
      <c r="A80" s="1514"/>
      <c r="B80" s="1524" t="s">
        <v>886</v>
      </c>
      <c r="C80" s="1525">
        <v>0.895982948691735</v>
      </c>
      <c r="D80" s="1525">
        <v>0.91784363991976692</v>
      </c>
      <c r="E80" s="1525">
        <v>0.9243982746691769</v>
      </c>
      <c r="F80" s="1525">
        <v>0.95031994248133234</v>
      </c>
      <c r="G80" s="1525">
        <v>0.98165375437287672</v>
      </c>
      <c r="H80" s="1525">
        <v>1.0889257505881929</v>
      </c>
      <c r="I80" s="1525">
        <v>1.1785357050507539</v>
      </c>
      <c r="J80" s="1525">
        <v>1.1805629794805355</v>
      </c>
      <c r="K80" s="1525">
        <v>1.0341609394104492</v>
      </c>
      <c r="L80" s="1525">
        <v>0.98126061680096077</v>
      </c>
      <c r="M80" s="1525">
        <v>0.93640361984533538</v>
      </c>
      <c r="N80" s="1526">
        <v>0.92995182868888293</v>
      </c>
    </row>
    <row r="81" spans="1:14">
      <c r="A81" s="1514"/>
      <c r="B81" s="1524" t="s">
        <v>887</v>
      </c>
      <c r="C81" s="1525">
        <v>0.72885802386557319</v>
      </c>
      <c r="D81" s="1525">
        <v>0.73732740413720821</v>
      </c>
      <c r="E81" s="1525">
        <v>0.91391101845720901</v>
      </c>
      <c r="F81" s="1525">
        <v>1.088031548451595</v>
      </c>
      <c r="G81" s="1525">
        <v>1.1507091799534526</v>
      </c>
      <c r="H81" s="1525">
        <v>1.1602802935227343</v>
      </c>
      <c r="I81" s="1525">
        <v>1.0710903680360047</v>
      </c>
      <c r="J81" s="1525">
        <v>1.0400416776914299</v>
      </c>
      <c r="K81" s="1525">
        <v>1.1607933928785652</v>
      </c>
      <c r="L81" s="1525">
        <v>1.2308687469103867</v>
      </c>
      <c r="M81" s="1525">
        <v>0.98017455504111606</v>
      </c>
      <c r="N81" s="1526">
        <v>0.73791379105472754</v>
      </c>
    </row>
    <row r="82" spans="1:14">
      <c r="A82" s="1514"/>
      <c r="B82" s="1524" t="s">
        <v>888</v>
      </c>
      <c r="C82" s="1525">
        <v>0.79105106929873659</v>
      </c>
      <c r="D82" s="1525">
        <v>0.90660105140114289</v>
      </c>
      <c r="E82" s="1525">
        <v>1.1127917539670447</v>
      </c>
      <c r="F82" s="1525">
        <v>1.2110935817020128</v>
      </c>
      <c r="G82" s="1525">
        <v>1.1538741667673198</v>
      </c>
      <c r="H82" s="1525">
        <v>1.0252399582928211</v>
      </c>
      <c r="I82" s="1525">
        <v>0.92664358293088833</v>
      </c>
      <c r="J82" s="1525">
        <v>0.89603664172479436</v>
      </c>
      <c r="K82" s="1525">
        <v>1.0042423465194081</v>
      </c>
      <c r="L82" s="1525">
        <v>1.102700724405461</v>
      </c>
      <c r="M82" s="1525">
        <v>0.99614945920386255</v>
      </c>
      <c r="N82" s="1526">
        <v>0.87357566378650731</v>
      </c>
    </row>
    <row r="83" spans="1:14">
      <c r="A83" s="1514"/>
      <c r="B83" s="1524" t="s">
        <v>634</v>
      </c>
      <c r="C83" s="1525">
        <v>0.98533612466240472</v>
      </c>
      <c r="D83" s="1525">
        <v>1.0728055781852122</v>
      </c>
      <c r="E83" s="1525">
        <v>1.0255848701177928</v>
      </c>
      <c r="F83" s="1525">
        <v>0.99657180037905801</v>
      </c>
      <c r="G83" s="1525">
        <v>1.0206909977587029</v>
      </c>
      <c r="H83" s="1525">
        <v>0.96927412619582665</v>
      </c>
      <c r="I83" s="1525">
        <v>0.93378164782487261</v>
      </c>
      <c r="J83" s="1525">
        <v>0.96541662203940393</v>
      </c>
      <c r="K83" s="1525">
        <v>1.0074783853353781</v>
      </c>
      <c r="L83" s="1525">
        <v>1.0639601106458039</v>
      </c>
      <c r="M83" s="1525">
        <v>1.0036680406025549</v>
      </c>
      <c r="N83" s="1526">
        <v>0.95543169625298718</v>
      </c>
    </row>
    <row r="84" spans="1:14">
      <c r="A84" s="1514"/>
      <c r="B84" s="1524" t="s">
        <v>889</v>
      </c>
      <c r="C84" s="1525">
        <v>0.73348487994639988</v>
      </c>
      <c r="D84" s="1525">
        <v>0.75870048232255605</v>
      </c>
      <c r="E84" s="1525">
        <v>0.86351015477953919</v>
      </c>
      <c r="F84" s="1525">
        <v>0.99499691906925003</v>
      </c>
      <c r="G84" s="1525">
        <v>1.1469343786813788</v>
      </c>
      <c r="H84" s="1525">
        <v>1.2422188641403629</v>
      </c>
      <c r="I84" s="1525">
        <v>1.0453973140438291</v>
      </c>
      <c r="J84" s="1525">
        <v>1.011946923931947</v>
      </c>
      <c r="K84" s="1525">
        <v>1.1588297742945839</v>
      </c>
      <c r="L84" s="1525">
        <v>1.2076516477997372</v>
      </c>
      <c r="M84" s="1525">
        <v>1.0549973247877515</v>
      </c>
      <c r="N84" s="1526">
        <v>0.78133133620266149</v>
      </c>
    </row>
    <row r="85" spans="1:14">
      <c r="A85" s="1514"/>
      <c r="B85" s="1524" t="s">
        <v>890</v>
      </c>
      <c r="C85" s="1525">
        <v>0.92272057122457984</v>
      </c>
      <c r="D85" s="1525">
        <v>0.94135274455735352</v>
      </c>
      <c r="E85" s="1525">
        <v>0.95347098805618913</v>
      </c>
      <c r="F85" s="1525">
        <v>1.0076140375965024</v>
      </c>
      <c r="G85" s="1525">
        <v>1.0216793987288886</v>
      </c>
      <c r="H85" s="1525">
        <v>1.0503123638769227</v>
      </c>
      <c r="I85" s="1525">
        <v>1.0889631003420388</v>
      </c>
      <c r="J85" s="1525">
        <v>1.0469727923360097</v>
      </c>
      <c r="K85" s="1525">
        <v>1.0577906216079946</v>
      </c>
      <c r="L85" s="1525">
        <v>1.0393520954507633</v>
      </c>
      <c r="M85" s="1525">
        <v>0.96603837980560447</v>
      </c>
      <c r="N85" s="1526">
        <v>0.90373290641714965</v>
      </c>
    </row>
    <row r="86" spans="1:14">
      <c r="A86" s="1514"/>
      <c r="B86" s="1524" t="s">
        <v>891</v>
      </c>
      <c r="C86" s="1525">
        <v>0.88037802268395959</v>
      </c>
      <c r="D86" s="1525">
        <v>0.91254968383824353</v>
      </c>
      <c r="E86" s="1525">
        <v>0.94184460723041141</v>
      </c>
      <c r="F86" s="1525">
        <v>0.98915642038617213</v>
      </c>
      <c r="G86" s="1525">
        <v>1.0326468794659607</v>
      </c>
      <c r="H86" s="1525">
        <v>1.0897581905945772</v>
      </c>
      <c r="I86" s="1525">
        <v>1.1137298544952507</v>
      </c>
      <c r="J86" s="1525">
        <v>1.023902738600573</v>
      </c>
      <c r="K86" s="1525">
        <v>1.0734799578472387</v>
      </c>
      <c r="L86" s="1525">
        <v>1.0881636028361994</v>
      </c>
      <c r="M86" s="1525">
        <v>0.97930460601921165</v>
      </c>
      <c r="N86" s="1526">
        <v>0.87508543600220623</v>
      </c>
    </row>
    <row r="87" spans="1:14">
      <c r="A87" s="1514"/>
      <c r="B87" s="1524" t="s">
        <v>892</v>
      </c>
      <c r="C87" s="1525">
        <v>0.93985626833622016</v>
      </c>
      <c r="D87" s="1525">
        <v>0.98308843721078576</v>
      </c>
      <c r="E87" s="1525">
        <v>1.019271799221696</v>
      </c>
      <c r="F87" s="1525">
        <v>1.001028695826006</v>
      </c>
      <c r="G87" s="1525">
        <v>1.0129544649299125</v>
      </c>
      <c r="H87" s="1525">
        <v>1.0288383539888182</v>
      </c>
      <c r="I87" s="1525">
        <v>1.0023954769873251</v>
      </c>
      <c r="J87" s="1525">
        <v>0.99053886244337075</v>
      </c>
      <c r="K87" s="1525">
        <v>1.0284231656685014</v>
      </c>
      <c r="L87" s="1525">
        <v>1.0535095694525172</v>
      </c>
      <c r="M87" s="1525">
        <v>1.0262869421674876</v>
      </c>
      <c r="N87" s="1526">
        <v>0.91380796376735973</v>
      </c>
    </row>
    <row r="88" spans="1:14">
      <c r="A88" s="1514"/>
      <c r="B88" s="1524" t="s">
        <v>893</v>
      </c>
      <c r="C88" s="1525">
        <v>1.0470074999340571</v>
      </c>
      <c r="D88" s="1525">
        <v>1.059593472005145</v>
      </c>
      <c r="E88" s="1525">
        <v>1.0239354368430023</v>
      </c>
      <c r="F88" s="1525">
        <v>1.0251113601831505</v>
      </c>
      <c r="G88" s="1525">
        <v>1.0071156634445939</v>
      </c>
      <c r="H88" s="1525">
        <v>0.97734025952711046</v>
      </c>
      <c r="I88" s="1525">
        <v>0.92906937261060774</v>
      </c>
      <c r="J88" s="1525">
        <v>0.92487651883817812</v>
      </c>
      <c r="K88" s="1525">
        <v>1.0200101238433259</v>
      </c>
      <c r="L88" s="1525">
        <v>1.0890213241300426</v>
      </c>
      <c r="M88" s="1525">
        <v>1.0011189819550241</v>
      </c>
      <c r="N88" s="1526">
        <v>0.89579998668576455</v>
      </c>
    </row>
    <row r="89" spans="1:14">
      <c r="A89" s="1514"/>
      <c r="B89" s="1524" t="s">
        <v>894</v>
      </c>
      <c r="C89" s="1525">
        <v>0.90660924833113843</v>
      </c>
      <c r="D89" s="1525">
        <v>0.92419790948775815</v>
      </c>
      <c r="E89" s="1525">
        <v>0.95774907637806128</v>
      </c>
      <c r="F89" s="1525">
        <v>0.99700048788888151</v>
      </c>
      <c r="G89" s="1525">
        <v>1.0211149749465736</v>
      </c>
      <c r="H89" s="1525">
        <v>1.0897365211813339</v>
      </c>
      <c r="I89" s="1525">
        <v>1.0548982357367984</v>
      </c>
      <c r="J89" s="1525">
        <v>1.0551152331616009</v>
      </c>
      <c r="K89" s="1525">
        <v>1.072114786067774</v>
      </c>
      <c r="L89" s="1525">
        <v>1.1222203327086413</v>
      </c>
      <c r="M89" s="1525">
        <v>0.9626093346845126</v>
      </c>
      <c r="N89" s="1526">
        <v>0.8366338594269247</v>
      </c>
    </row>
    <row r="90" spans="1:14">
      <c r="A90" s="1514"/>
      <c r="B90" s="1524" t="s">
        <v>895</v>
      </c>
      <c r="C90" s="1525">
        <v>1.1439969521525986</v>
      </c>
      <c r="D90" s="1525">
        <v>0.95215565153064197</v>
      </c>
      <c r="E90" s="1525">
        <v>0.97013041188448101</v>
      </c>
      <c r="F90" s="1525">
        <v>0.98835073088706693</v>
      </c>
      <c r="G90" s="1525">
        <v>1.0075202336178617</v>
      </c>
      <c r="H90" s="1525">
        <v>1.0086248493340066</v>
      </c>
      <c r="I90" s="1525">
        <v>0.97513317159867352</v>
      </c>
      <c r="J90" s="1525">
        <v>0.98269797079292232</v>
      </c>
      <c r="K90" s="1525">
        <v>1.0166296630799287</v>
      </c>
      <c r="L90" s="1525">
        <v>1.0378690261180492</v>
      </c>
      <c r="M90" s="1525">
        <v>0.97993404228327452</v>
      </c>
      <c r="N90" s="1526">
        <v>0.93695729672049455</v>
      </c>
    </row>
    <row r="91" spans="1:14">
      <c r="A91" s="1514"/>
      <c r="B91" s="1524" t="s">
        <v>896</v>
      </c>
      <c r="C91" s="1525">
        <v>1.2103884047891613</v>
      </c>
      <c r="D91" s="1525">
        <v>1.3296420015391144</v>
      </c>
      <c r="E91" s="1525">
        <v>1.3095993554191758</v>
      </c>
      <c r="F91" s="1525">
        <v>1.1280366749740502</v>
      </c>
      <c r="G91" s="1525">
        <v>0.90709677510241682</v>
      </c>
      <c r="H91" s="1525">
        <v>0.81391579821398075</v>
      </c>
      <c r="I91" s="1525">
        <v>0.82462721985295129</v>
      </c>
      <c r="J91" s="1525">
        <v>0.75978768983725697</v>
      </c>
      <c r="K91" s="1525">
        <v>0.77613029143999002</v>
      </c>
      <c r="L91" s="1525">
        <v>0.8937479782699147</v>
      </c>
      <c r="M91" s="1525">
        <v>0.99234566635396226</v>
      </c>
      <c r="N91" s="1526">
        <v>1.0546821442080292</v>
      </c>
    </row>
    <row r="92" spans="1:14">
      <c r="A92" s="1514"/>
      <c r="B92" s="1524" t="s">
        <v>897</v>
      </c>
      <c r="C92" s="1525">
        <v>1.1087026884629656</v>
      </c>
      <c r="D92" s="1525">
        <v>1.3725646603521862</v>
      </c>
      <c r="E92" s="1525">
        <v>1.5189316540358138</v>
      </c>
      <c r="F92" s="1525">
        <v>1.1470792248554851</v>
      </c>
      <c r="G92" s="1525">
        <v>0.9022073436543776</v>
      </c>
      <c r="H92" s="1525">
        <v>0.81952075437603333</v>
      </c>
      <c r="I92" s="1525">
        <v>0.85946804512672981</v>
      </c>
      <c r="J92" s="1525">
        <v>0.77612292751160861</v>
      </c>
      <c r="K92" s="1525">
        <v>0.76019501739747286</v>
      </c>
      <c r="L92" s="1525">
        <v>0.81559358278499972</v>
      </c>
      <c r="M92" s="1525">
        <v>0.84777385797254801</v>
      </c>
      <c r="N92" s="1526">
        <v>1.0718402434697829</v>
      </c>
    </row>
    <row r="93" spans="1:14">
      <c r="A93" s="1514"/>
      <c r="B93" s="1524" t="s">
        <v>898</v>
      </c>
      <c r="C93" s="1525">
        <v>0.93873953160233015</v>
      </c>
      <c r="D93" s="1525">
        <v>0.98707763514182467</v>
      </c>
      <c r="E93" s="1525">
        <v>1.0075305757126061</v>
      </c>
      <c r="F93" s="1525">
        <v>1.0187169249613599</v>
      </c>
      <c r="G93" s="1525">
        <v>1.0474756031305013</v>
      </c>
      <c r="H93" s="1525">
        <v>1.0031918526154622</v>
      </c>
      <c r="I93" s="1525">
        <v>0.95515592477020927</v>
      </c>
      <c r="J93" s="1525">
        <v>0.96409642627853709</v>
      </c>
      <c r="K93" s="1525">
        <v>1.0587520202313452</v>
      </c>
      <c r="L93" s="1525">
        <v>1.0955216684829159</v>
      </c>
      <c r="M93" s="1525">
        <v>1.0134703751010867</v>
      </c>
      <c r="N93" s="1526">
        <v>0.91027146197182274</v>
      </c>
    </row>
    <row r="94" spans="1:14">
      <c r="A94" s="1514"/>
      <c r="B94" s="1524" t="s">
        <v>899</v>
      </c>
      <c r="C94" s="1525">
        <v>0.99783841782080618</v>
      </c>
      <c r="D94" s="1525">
        <v>1.1326502042198896</v>
      </c>
      <c r="E94" s="1525">
        <v>1.0350796196606649</v>
      </c>
      <c r="F94" s="1525">
        <v>1.0509293309775702</v>
      </c>
      <c r="G94" s="1525">
        <v>1.0763427636602705</v>
      </c>
      <c r="H94" s="1525">
        <v>0.96057268431158471</v>
      </c>
      <c r="I94" s="1525">
        <v>0.91050242068750697</v>
      </c>
      <c r="J94" s="1525">
        <v>0.90424346563732705</v>
      </c>
      <c r="K94" s="1525">
        <v>1.0116354792522366</v>
      </c>
      <c r="L94" s="1525">
        <v>1.0636533821975263</v>
      </c>
      <c r="M94" s="1525">
        <v>0.97584139558163807</v>
      </c>
      <c r="N94" s="1526">
        <v>0.8807108359929825</v>
      </c>
    </row>
    <row r="95" spans="1:14">
      <c r="A95" s="1514"/>
      <c r="B95" s="1524" t="s">
        <v>900</v>
      </c>
      <c r="C95" s="1525">
        <v>0.89552367612519512</v>
      </c>
      <c r="D95" s="1525">
        <v>0.99153091078596844</v>
      </c>
      <c r="E95" s="1525">
        <v>1.0134749513908663</v>
      </c>
      <c r="F95" s="1525">
        <v>1.0963137769053941</v>
      </c>
      <c r="G95" s="1525">
        <v>1.0821495843873175</v>
      </c>
      <c r="H95" s="1525">
        <v>0.99802831249420754</v>
      </c>
      <c r="I95" s="1525">
        <v>0.9625622447044988</v>
      </c>
      <c r="J95" s="1525">
        <v>1.0032455289694038</v>
      </c>
      <c r="K95" s="1525">
        <v>0.98448442756918009</v>
      </c>
      <c r="L95" s="1525">
        <v>1.0421892385991234</v>
      </c>
      <c r="M95" s="1525">
        <v>0.98105024997120938</v>
      </c>
      <c r="N95" s="1526">
        <v>0.94944709809763228</v>
      </c>
    </row>
    <row r="96" spans="1:14">
      <c r="A96" s="1514"/>
      <c r="B96" s="1524" t="s">
        <v>901</v>
      </c>
      <c r="C96" s="1525">
        <v>0.92982779603642285</v>
      </c>
      <c r="D96" s="1525">
        <v>0.98572543695870141</v>
      </c>
      <c r="E96" s="1525">
        <v>1.1286720787096103</v>
      </c>
      <c r="F96" s="1525">
        <v>1.0913789890837913</v>
      </c>
      <c r="G96" s="1525">
        <v>1.0889706490527984</v>
      </c>
      <c r="H96" s="1525">
        <v>1.025784760511361</v>
      </c>
      <c r="I96" s="1525">
        <v>1.0256903344122246</v>
      </c>
      <c r="J96" s="1525">
        <v>0.89483141960832069</v>
      </c>
      <c r="K96" s="1525">
        <v>0.93730181158428505</v>
      </c>
      <c r="L96" s="1525">
        <v>0.99812455650650234</v>
      </c>
      <c r="M96" s="1525">
        <v>0.95544028229844868</v>
      </c>
      <c r="N96" s="1526">
        <v>0.93825188523753222</v>
      </c>
    </row>
    <row r="97" spans="1:14">
      <c r="A97" s="1514"/>
      <c r="B97" s="1524" t="s">
        <v>902</v>
      </c>
      <c r="C97" s="1525">
        <v>0.92082047779132792</v>
      </c>
      <c r="D97" s="1525">
        <v>0.9665326427316816</v>
      </c>
      <c r="E97" s="1525">
        <v>1.022166060598106</v>
      </c>
      <c r="F97" s="1525">
        <v>1.0290272704005055</v>
      </c>
      <c r="G97" s="1525">
        <v>1.0058993416625481</v>
      </c>
      <c r="H97" s="1525">
        <v>1.0144924097594072</v>
      </c>
      <c r="I97" s="1525">
        <v>0.99711228450957223</v>
      </c>
      <c r="J97" s="1525">
        <v>0.9914084004741831</v>
      </c>
      <c r="K97" s="1525">
        <v>1.0146785511390166</v>
      </c>
      <c r="L97" s="1525">
        <v>1.1053862642439345</v>
      </c>
      <c r="M97" s="1525">
        <v>1.0082384999758374</v>
      </c>
      <c r="N97" s="1526">
        <v>0.9242377967138794</v>
      </c>
    </row>
    <row r="98" spans="1:14">
      <c r="A98" s="1514"/>
      <c r="B98" s="1524" t="s">
        <v>903</v>
      </c>
      <c r="C98" s="1525">
        <v>0.96211611939846364</v>
      </c>
      <c r="D98" s="1525">
        <v>1.0161261801910682</v>
      </c>
      <c r="E98" s="1525">
        <v>1.0007601349470325</v>
      </c>
      <c r="F98" s="1525">
        <v>0.9995883870366894</v>
      </c>
      <c r="G98" s="1525">
        <v>0.98832024627617476</v>
      </c>
      <c r="H98" s="1525">
        <v>1.0367662641056412</v>
      </c>
      <c r="I98" s="1525">
        <v>1.0592774520438428</v>
      </c>
      <c r="J98" s="1525">
        <v>1.0536909676651678</v>
      </c>
      <c r="K98" s="1525">
        <v>0.98809705619801391</v>
      </c>
      <c r="L98" s="1525">
        <v>1.0248745580124961</v>
      </c>
      <c r="M98" s="1525">
        <v>0.96996041419304624</v>
      </c>
      <c r="N98" s="1526">
        <v>0.90042221993236693</v>
      </c>
    </row>
    <row r="99" spans="1:14">
      <c r="A99" s="1514"/>
      <c r="B99" s="1524" t="s">
        <v>904</v>
      </c>
      <c r="C99" s="1525">
        <v>0.8465105368904543</v>
      </c>
      <c r="D99" s="1525">
        <v>0.96001885646835594</v>
      </c>
      <c r="E99" s="1525">
        <v>0.98677866438372241</v>
      </c>
      <c r="F99" s="1525">
        <v>1.0481817169877818</v>
      </c>
      <c r="G99" s="1525">
        <v>1.6986344556182795</v>
      </c>
      <c r="H99" s="1525">
        <v>0.9478514302497616</v>
      </c>
      <c r="I99" s="1525">
        <v>0.8809729505496795</v>
      </c>
      <c r="J99" s="1525">
        <v>0.86013564317488689</v>
      </c>
      <c r="K99" s="1525">
        <v>0.97054674801977936</v>
      </c>
      <c r="L99" s="1525">
        <v>1.0433533010405887</v>
      </c>
      <c r="M99" s="1525">
        <v>0.92250096706216833</v>
      </c>
      <c r="N99" s="1526">
        <v>0.83451472955454298</v>
      </c>
    </row>
    <row r="100" spans="1:14">
      <c r="A100" s="1514"/>
      <c r="B100" s="1524" t="s">
        <v>905</v>
      </c>
      <c r="C100" s="1525">
        <v>0.96823293679348732</v>
      </c>
      <c r="D100" s="1525">
        <v>0.99036753630353291</v>
      </c>
      <c r="E100" s="1525">
        <v>1.0019513620005003</v>
      </c>
      <c r="F100" s="1525">
        <v>1.0259262048082098</v>
      </c>
      <c r="G100" s="1525">
        <v>1.0791856622625129</v>
      </c>
      <c r="H100" s="1525">
        <v>0.98715982543802072</v>
      </c>
      <c r="I100" s="1525">
        <v>0.95634149241748989</v>
      </c>
      <c r="J100" s="1525">
        <v>1.0019557370217131</v>
      </c>
      <c r="K100" s="1525">
        <v>1.0120895166254393</v>
      </c>
      <c r="L100" s="1525">
        <v>1.0211131345963995</v>
      </c>
      <c r="M100" s="1525">
        <v>0.97752069667017449</v>
      </c>
      <c r="N100" s="1526">
        <v>0.97815589506251865</v>
      </c>
    </row>
    <row r="101" spans="1:14">
      <c r="A101" s="1514"/>
      <c r="B101" s="1524" t="s">
        <v>906</v>
      </c>
      <c r="C101" s="1525">
        <v>1.2141412745619296</v>
      </c>
      <c r="D101" s="1525">
        <v>1.3360163188023089</v>
      </c>
      <c r="E101" s="1525">
        <v>1.315642424845731</v>
      </c>
      <c r="F101" s="1525">
        <v>1.0940119152731329</v>
      </c>
      <c r="G101" s="1525">
        <v>0.92423406483788584</v>
      </c>
      <c r="H101" s="1525">
        <v>0.78844767743567112</v>
      </c>
      <c r="I101" s="1525">
        <v>0.81861068731949393</v>
      </c>
      <c r="J101" s="1525">
        <v>0.75228730696732204</v>
      </c>
      <c r="K101" s="1525">
        <v>0.73550941477993625</v>
      </c>
      <c r="L101" s="1525">
        <v>0.85602759834742659</v>
      </c>
      <c r="M101" s="1525">
        <v>0.92996783360607715</v>
      </c>
      <c r="N101" s="1526">
        <v>1.2351034832230861</v>
      </c>
    </row>
    <row r="102" spans="1:14">
      <c r="A102" s="1514"/>
      <c r="B102" s="1524" t="s">
        <v>907</v>
      </c>
      <c r="C102" s="1525">
        <v>0.8970796291148716</v>
      </c>
      <c r="D102" s="1525">
        <v>0.90936222711542081</v>
      </c>
      <c r="E102" s="1525">
        <v>0.91651033050461472</v>
      </c>
      <c r="F102" s="1525">
        <v>0.98431869514351955</v>
      </c>
      <c r="G102" s="1525">
        <v>1.0219063063442777</v>
      </c>
      <c r="H102" s="1525">
        <v>1.1422679604538399</v>
      </c>
      <c r="I102" s="1525">
        <v>1.1516312115890548</v>
      </c>
      <c r="J102" s="1525">
        <v>1.0814097220439258</v>
      </c>
      <c r="K102" s="1525">
        <v>1.0573712283978203</v>
      </c>
      <c r="L102" s="1525">
        <v>1.0445353628910958</v>
      </c>
      <c r="M102" s="1525">
        <v>0.93336495427306398</v>
      </c>
      <c r="N102" s="1526">
        <v>0.86024237212849664</v>
      </c>
    </row>
    <row r="103" spans="1:14">
      <c r="A103" s="1514"/>
      <c r="B103" s="1524" t="s">
        <v>908</v>
      </c>
      <c r="C103" s="1525">
        <v>0.88360695896867436</v>
      </c>
      <c r="D103" s="1525">
        <v>0.97482435978231352</v>
      </c>
      <c r="E103" s="1525">
        <v>0.90602463283140211</v>
      </c>
      <c r="F103" s="1525">
        <v>1.0258669191545726</v>
      </c>
      <c r="G103" s="1525">
        <v>1.0046236692792301</v>
      </c>
      <c r="H103" s="1525">
        <v>1.0720335286635019</v>
      </c>
      <c r="I103" s="1525">
        <v>1.0460910439559084</v>
      </c>
      <c r="J103" s="1525">
        <v>1.0413406412735846</v>
      </c>
      <c r="K103" s="1525">
        <v>1.1010129983972219</v>
      </c>
      <c r="L103" s="1525">
        <v>1.1192974897841432</v>
      </c>
      <c r="M103" s="1525">
        <v>0.96404641000945734</v>
      </c>
      <c r="N103" s="1526">
        <v>0.86123134789999112</v>
      </c>
    </row>
    <row r="104" spans="1:14">
      <c r="A104" s="1514"/>
      <c r="B104" s="1524" t="s">
        <v>150</v>
      </c>
      <c r="C104" s="1525">
        <v>0.88111218437382199</v>
      </c>
      <c r="D104" s="1525">
        <v>0.96163584978463856</v>
      </c>
      <c r="E104" s="1525">
        <v>1.016255392926722</v>
      </c>
      <c r="F104" s="1525">
        <v>1.034366023998937</v>
      </c>
      <c r="G104" s="1525">
        <v>1.0278752034314205</v>
      </c>
      <c r="H104" s="1525">
        <v>1.0840335777912908</v>
      </c>
      <c r="I104" s="1525">
        <v>0.95598678878226329</v>
      </c>
      <c r="J104" s="1525">
        <v>0.96444177892398109</v>
      </c>
      <c r="K104" s="1525">
        <v>1.0276244685797471</v>
      </c>
      <c r="L104" s="1525">
        <v>1.1094693100981017</v>
      </c>
      <c r="M104" s="1525">
        <v>1.0038820355006832</v>
      </c>
      <c r="N104" s="1526">
        <v>0.93331738580839285</v>
      </c>
    </row>
    <row r="105" spans="1:14">
      <c r="A105" s="1514"/>
      <c r="B105" s="1524" t="s">
        <v>909</v>
      </c>
      <c r="C105" s="1525">
        <v>0.9817490888893301</v>
      </c>
      <c r="D105" s="1525">
        <v>1.175310934990949</v>
      </c>
      <c r="E105" s="1525">
        <v>1.1403424382388794</v>
      </c>
      <c r="F105" s="1525">
        <v>1.1524948072990295</v>
      </c>
      <c r="G105" s="1525">
        <v>1.0662957765364722</v>
      </c>
      <c r="H105" s="1525">
        <v>0.94194958801819328</v>
      </c>
      <c r="I105" s="1525">
        <v>0.87665005591882805</v>
      </c>
      <c r="J105" s="1525">
        <v>0.71454601970231446</v>
      </c>
      <c r="K105" s="1525">
        <v>0.89989409097964701</v>
      </c>
      <c r="L105" s="1525">
        <v>1.1346268104377588</v>
      </c>
      <c r="M105" s="1525">
        <v>1.038635296952086</v>
      </c>
      <c r="N105" s="1526">
        <v>0.87750509203651261</v>
      </c>
    </row>
    <row r="106" spans="1:14">
      <c r="A106" s="1514"/>
      <c r="B106" s="1524" t="s">
        <v>910</v>
      </c>
      <c r="C106" s="1525">
        <v>0.74148523888033124</v>
      </c>
      <c r="D106" s="1525">
        <v>0.74554835090016203</v>
      </c>
      <c r="E106" s="1525">
        <v>0.90052182837867678</v>
      </c>
      <c r="F106" s="1525">
        <v>0.99757900484275208</v>
      </c>
      <c r="G106" s="1525">
        <v>1.0892665096583301</v>
      </c>
      <c r="H106" s="1525">
        <v>1.0639748686346373</v>
      </c>
      <c r="I106" s="1525">
        <v>0.91535404748809568</v>
      </c>
      <c r="J106" s="1525">
        <v>0.89105552501059437</v>
      </c>
      <c r="K106" s="1525">
        <v>1.2230071352964393</v>
      </c>
      <c r="L106" s="1525">
        <v>1.1882588287041709</v>
      </c>
      <c r="M106" s="1525">
        <v>1.0856270356197419</v>
      </c>
      <c r="N106" s="1526">
        <v>1.1583216265860685</v>
      </c>
    </row>
    <row r="107" spans="1:14">
      <c r="A107" s="1514"/>
      <c r="B107" s="1524" t="s">
        <v>911</v>
      </c>
      <c r="C107" s="1525">
        <v>0.97232539050296329</v>
      </c>
      <c r="D107" s="1525">
        <v>0.997205945669977</v>
      </c>
      <c r="E107" s="1525">
        <v>1.034707132258792</v>
      </c>
      <c r="F107" s="1525">
        <v>1.0386252695954052</v>
      </c>
      <c r="G107" s="1525">
        <v>1.0381191449327991</v>
      </c>
      <c r="H107" s="1525">
        <v>1.0075380600357631</v>
      </c>
      <c r="I107" s="1525">
        <v>0.95191506687763994</v>
      </c>
      <c r="J107" s="1525">
        <v>0.96164727871417877</v>
      </c>
      <c r="K107" s="1525">
        <v>1.0024418765574261</v>
      </c>
      <c r="L107" s="1525">
        <v>1.0365249211999044</v>
      </c>
      <c r="M107" s="1525">
        <v>0.99964616221614677</v>
      </c>
      <c r="N107" s="1526">
        <v>0.95930375143900648</v>
      </c>
    </row>
    <row r="108" spans="1:14">
      <c r="A108" s="1514"/>
      <c r="B108" s="1524" t="s">
        <v>912</v>
      </c>
      <c r="C108" s="1525">
        <v>0.9425719187218492</v>
      </c>
      <c r="D108" s="1525">
        <v>0.97450377741117944</v>
      </c>
      <c r="E108" s="1525">
        <v>1.0297967949270797</v>
      </c>
      <c r="F108" s="1525">
        <v>0.97449941430092757</v>
      </c>
      <c r="G108" s="1525">
        <v>0.95866287541473194</v>
      </c>
      <c r="H108" s="1525">
        <v>1.0204270641401931</v>
      </c>
      <c r="I108" s="1525">
        <v>1.1082841065419167</v>
      </c>
      <c r="J108" s="1525">
        <v>1.03463509636438</v>
      </c>
      <c r="K108" s="1525">
        <v>0.96443817901812279</v>
      </c>
      <c r="L108" s="1525">
        <v>1.0326490085777293</v>
      </c>
      <c r="M108" s="1525">
        <v>0.97058395916090001</v>
      </c>
      <c r="N108" s="1526">
        <v>0.98894780542098992</v>
      </c>
    </row>
    <row r="109" spans="1:14">
      <c r="A109" s="1514"/>
      <c r="B109" s="1524" t="s">
        <v>913</v>
      </c>
      <c r="C109" s="1525">
        <v>1.080600087210299</v>
      </c>
      <c r="D109" s="1525">
        <v>1.1399271025912046</v>
      </c>
      <c r="E109" s="1525">
        <v>1.1500241940106946</v>
      </c>
      <c r="F109" s="1525">
        <v>1.0580909163220078</v>
      </c>
      <c r="G109" s="1525">
        <v>0.96996663966426433</v>
      </c>
      <c r="H109" s="1525">
        <v>0.96345307103270372</v>
      </c>
      <c r="I109" s="1525">
        <v>0.90359708955026563</v>
      </c>
      <c r="J109" s="1525">
        <v>0.8183717017425729</v>
      </c>
      <c r="K109" s="1525">
        <v>0.87985077518004606</v>
      </c>
      <c r="L109" s="1525">
        <v>1.0413455549829234</v>
      </c>
      <c r="M109" s="1525">
        <v>0.98525769561879861</v>
      </c>
      <c r="N109" s="1526">
        <v>1.009515172094219</v>
      </c>
    </row>
    <row r="110" spans="1:14">
      <c r="A110" s="1514"/>
      <c r="B110" s="1524" t="s">
        <v>914</v>
      </c>
      <c r="C110" s="1525">
        <v>1.2509593429280805</v>
      </c>
      <c r="D110" s="1525">
        <v>1.458398413558303</v>
      </c>
      <c r="E110" s="1525">
        <v>1.4652238737770953</v>
      </c>
      <c r="F110" s="1525">
        <v>1.1550486657290719</v>
      </c>
      <c r="G110" s="1525">
        <v>0.84659344290097194</v>
      </c>
      <c r="H110" s="1525">
        <v>0.76285425061191869</v>
      </c>
      <c r="I110" s="1525">
        <v>0.76302318459673524</v>
      </c>
      <c r="J110" s="1525">
        <v>0.7167141834688977</v>
      </c>
      <c r="K110" s="1525">
        <v>0.73158509725456999</v>
      </c>
      <c r="L110" s="1525">
        <v>0.85393031835598421</v>
      </c>
      <c r="M110" s="1525">
        <v>0.91450666223791599</v>
      </c>
      <c r="N110" s="1526">
        <v>1.0811625645804526</v>
      </c>
    </row>
    <row r="111" spans="1:14">
      <c r="A111" s="1514"/>
      <c r="B111" s="1524" t="s">
        <v>915</v>
      </c>
      <c r="C111" s="1525">
        <v>0.84214358773324616</v>
      </c>
      <c r="D111" s="1525">
        <v>0.87667184162877621</v>
      </c>
      <c r="E111" s="1525">
        <v>0.95956938843944894</v>
      </c>
      <c r="F111" s="1525">
        <v>1.0505240380272891</v>
      </c>
      <c r="G111" s="1525">
        <v>1.1314373745917776</v>
      </c>
      <c r="H111" s="1525">
        <v>1.102622430467866</v>
      </c>
      <c r="I111" s="1525">
        <v>0.98909825029478293</v>
      </c>
      <c r="J111" s="1525">
        <v>0.92422488496002941</v>
      </c>
      <c r="K111" s="1525">
        <v>1.0752239516009696</v>
      </c>
      <c r="L111" s="1525">
        <v>1.1212367693579075</v>
      </c>
      <c r="M111" s="1525">
        <v>1.0264183270371126</v>
      </c>
      <c r="N111" s="1526">
        <v>0.90082915586079559</v>
      </c>
    </row>
    <row r="112" spans="1:14">
      <c r="A112" s="1514"/>
      <c r="B112" s="1524" t="s">
        <v>916</v>
      </c>
      <c r="C112" s="1525">
        <v>1.2298738451980384</v>
      </c>
      <c r="D112" s="1525">
        <v>1.3190679611984912</v>
      </c>
      <c r="E112" s="1525">
        <v>1.4335331673825173</v>
      </c>
      <c r="F112" s="1525">
        <v>1.1774952245404871</v>
      </c>
      <c r="G112" s="1525">
        <v>0.94304297585844754</v>
      </c>
      <c r="H112" s="1525">
        <v>0.72785486411295819</v>
      </c>
      <c r="I112" s="1525">
        <v>0.6620778304575643</v>
      </c>
      <c r="J112" s="1525">
        <v>0.64563701666099182</v>
      </c>
      <c r="K112" s="1525">
        <v>0.89584953758644381</v>
      </c>
      <c r="L112" s="1525">
        <v>1.0738355531100898</v>
      </c>
      <c r="M112" s="1525">
        <v>1.0256812962592365</v>
      </c>
      <c r="N112" s="1526">
        <v>0.8660507276347339</v>
      </c>
    </row>
    <row r="113" spans="1:14">
      <c r="A113" s="1514"/>
      <c r="B113" s="1524" t="s">
        <v>917</v>
      </c>
      <c r="C113" s="1525">
        <v>0.9071353400669212</v>
      </c>
      <c r="D113" s="1525">
        <v>0.91548050647511081</v>
      </c>
      <c r="E113" s="1525">
        <v>0.96266373052745957</v>
      </c>
      <c r="F113" s="1525">
        <v>0.98374441848135252</v>
      </c>
      <c r="G113" s="1525">
        <v>1.0558672517534859</v>
      </c>
      <c r="H113" s="1525">
        <v>1.0666393733371049</v>
      </c>
      <c r="I113" s="1525">
        <v>1.011348623323205</v>
      </c>
      <c r="J113" s="1525">
        <v>0.99840125782671518</v>
      </c>
      <c r="K113" s="1525">
        <v>1.0574375808671561</v>
      </c>
      <c r="L113" s="1525">
        <v>1.1050779761515523</v>
      </c>
      <c r="M113" s="1525">
        <v>1.0084596763584226</v>
      </c>
      <c r="N113" s="1526">
        <v>0.92774426483151695</v>
      </c>
    </row>
    <row r="114" spans="1:14">
      <c r="A114" s="1514"/>
      <c r="B114" s="1524" t="s">
        <v>918</v>
      </c>
      <c r="C114" s="1525">
        <v>0.83951023573592576</v>
      </c>
      <c r="D114" s="1525">
        <v>0.89804786300104178</v>
      </c>
      <c r="E114" s="1525">
        <v>0.94389646884417011</v>
      </c>
      <c r="F114" s="1525">
        <v>0.98003107861802263</v>
      </c>
      <c r="G114" s="1525">
        <v>1.0120984202369896</v>
      </c>
      <c r="H114" s="1525">
        <v>1.1054794027600523</v>
      </c>
      <c r="I114" s="1525">
        <v>1.1678481404926235</v>
      </c>
      <c r="J114" s="1525">
        <v>1.1708187385635866</v>
      </c>
      <c r="K114" s="1525">
        <v>1.0843262824942119</v>
      </c>
      <c r="L114" s="1525">
        <v>1.0524997418093871</v>
      </c>
      <c r="M114" s="1525">
        <v>0.91932419127847631</v>
      </c>
      <c r="N114" s="1526">
        <v>0.82611943616551264</v>
      </c>
    </row>
    <row r="115" spans="1:14">
      <c r="A115" s="1514"/>
      <c r="B115" s="1524" t="s">
        <v>919</v>
      </c>
      <c r="C115" s="1525">
        <v>0.97767201099669687</v>
      </c>
      <c r="D115" s="1525">
        <v>0.99997225440528104</v>
      </c>
      <c r="E115" s="1525">
        <v>1.0038791726112231</v>
      </c>
      <c r="F115" s="1525">
        <v>1.0271523377890321</v>
      </c>
      <c r="G115" s="1525">
        <v>1.05270830183377</v>
      </c>
      <c r="H115" s="1525">
        <v>0.98667614678265758</v>
      </c>
      <c r="I115" s="1525">
        <v>0.9410090801132891</v>
      </c>
      <c r="J115" s="1525">
        <v>0.95782331133207121</v>
      </c>
      <c r="K115" s="1525">
        <v>1.0223684272055575</v>
      </c>
      <c r="L115" s="1525">
        <v>1.0494072886296726</v>
      </c>
      <c r="M115" s="1525">
        <v>1.0317259519065964</v>
      </c>
      <c r="N115" s="1526">
        <v>0.94960571639415037</v>
      </c>
    </row>
    <row r="116" spans="1:14">
      <c r="A116" s="1514"/>
      <c r="B116" s="1524" t="s">
        <v>920</v>
      </c>
      <c r="C116" s="1525">
        <v>0.86007778062243123</v>
      </c>
      <c r="D116" s="1525">
        <v>0.94399863419109431</v>
      </c>
      <c r="E116" s="1525">
        <v>0.9882975233493636</v>
      </c>
      <c r="F116" s="1525">
        <v>1.0518560344840018</v>
      </c>
      <c r="G116" s="1525">
        <v>1.0506017919629502</v>
      </c>
      <c r="H116" s="1525">
        <v>1.071761981770714</v>
      </c>
      <c r="I116" s="1525">
        <v>1.0374373806407631</v>
      </c>
      <c r="J116" s="1525">
        <v>1.0192766805187894</v>
      </c>
      <c r="K116" s="1525">
        <v>1.0770662388126295</v>
      </c>
      <c r="L116" s="1525">
        <v>1.0474637236026529</v>
      </c>
      <c r="M116" s="1525">
        <v>0.97922153464767592</v>
      </c>
      <c r="N116" s="1526">
        <v>0.87294069539693342</v>
      </c>
    </row>
    <row r="117" spans="1:14">
      <c r="A117" s="1514"/>
      <c r="B117" s="1524" t="s">
        <v>921</v>
      </c>
      <c r="C117" s="1525">
        <v>1.0147421716749414</v>
      </c>
      <c r="D117" s="1525">
        <v>1.0294765250296236</v>
      </c>
      <c r="E117" s="1525">
        <v>1.0379885555693078</v>
      </c>
      <c r="F117" s="1525">
        <v>0.95766618104738455</v>
      </c>
      <c r="G117" s="1525">
        <v>0.96652433790091086</v>
      </c>
      <c r="H117" s="1525">
        <v>1.0247280218404113</v>
      </c>
      <c r="I117" s="1525">
        <v>0.9874596793322572</v>
      </c>
      <c r="J117" s="1525">
        <v>1.0435820999160126</v>
      </c>
      <c r="K117" s="1525">
        <v>1.0636294656853924</v>
      </c>
      <c r="L117" s="1525">
        <v>1.0384817723151425</v>
      </c>
      <c r="M117" s="1525">
        <v>0.96974787109789651</v>
      </c>
      <c r="N117" s="1526">
        <v>0.86597331859072013</v>
      </c>
    </row>
    <row r="118" spans="1:14">
      <c r="A118" s="1514"/>
      <c r="B118" s="1524" t="s">
        <v>922</v>
      </c>
      <c r="C118" s="1525">
        <v>0.95602545271614592</v>
      </c>
      <c r="D118" s="1525">
        <v>1.0237299602244549</v>
      </c>
      <c r="E118" s="1525">
        <v>1.1567284046237125</v>
      </c>
      <c r="F118" s="1525">
        <v>1.0757776262935383</v>
      </c>
      <c r="G118" s="1525">
        <v>0.96802502281934633</v>
      </c>
      <c r="H118" s="1525">
        <v>0.99585181881161833</v>
      </c>
      <c r="I118" s="1525">
        <v>0.98647752553016854</v>
      </c>
      <c r="J118" s="1525">
        <v>0.89936372246225949</v>
      </c>
      <c r="K118" s="1525">
        <v>0.94687591674735694</v>
      </c>
      <c r="L118" s="1525">
        <v>1.0511987914450542</v>
      </c>
      <c r="M118" s="1525">
        <v>0.95532684014247193</v>
      </c>
      <c r="N118" s="1526">
        <v>0.98461891818387826</v>
      </c>
    </row>
    <row r="119" spans="1:14">
      <c r="B119" s="1524" t="s">
        <v>923</v>
      </c>
      <c r="C119" s="1525">
        <v>0.91555029737682436</v>
      </c>
      <c r="D119" s="1525">
        <v>1.0011762231381984</v>
      </c>
      <c r="E119" s="1525">
        <v>1.0073112175300472</v>
      </c>
      <c r="F119" s="1525">
        <v>1.0038205865619065</v>
      </c>
      <c r="G119" s="1525">
        <v>0.99320507098349864</v>
      </c>
      <c r="H119" s="1525">
        <v>1.0400896241735083</v>
      </c>
      <c r="I119" s="1525">
        <v>1.2050734522088558</v>
      </c>
      <c r="J119" s="1525">
        <v>1.0525002356797768</v>
      </c>
      <c r="K119" s="1525">
        <v>1.0044186081267603</v>
      </c>
      <c r="L119" s="1525">
        <v>1.0155419592306132</v>
      </c>
      <c r="M119" s="1525">
        <v>0.93363353576312769</v>
      </c>
      <c r="N119" s="1526">
        <v>0.82767918922688055</v>
      </c>
    </row>
    <row r="120" spans="1:14">
      <c r="B120" s="1524" t="s">
        <v>924</v>
      </c>
      <c r="C120" s="1525">
        <v>1.1185252840062647</v>
      </c>
      <c r="D120" s="1525">
        <v>0.99056912137312603</v>
      </c>
      <c r="E120" s="1525">
        <v>0.97173081074328427</v>
      </c>
      <c r="F120" s="1525">
        <v>0.94746661325602299</v>
      </c>
      <c r="G120" s="1525">
        <v>0.97876495276340814</v>
      </c>
      <c r="H120" s="1525">
        <v>1.0050993180987529</v>
      </c>
      <c r="I120" s="1525">
        <v>0.99536647869988726</v>
      </c>
      <c r="J120" s="1525">
        <v>1.0061838760767599</v>
      </c>
      <c r="K120" s="1525">
        <v>1.0973350589205466</v>
      </c>
      <c r="L120" s="1525">
        <v>1.1301172329259688</v>
      </c>
      <c r="M120" s="1525">
        <v>0.97196083799575861</v>
      </c>
      <c r="N120" s="1526">
        <v>0.78688041514021934</v>
      </c>
    </row>
    <row r="121" spans="1:14">
      <c r="B121" s="1524" t="s">
        <v>925</v>
      </c>
      <c r="C121" s="1525">
        <v>0.99274978484075593</v>
      </c>
      <c r="D121" s="1525">
        <v>1.0477263331371396</v>
      </c>
      <c r="E121" s="1525">
        <v>1.0208757151265451</v>
      </c>
      <c r="F121" s="1525">
        <v>0.98412997972663674</v>
      </c>
      <c r="G121" s="1525">
        <v>1.0132909763913414</v>
      </c>
      <c r="H121" s="1525">
        <v>1.042728046563338</v>
      </c>
      <c r="I121" s="1525">
        <v>0.96474129880321768</v>
      </c>
      <c r="J121" s="1525">
        <v>0.97712049179255789</v>
      </c>
      <c r="K121" s="1525">
        <v>1.0204871362239225</v>
      </c>
      <c r="L121" s="1525">
        <v>1.0642180001307959</v>
      </c>
      <c r="M121" s="1525">
        <v>0.99913622392256896</v>
      </c>
      <c r="N121" s="1526">
        <v>0.87279601334118107</v>
      </c>
    </row>
    <row r="122" spans="1:14">
      <c r="B122" s="1524" t="s">
        <v>926</v>
      </c>
      <c r="C122" s="1525">
        <v>0.84499096091283821</v>
      </c>
      <c r="D122" s="1525">
        <v>0.86797251515187357</v>
      </c>
      <c r="E122" s="1525">
        <v>0.90409131772059736</v>
      </c>
      <c r="F122" s="1525">
        <v>0.92615825340503433</v>
      </c>
      <c r="G122" s="1525">
        <v>1.0344470978943505</v>
      </c>
      <c r="H122" s="1525">
        <v>1.1910612976408421</v>
      </c>
      <c r="I122" s="1525">
        <v>1.1937079017253396</v>
      </c>
      <c r="J122" s="1525">
        <v>1.2067462217243625</v>
      </c>
      <c r="K122" s="1525">
        <v>1.1201440848888589</v>
      </c>
      <c r="L122" s="1525">
        <v>1.012252038678972</v>
      </c>
      <c r="M122" s="1525">
        <v>0.90139806049511828</v>
      </c>
      <c r="N122" s="1526">
        <v>0.79703024976181513</v>
      </c>
    </row>
    <row r="123" spans="1:14">
      <c r="B123" s="1524" t="s">
        <v>927</v>
      </c>
      <c r="C123" s="1525">
        <v>1.0547110012513119</v>
      </c>
      <c r="D123" s="1525">
        <v>1.1526361056795467</v>
      </c>
      <c r="E123" s="1525">
        <v>1.2671147295804246</v>
      </c>
      <c r="F123" s="1525">
        <v>1.1299148910316643</v>
      </c>
      <c r="G123" s="1525">
        <v>0.99443303677111861</v>
      </c>
      <c r="H123" s="1525">
        <v>0.93593335479558259</v>
      </c>
      <c r="I123" s="1525">
        <v>0.93535771850160943</v>
      </c>
      <c r="J123" s="1525">
        <v>0.86901629352393717</v>
      </c>
      <c r="K123" s="1525">
        <v>0.87388374404707658</v>
      </c>
      <c r="L123" s="1525">
        <v>0.94975617743022889</v>
      </c>
      <c r="M123" s="1525">
        <v>0.91959391115399136</v>
      </c>
      <c r="N123" s="1526">
        <v>0.91764903623350724</v>
      </c>
    </row>
    <row r="124" spans="1:14">
      <c r="B124" s="1528" t="s">
        <v>928</v>
      </c>
      <c r="C124" s="1529">
        <v>0.8850538841448119</v>
      </c>
      <c r="D124" s="1529">
        <v>0.9363832862399265</v>
      </c>
      <c r="E124" s="1529">
        <v>1.1322525360367868</v>
      </c>
      <c r="F124" s="1529">
        <v>1.1469691580546988</v>
      </c>
      <c r="G124" s="1529">
        <v>1.1341965120168882</v>
      </c>
      <c r="H124" s="1529">
        <v>1.088958269376382</v>
      </c>
      <c r="I124" s="1529">
        <v>0.88171855669842736</v>
      </c>
      <c r="J124" s="1529">
        <v>0.80643653762480971</v>
      </c>
      <c r="K124" s="1529">
        <v>1.0497266156844109</v>
      </c>
      <c r="L124" s="1529">
        <v>1.1567813156256259</v>
      </c>
      <c r="M124" s="1529">
        <v>0.97428534993125571</v>
      </c>
      <c r="N124" s="1530">
        <v>0.80723797856597679</v>
      </c>
    </row>
    <row r="135" spans="3:14">
      <c r="C135" s="1531"/>
      <c r="D135" s="1531"/>
      <c r="E135" s="1531"/>
      <c r="F135" s="1531"/>
      <c r="G135" s="1531"/>
      <c r="H135" s="1531"/>
      <c r="I135" s="1531"/>
      <c r="J135" s="1531"/>
      <c r="K135" s="1531"/>
      <c r="L135" s="1531"/>
      <c r="M135" s="1531"/>
      <c r="N135" s="1531"/>
    </row>
    <row r="136" spans="3:14">
      <c r="C136" s="1532"/>
      <c r="D136" s="1532"/>
      <c r="E136" s="1532"/>
      <c r="F136" s="1532"/>
      <c r="G136" s="1532"/>
      <c r="H136" s="1532"/>
      <c r="I136" s="1532"/>
      <c r="J136" s="1532"/>
      <c r="K136" s="1532"/>
      <c r="L136" s="1532"/>
      <c r="M136" s="1532"/>
      <c r="N136" s="1532"/>
    </row>
  </sheetData>
  <conditionalFormatting sqref="C21:N21">
    <cfRule type="colorScale" priority="4">
      <colorScale>
        <cfvo type="min"/>
        <cfvo type="num" val="1"/>
        <cfvo type="max"/>
        <color rgb="FFF8696B"/>
        <color theme="0"/>
        <color rgb="FF63BE7B"/>
      </colorScale>
    </cfRule>
  </conditionalFormatting>
  <conditionalFormatting sqref="C22:N22">
    <cfRule type="colorScale" priority="3">
      <colorScale>
        <cfvo type="min"/>
        <cfvo type="num" val="1"/>
        <cfvo type="max"/>
        <color rgb="FFF8696B"/>
        <color theme="0"/>
        <color rgb="FF63BE7B"/>
      </colorScale>
    </cfRule>
  </conditionalFormatting>
  <conditionalFormatting sqref="C23:N70">
    <cfRule type="colorScale" priority="5">
      <colorScale>
        <cfvo type="min"/>
        <cfvo type="num" val="1"/>
        <cfvo type="max"/>
        <color rgb="FFF8696B"/>
        <color theme="0"/>
        <color rgb="FF63BE7B"/>
      </colorScale>
    </cfRule>
  </conditionalFormatting>
  <conditionalFormatting sqref="C75:N113">
    <cfRule type="colorScale" priority="2">
      <colorScale>
        <cfvo type="min"/>
        <cfvo type="num" val="1"/>
        <cfvo type="max"/>
        <color rgb="FFF8696B"/>
        <color theme="0"/>
        <color rgb="FF63BE7B"/>
      </colorScale>
    </cfRule>
  </conditionalFormatting>
  <conditionalFormatting sqref="C114:N124">
    <cfRule type="colorScale" priority="1">
      <colorScale>
        <cfvo type="min"/>
        <cfvo type="num" val="1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DBCE-71C3-47CC-ACF8-0B43502F0E3A}">
  <sheetPr>
    <tabColor theme="3" tint="0.59999389629810485"/>
  </sheetPr>
  <dimension ref="B3:J44"/>
  <sheetViews>
    <sheetView showGridLines="0" workbookViewId="0">
      <selection activeCell="H22" sqref="H22"/>
    </sheetView>
  </sheetViews>
  <sheetFormatPr defaultColWidth="9.140625" defaultRowHeight="15"/>
  <cols>
    <col min="3" max="3" width="15.7109375" customWidth="1"/>
    <col min="4" max="4" width="13.42578125" bestFit="1" customWidth="1"/>
    <col min="5" max="5" width="9.5703125" bestFit="1" customWidth="1"/>
    <col min="6" max="6" width="11.5703125" bestFit="1" customWidth="1"/>
    <col min="7" max="7" width="11.42578125" bestFit="1" customWidth="1"/>
    <col min="8" max="8" width="10.28515625" bestFit="1" customWidth="1"/>
    <col min="9" max="9" width="20.28515625" bestFit="1" customWidth="1"/>
    <col min="10" max="10" width="11.42578125" bestFit="1" customWidth="1"/>
  </cols>
  <sheetData>
    <row r="3" spans="2:10">
      <c r="B3" s="31" t="s">
        <v>684</v>
      </c>
      <c r="C3" s="31" t="s">
        <v>23</v>
      </c>
      <c r="D3" s="31" t="s">
        <v>534</v>
      </c>
      <c r="E3" s="31" t="s">
        <v>96</v>
      </c>
      <c r="F3" s="31" t="s">
        <v>609</v>
      </c>
      <c r="G3" s="31" t="s">
        <v>610</v>
      </c>
      <c r="H3" s="31" t="s">
        <v>611</v>
      </c>
      <c r="I3" s="31" t="s">
        <v>612</v>
      </c>
      <c r="J3" s="31" t="s">
        <v>610</v>
      </c>
    </row>
    <row r="4" spans="2:10">
      <c r="B4" s="1267" t="s">
        <v>165</v>
      </c>
      <c r="C4" t="s">
        <v>165</v>
      </c>
      <c r="D4" t="s">
        <v>613</v>
      </c>
      <c r="E4" s="1267">
        <v>12</v>
      </c>
      <c r="F4" s="1317">
        <v>458</v>
      </c>
      <c r="G4" s="4">
        <f>E4*F4</f>
        <v>5496</v>
      </c>
      <c r="H4" s="1267">
        <v>59</v>
      </c>
      <c r="I4" s="4">
        <f>H4*E4</f>
        <v>708</v>
      </c>
      <c r="J4" s="1181">
        <f>I4+G4</f>
        <v>6204</v>
      </c>
    </row>
    <row r="5" spans="2:10">
      <c r="B5" s="1267">
        <v>1</v>
      </c>
      <c r="C5" t="s">
        <v>614</v>
      </c>
      <c r="D5" t="s">
        <v>615</v>
      </c>
      <c r="E5" s="1267">
        <v>67</v>
      </c>
      <c r="F5" s="1317">
        <v>694</v>
      </c>
      <c r="G5" s="4">
        <f t="shared" ref="G5:G18" si="0">E5*F5</f>
        <v>46498</v>
      </c>
      <c r="H5" s="1267">
        <v>60</v>
      </c>
      <c r="I5" s="4">
        <f t="shared" ref="I5:I18" si="1">H5*E5</f>
        <v>4020</v>
      </c>
      <c r="J5">
        <f t="shared" ref="J5:J18" si="2">I5+G5</f>
        <v>50518</v>
      </c>
    </row>
    <row r="6" spans="2:10">
      <c r="B6" s="1267">
        <v>1</v>
      </c>
      <c r="D6" t="s">
        <v>616</v>
      </c>
      <c r="E6" s="1267">
        <v>4</v>
      </c>
      <c r="F6" s="1317">
        <v>696</v>
      </c>
      <c r="G6" s="4">
        <f t="shared" si="0"/>
        <v>2784</v>
      </c>
      <c r="H6" s="1267">
        <v>95</v>
      </c>
      <c r="I6" s="4">
        <f t="shared" si="1"/>
        <v>380</v>
      </c>
      <c r="J6">
        <f t="shared" si="2"/>
        <v>3164</v>
      </c>
    </row>
    <row r="7" spans="2:10">
      <c r="B7" s="1267">
        <v>1</v>
      </c>
      <c r="D7" t="s">
        <v>617</v>
      </c>
      <c r="E7" s="1267">
        <v>1</v>
      </c>
      <c r="F7" s="1317">
        <v>716</v>
      </c>
      <c r="G7" s="4">
        <f t="shared" si="0"/>
        <v>716</v>
      </c>
      <c r="H7" s="1267">
        <v>0</v>
      </c>
      <c r="I7" s="4">
        <f t="shared" si="1"/>
        <v>0</v>
      </c>
      <c r="J7">
        <f t="shared" si="2"/>
        <v>716</v>
      </c>
    </row>
    <row r="8" spans="2:10">
      <c r="B8" s="1267">
        <v>1</v>
      </c>
      <c r="D8" t="s">
        <v>680</v>
      </c>
      <c r="E8" s="1267">
        <v>2</v>
      </c>
      <c r="F8" s="1317">
        <v>798</v>
      </c>
      <c r="G8" s="4">
        <f t="shared" si="0"/>
        <v>1596</v>
      </c>
      <c r="H8" s="1267">
        <v>50</v>
      </c>
      <c r="I8" s="4">
        <f t="shared" si="1"/>
        <v>100</v>
      </c>
      <c r="J8">
        <f t="shared" si="2"/>
        <v>1696</v>
      </c>
    </row>
    <row r="9" spans="2:10">
      <c r="B9" s="1267">
        <v>1</v>
      </c>
      <c r="D9" t="s">
        <v>681</v>
      </c>
      <c r="E9" s="1267">
        <v>2</v>
      </c>
      <c r="F9" s="1317">
        <v>886</v>
      </c>
      <c r="G9" s="4">
        <f t="shared" si="0"/>
        <v>1772</v>
      </c>
      <c r="H9" s="1267">
        <v>0</v>
      </c>
      <c r="I9" s="4">
        <f t="shared" si="1"/>
        <v>0</v>
      </c>
      <c r="J9">
        <f t="shared" si="2"/>
        <v>1772</v>
      </c>
    </row>
    <row r="10" spans="2:10">
      <c r="B10" s="1267">
        <v>2</v>
      </c>
      <c r="C10" t="s">
        <v>618</v>
      </c>
      <c r="D10" t="s">
        <v>619</v>
      </c>
      <c r="E10" s="1267">
        <v>9</v>
      </c>
      <c r="F10" s="1317">
        <v>1051</v>
      </c>
      <c r="G10" s="4">
        <f t="shared" si="0"/>
        <v>9459</v>
      </c>
      <c r="H10" s="1267">
        <v>135</v>
      </c>
      <c r="I10" s="4">
        <f t="shared" si="1"/>
        <v>1215</v>
      </c>
      <c r="J10">
        <f t="shared" si="2"/>
        <v>10674</v>
      </c>
    </row>
    <row r="11" spans="2:10">
      <c r="B11" s="1267">
        <v>2</v>
      </c>
      <c r="D11" t="s">
        <v>682</v>
      </c>
      <c r="E11" s="1267">
        <v>8</v>
      </c>
      <c r="F11" s="1317">
        <v>963</v>
      </c>
      <c r="G11" s="4">
        <f t="shared" si="0"/>
        <v>7704</v>
      </c>
      <c r="H11" s="1267">
        <v>55</v>
      </c>
      <c r="I11" s="4">
        <f t="shared" si="1"/>
        <v>440</v>
      </c>
      <c r="J11">
        <f t="shared" si="2"/>
        <v>8144</v>
      </c>
    </row>
    <row r="12" spans="2:10">
      <c r="B12" s="1267">
        <v>2</v>
      </c>
      <c r="D12" t="s">
        <v>683</v>
      </c>
      <c r="E12" s="1267">
        <v>6</v>
      </c>
      <c r="F12" s="1317">
        <v>977</v>
      </c>
      <c r="G12" s="4">
        <f t="shared" si="0"/>
        <v>5862</v>
      </c>
      <c r="H12" s="1267">
        <v>60</v>
      </c>
      <c r="I12" s="4">
        <f t="shared" si="1"/>
        <v>360</v>
      </c>
      <c r="J12">
        <f t="shared" si="2"/>
        <v>6222</v>
      </c>
    </row>
    <row r="13" spans="2:10">
      <c r="B13" s="1267">
        <v>2</v>
      </c>
      <c r="D13" t="s">
        <v>620</v>
      </c>
      <c r="E13" s="1267">
        <v>8</v>
      </c>
      <c r="F13" s="1317">
        <v>1036</v>
      </c>
      <c r="G13" s="4">
        <f t="shared" si="0"/>
        <v>8288</v>
      </c>
      <c r="H13" s="1267">
        <v>141</v>
      </c>
      <c r="I13" s="4">
        <f t="shared" si="1"/>
        <v>1128</v>
      </c>
      <c r="J13">
        <f t="shared" si="2"/>
        <v>9416</v>
      </c>
    </row>
    <row r="14" spans="2:10">
      <c r="B14" s="1267">
        <v>2</v>
      </c>
      <c r="D14" t="s">
        <v>621</v>
      </c>
      <c r="E14" s="1267">
        <v>4</v>
      </c>
      <c r="F14" s="1317">
        <v>1110</v>
      </c>
      <c r="G14" s="4">
        <f t="shared" si="0"/>
        <v>4440</v>
      </c>
      <c r="H14" s="1267">
        <v>45</v>
      </c>
      <c r="I14" s="4">
        <f t="shared" si="1"/>
        <v>180</v>
      </c>
      <c r="J14">
        <f t="shared" si="2"/>
        <v>4620</v>
      </c>
    </row>
    <row r="15" spans="2:10">
      <c r="B15" s="1267">
        <v>2</v>
      </c>
      <c r="D15" t="s">
        <v>703</v>
      </c>
      <c r="E15" s="1267">
        <v>2</v>
      </c>
      <c r="F15" s="1317">
        <v>936</v>
      </c>
      <c r="G15" s="4">
        <f t="shared" ref="G15" si="3">E15*F15</f>
        <v>1872</v>
      </c>
      <c r="H15" s="1267">
        <v>0</v>
      </c>
      <c r="I15" s="4">
        <f t="shared" ref="I15" si="4">H15*E15</f>
        <v>0</v>
      </c>
      <c r="J15">
        <f t="shared" ref="J15" si="5">I15+G15</f>
        <v>1872</v>
      </c>
    </row>
    <row r="16" spans="2:10">
      <c r="B16" s="1268" t="s">
        <v>638</v>
      </c>
      <c r="C16" t="s">
        <v>637</v>
      </c>
      <c r="D16" t="s">
        <v>622</v>
      </c>
      <c r="E16" s="1267">
        <v>2</v>
      </c>
      <c r="F16" s="1317">
        <v>1485</v>
      </c>
      <c r="G16" s="4">
        <f t="shared" si="0"/>
        <v>2970</v>
      </c>
      <c r="H16" s="1267">
        <v>410</v>
      </c>
      <c r="I16" s="4">
        <f t="shared" si="1"/>
        <v>820</v>
      </c>
      <c r="J16">
        <f t="shared" si="2"/>
        <v>3790</v>
      </c>
    </row>
    <row r="17" spans="2:10">
      <c r="B17" s="1267">
        <v>3</v>
      </c>
      <c r="C17" t="s">
        <v>623</v>
      </c>
      <c r="D17" t="s">
        <v>624</v>
      </c>
      <c r="E17" s="1267">
        <v>0</v>
      </c>
      <c r="F17" s="1317">
        <v>0</v>
      </c>
      <c r="G17" s="4">
        <f t="shared" si="0"/>
        <v>0</v>
      </c>
      <c r="H17" s="1267">
        <v>0</v>
      </c>
      <c r="I17" s="4">
        <f t="shared" si="1"/>
        <v>0</v>
      </c>
      <c r="J17">
        <f t="shared" si="2"/>
        <v>0</v>
      </c>
    </row>
    <row r="18" spans="2:10">
      <c r="B18" s="1267" t="s">
        <v>685</v>
      </c>
      <c r="C18" s="31" t="s">
        <v>625</v>
      </c>
      <c r="D18" s="31" t="s">
        <v>626</v>
      </c>
      <c r="E18" s="1318">
        <v>4</v>
      </c>
      <c r="F18" s="1319">
        <v>960</v>
      </c>
      <c r="G18" s="1182">
        <f t="shared" si="0"/>
        <v>3840</v>
      </c>
      <c r="H18" s="1318">
        <v>0</v>
      </c>
      <c r="I18" s="1182">
        <f t="shared" si="1"/>
        <v>0</v>
      </c>
      <c r="J18" s="31">
        <f t="shared" si="2"/>
        <v>3840</v>
      </c>
    </row>
    <row r="19" spans="2:10">
      <c r="E19">
        <f>SUM(E4:E18)</f>
        <v>131</v>
      </c>
      <c r="F19" s="4">
        <f>G19/E19</f>
        <v>788.52671755725191</v>
      </c>
      <c r="G19" s="1316">
        <f>SUM(G4:G18)</f>
        <v>103297</v>
      </c>
      <c r="H19" s="1183">
        <f>I19/E19</f>
        <v>71.381679389312978</v>
      </c>
      <c r="I19" s="4">
        <f t="shared" ref="I19:J19" si="6">SUM(I4:I18)</f>
        <v>9351</v>
      </c>
      <c r="J19" s="4">
        <f t="shared" si="6"/>
        <v>112648</v>
      </c>
    </row>
    <row r="22" spans="2:10">
      <c r="C22" s="31" t="s">
        <v>23</v>
      </c>
      <c r="D22" s="31" t="s">
        <v>96</v>
      </c>
      <c r="E22" s="31" t="s">
        <v>627</v>
      </c>
      <c r="F22" s="31" t="s">
        <v>97</v>
      </c>
    </row>
    <row r="23" spans="2:10">
      <c r="C23" t="s">
        <v>165</v>
      </c>
      <c r="D23" s="4">
        <f>SUMIFS($E$4:$E$18,$B$4:$B$18,C23)</f>
        <v>12</v>
      </c>
      <c r="E23" s="4">
        <f>F23/D23</f>
        <v>458</v>
      </c>
      <c r="F23" s="4">
        <f>SUMIFS($G$4:$G$18,$B$4:$B$18,C23)</f>
        <v>5496</v>
      </c>
    </row>
    <row r="24" spans="2:10">
      <c r="C24" s="1036">
        <v>1</v>
      </c>
      <c r="D24" s="4">
        <f t="shared" ref="D24:D27" si="7">SUMIFS($E$4:$E$18,$B$4:$B$18,C24)</f>
        <v>76</v>
      </c>
      <c r="E24" s="4">
        <f t="shared" ref="E24:E26" si="8">F24/D24</f>
        <v>702.18421052631584</v>
      </c>
      <c r="F24" s="4">
        <f>SUMIFS($G$4:$G$18,$B$4:$B$18,C24)</f>
        <v>53366</v>
      </c>
    </row>
    <row r="25" spans="2:10">
      <c r="C25" s="1036">
        <v>2</v>
      </c>
      <c r="D25" s="4">
        <f t="shared" si="7"/>
        <v>37</v>
      </c>
      <c r="E25" s="4">
        <f t="shared" si="8"/>
        <v>1016.8918918918919</v>
      </c>
      <c r="F25" s="4">
        <f>SUMIFS($G$4:$G$18,$B$4:$B$18,C25)</f>
        <v>37625</v>
      </c>
    </row>
    <row r="26" spans="2:10">
      <c r="C26" s="1036" t="s">
        <v>638</v>
      </c>
      <c r="D26" s="4">
        <f t="shared" si="7"/>
        <v>2</v>
      </c>
      <c r="E26" s="4">
        <f t="shared" si="8"/>
        <v>1485</v>
      </c>
      <c r="F26" s="4">
        <f>SUMIFS($G$4:$G$18,$B$4:$B$18,C26)</f>
        <v>2970</v>
      </c>
    </row>
    <row r="27" spans="2:10">
      <c r="C27" s="1184" t="s">
        <v>685</v>
      </c>
      <c r="D27" s="1182">
        <f t="shared" si="7"/>
        <v>4</v>
      </c>
      <c r="E27" s="1182">
        <f>IFERROR(F27/D27,0)</f>
        <v>960</v>
      </c>
      <c r="F27" s="1182">
        <f>SUMIFS($G$4:$G$18,$B$4:$B$18,C27)</f>
        <v>3840</v>
      </c>
    </row>
    <row r="28" spans="2:10">
      <c r="D28" s="4">
        <f>SUM(D23:D27)</f>
        <v>131</v>
      </c>
      <c r="E28" s="4">
        <f>F28/D28</f>
        <v>788.52671755725191</v>
      </c>
      <c r="F28" s="4">
        <f>SUM(F23:F27)</f>
        <v>103297</v>
      </c>
    </row>
    <row r="29" spans="2:10">
      <c r="C29" s="29" t="s">
        <v>128</v>
      </c>
      <c r="D29" s="1185">
        <f>D28-E19</f>
        <v>0</v>
      </c>
      <c r="E29" s="1185">
        <f>E28-F19</f>
        <v>0</v>
      </c>
      <c r="F29" s="1185">
        <f>F28-G19</f>
        <v>0</v>
      </c>
    </row>
    <row r="32" spans="2:10">
      <c r="C32" t="s">
        <v>629</v>
      </c>
      <c r="F32" s="4">
        <v>135169</v>
      </c>
    </row>
    <row r="33" spans="3:6">
      <c r="C33" t="s">
        <v>628</v>
      </c>
      <c r="F33" s="4">
        <v>143550</v>
      </c>
    </row>
    <row r="34" spans="3:6">
      <c r="F34" s="1186">
        <f>G19/F32</f>
        <v>0.76420628990375017</v>
      </c>
    </row>
    <row r="36" spans="3:6">
      <c r="C36" t="s">
        <v>415</v>
      </c>
      <c r="F36" s="1317">
        <v>3372</v>
      </c>
    </row>
    <row r="37" spans="3:6">
      <c r="C37" t="s">
        <v>630</v>
      </c>
      <c r="F37" s="1317">
        <v>4810</v>
      </c>
    </row>
    <row r="38" spans="3:6">
      <c r="C38" t="s">
        <v>631</v>
      </c>
      <c r="F38" s="1317">
        <v>3705</v>
      </c>
    </row>
    <row r="39" spans="3:6">
      <c r="C39" s="31" t="s">
        <v>632</v>
      </c>
      <c r="D39" s="31"/>
      <c r="E39" s="31"/>
      <c r="F39" s="1319">
        <v>2063</v>
      </c>
    </row>
    <row r="40" spans="3:6">
      <c r="C40" t="s">
        <v>11</v>
      </c>
      <c r="F40" s="4">
        <f>SUM(F36:F39)</f>
        <v>13950</v>
      </c>
    </row>
    <row r="42" spans="3:6">
      <c r="F42" s="1181">
        <f>G19+F40</f>
        <v>117247</v>
      </c>
    </row>
    <row r="43" spans="3:6">
      <c r="F43" s="1181">
        <f>F32-F42</f>
        <v>17922</v>
      </c>
    </row>
    <row r="44" spans="3:6">
      <c r="F44" s="1181">
        <f>SUM(F42:F43)</f>
        <v>135169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E4EF-0A71-4646-8DF6-C674FFAC787D}">
  <sheetPr>
    <tabColor theme="3" tint="0.59999389629810485"/>
    <pageSetUpPr fitToPage="1"/>
  </sheetPr>
  <dimension ref="A1:N58"/>
  <sheetViews>
    <sheetView workbookViewId="0">
      <selection activeCell="N35" sqref="N35"/>
    </sheetView>
  </sheetViews>
  <sheetFormatPr defaultColWidth="9.140625" defaultRowHeight="15"/>
  <cols>
    <col min="1" max="1" width="35.7109375" bestFit="1" customWidth="1"/>
    <col min="2" max="2" width="15.42578125" customWidth="1"/>
    <col min="3" max="3" width="11.140625" bestFit="1" customWidth="1"/>
    <col min="4" max="4" width="31.42578125" bestFit="1" customWidth="1"/>
    <col min="5" max="5" width="14.28515625" bestFit="1" customWidth="1"/>
    <col min="6" max="6" width="20.85546875" style="14" bestFit="1" customWidth="1"/>
    <col min="7" max="7" width="15.28515625" bestFit="1" customWidth="1"/>
    <col min="8" max="8" width="11.140625" bestFit="1" customWidth="1"/>
    <col min="9" max="9" width="11.7109375" customWidth="1"/>
    <col min="10" max="10" width="9.140625" customWidth="1"/>
    <col min="11" max="11" width="18.42578125" bestFit="1" customWidth="1"/>
    <col min="12" max="12" width="24.85546875" bestFit="1" customWidth="1"/>
    <col min="13" max="13" width="11.85546875" customWidth="1"/>
    <col min="14" max="14" width="11.85546875" bestFit="1" customWidth="1"/>
    <col min="15" max="15" width="16.7109375" bestFit="1" customWidth="1"/>
  </cols>
  <sheetData>
    <row r="1" spans="1:12" ht="15.75" thickBot="1">
      <c r="A1" s="5" t="s">
        <v>139</v>
      </c>
      <c r="B1" t="s">
        <v>373</v>
      </c>
      <c r="E1" s="2022" t="str">
        <f>B1</f>
        <v>CA South</v>
      </c>
      <c r="F1" s="2023"/>
      <c r="G1" s="2023"/>
      <c r="H1" s="2023"/>
      <c r="I1" s="2023"/>
      <c r="J1" s="2023"/>
      <c r="K1" s="2024"/>
    </row>
    <row r="2" spans="1:12">
      <c r="A2" s="5" t="s">
        <v>374</v>
      </c>
      <c r="B2" s="24">
        <v>3</v>
      </c>
      <c r="E2" s="6" t="s">
        <v>375</v>
      </c>
      <c r="F2" s="25" t="s">
        <v>376</v>
      </c>
      <c r="G2" s="6" t="s">
        <v>232</v>
      </c>
      <c r="H2" s="1"/>
      <c r="I2" s="1"/>
      <c r="J2" s="6" t="s">
        <v>377</v>
      </c>
    </row>
    <row r="3" spans="1:12">
      <c r="A3" s="5" t="s">
        <v>161</v>
      </c>
      <c r="B3" s="1036" t="s">
        <v>598</v>
      </c>
      <c r="D3" s="26" t="s">
        <v>255</v>
      </c>
      <c r="E3" s="24">
        <v>10507041500</v>
      </c>
      <c r="F3" s="1037">
        <v>1752500</v>
      </c>
      <c r="G3" s="574">
        <v>2.9530000000000001E-2</v>
      </c>
      <c r="H3" s="27" t="s">
        <v>378</v>
      </c>
      <c r="J3" s="28">
        <f>Assumptions!J12</f>
        <v>1.1200000000000001</v>
      </c>
    </row>
    <row r="4" spans="1:12">
      <c r="B4" t="s">
        <v>379</v>
      </c>
      <c r="E4" s="24">
        <v>10507041400</v>
      </c>
      <c r="F4" s="1037">
        <v>84900</v>
      </c>
      <c r="G4" s="574">
        <v>3.3500000000000001E-3</v>
      </c>
      <c r="H4" s="27" t="s">
        <v>380</v>
      </c>
      <c r="J4" s="28"/>
    </row>
    <row r="5" spans="1:12">
      <c r="A5" s="5" t="s">
        <v>322</v>
      </c>
      <c r="B5" s="4">
        <f>J3*43560</f>
        <v>48787.200000000004</v>
      </c>
      <c r="E5" s="24">
        <v>10507041300</v>
      </c>
      <c r="F5" s="1037">
        <v>234900</v>
      </c>
      <c r="H5" s="27" t="s">
        <v>381</v>
      </c>
      <c r="J5" s="28"/>
    </row>
    <row r="6" spans="1:12">
      <c r="A6" s="5" t="s">
        <v>382</v>
      </c>
      <c r="B6" s="3">
        <f>+F9/B5</f>
        <v>42.476305260396167</v>
      </c>
      <c r="E6" s="24"/>
      <c r="F6" s="12"/>
      <c r="J6" s="28"/>
    </row>
    <row r="7" spans="1:12">
      <c r="A7" s="5"/>
      <c r="B7" s="3"/>
      <c r="E7" s="24"/>
      <c r="F7" s="12"/>
      <c r="J7" s="28"/>
    </row>
    <row r="8" spans="1:12">
      <c r="A8" s="5" t="s">
        <v>383</v>
      </c>
      <c r="B8" s="3">
        <f>F17</f>
        <v>5200000</v>
      </c>
      <c r="C8" s="29" t="s">
        <v>384</v>
      </c>
      <c r="D8" s="30"/>
      <c r="E8" s="24"/>
      <c r="F8" s="13"/>
      <c r="G8" s="31"/>
      <c r="H8" s="31"/>
      <c r="J8" s="32"/>
      <c r="K8" s="31"/>
    </row>
    <row r="9" spans="1:12">
      <c r="A9" s="5" t="s">
        <v>385</v>
      </c>
      <c r="B9" s="3">
        <f>B8/B5</f>
        <v>106.58533385806112</v>
      </c>
      <c r="D9" s="30"/>
      <c r="E9" s="24"/>
      <c r="F9" s="33">
        <f>SUM(F3:F8)</f>
        <v>2072300</v>
      </c>
      <c r="G9" s="575">
        <f>SUM(G3:G5)</f>
        <v>3.288E-2</v>
      </c>
      <c r="H9" s="6" t="s">
        <v>11</v>
      </c>
      <c r="I9" s="1"/>
      <c r="J9" s="34">
        <f>SUM(J3:J8)</f>
        <v>1.1200000000000001</v>
      </c>
      <c r="K9" s="29"/>
    </row>
    <row r="10" spans="1:12" ht="15.75" thickBot="1">
      <c r="D10" s="30"/>
      <c r="I10" s="5" t="s">
        <v>255</v>
      </c>
      <c r="J10" s="35" t="s">
        <v>255</v>
      </c>
    </row>
    <row r="11" spans="1:12">
      <c r="A11" s="23" t="s">
        <v>255</v>
      </c>
      <c r="B11" s="21">
        <f>+F9</f>
        <v>2072300</v>
      </c>
      <c r="D11" s="36"/>
      <c r="L11" s="1"/>
    </row>
    <row r="12" spans="1:12">
      <c r="A12" s="20" t="s">
        <v>356</v>
      </c>
      <c r="B12" s="19">
        <f>+B11*0.4</f>
        <v>828920</v>
      </c>
      <c r="J12" s="28"/>
    </row>
    <row r="13" spans="1:12" s="1" customFormat="1" ht="15.75" thickBot="1">
      <c r="A13" s="16" t="s">
        <v>372</v>
      </c>
      <c r="B13" s="15">
        <f>+B12*G9</f>
        <v>27254.889599999999</v>
      </c>
      <c r="D13" s="37" t="s">
        <v>386</v>
      </c>
      <c r="E13"/>
      <c r="F13" s="14"/>
      <c r="G13"/>
      <c r="H13"/>
      <c r="J13" s="38"/>
      <c r="L13"/>
    </row>
    <row r="14" spans="1:12" ht="15.75" thickBot="1"/>
    <row r="15" spans="1:12">
      <c r="A15" s="22" t="s">
        <v>371</v>
      </c>
      <c r="B15" s="21">
        <f>F18</f>
        <v>5200000</v>
      </c>
      <c r="D15" t="s">
        <v>387</v>
      </c>
      <c r="E15" s="7" t="s">
        <v>255</v>
      </c>
      <c r="F15" s="39" t="s">
        <v>255</v>
      </c>
      <c r="G15" s="40"/>
      <c r="H15" s="41" t="s">
        <v>255</v>
      </c>
    </row>
    <row r="16" spans="1:12">
      <c r="A16" s="20" t="s">
        <v>356</v>
      </c>
      <c r="B16" s="19">
        <f>+B15*0.4</f>
        <v>2080000</v>
      </c>
      <c r="D16" s="36" t="s">
        <v>388</v>
      </c>
      <c r="G16" s="40"/>
      <c r="H16" s="29" t="s">
        <v>255</v>
      </c>
    </row>
    <row r="17" spans="1:10">
      <c r="A17" s="20" t="s">
        <v>370</v>
      </c>
      <c r="B17" s="17">
        <f>+G9*1.02</f>
        <v>3.3537600000000001E-2</v>
      </c>
      <c r="F17" s="42">
        <f>Assumptions!N12</f>
        <v>5200000</v>
      </c>
      <c r="G17" s="43" t="s">
        <v>389</v>
      </c>
      <c r="H17" s="31"/>
      <c r="I17" s="31"/>
      <c r="J17" s="31"/>
    </row>
    <row r="18" spans="1:10" s="1" customFormat="1" ht="15.75" thickBot="1">
      <c r="A18" s="16" t="s">
        <v>369</v>
      </c>
      <c r="B18" s="15">
        <f>+B17*B16</f>
        <v>69758.207999999999</v>
      </c>
      <c r="D18" s="37" t="s">
        <v>390</v>
      </c>
      <c r="E18"/>
      <c r="F18" s="2">
        <f>SUM(F15:F17)</f>
        <v>5200000</v>
      </c>
      <c r="H18" s="44"/>
      <c r="I18" s="44"/>
      <c r="J18" s="44"/>
    </row>
    <row r="19" spans="1:10" ht="15.75" thickBot="1">
      <c r="E19" s="1"/>
      <c r="F19" s="2"/>
      <c r="G19" s="44"/>
      <c r="H19" s="29"/>
      <c r="I19" s="29"/>
      <c r="J19" s="29"/>
    </row>
    <row r="20" spans="1:10">
      <c r="A20" s="23" t="s">
        <v>368</v>
      </c>
      <c r="B20" s="21">
        <f ca="1">+F22</f>
        <v>32108208.529999997</v>
      </c>
      <c r="D20" s="45" t="s">
        <v>391</v>
      </c>
      <c r="F20" s="40">
        <f ca="1">Assumptions!$N$27*0.7</f>
        <v>26908208.529999997</v>
      </c>
      <c r="G20" s="29" t="s">
        <v>392</v>
      </c>
      <c r="H20" s="29"/>
      <c r="I20" s="29"/>
      <c r="J20" s="46"/>
    </row>
    <row r="21" spans="1:10">
      <c r="A21" s="20" t="s">
        <v>356</v>
      </c>
      <c r="B21" s="19">
        <f ca="1">+B20*0.4</f>
        <v>12843283.412</v>
      </c>
      <c r="F21" s="47">
        <f>+F17</f>
        <v>5200000</v>
      </c>
      <c r="G21" s="43" t="s">
        <v>389</v>
      </c>
      <c r="H21" s="29"/>
      <c r="I21" s="29"/>
      <c r="J21" s="46"/>
    </row>
    <row r="22" spans="1:10" ht="30">
      <c r="A22" s="18" t="s">
        <v>359</v>
      </c>
      <c r="B22" s="17">
        <f>+G9*1.02*1.02</f>
        <v>3.4208352000000004E-2</v>
      </c>
      <c r="F22" s="2">
        <f ca="1">+F21+F20</f>
        <v>32108208.529999997</v>
      </c>
      <c r="G22" s="48"/>
      <c r="H22" s="29"/>
      <c r="I22" s="29"/>
      <c r="J22" s="29"/>
    </row>
    <row r="23" spans="1:10" ht="15.75" thickBot="1">
      <c r="A23" s="16" t="s">
        <v>367</v>
      </c>
      <c r="B23" s="15">
        <f ca="1">+B22*B21</f>
        <v>439347.5597934571</v>
      </c>
      <c r="C23" s="1033">
        <f ca="1">B23/103</f>
        <v>4265.5102892568648</v>
      </c>
      <c r="D23" s="37" t="s">
        <v>393</v>
      </c>
      <c r="F23" s="3"/>
      <c r="G23" s="29"/>
      <c r="H23" s="29"/>
      <c r="I23" s="29"/>
      <c r="J23" s="49"/>
    </row>
    <row r="24" spans="1:10">
      <c r="B24" s="3"/>
      <c r="F24" s="2"/>
      <c r="G24" s="29"/>
      <c r="H24" s="29"/>
      <c r="I24" s="29"/>
      <c r="J24" s="29"/>
    </row>
    <row r="25" spans="1:10" ht="15.75" thickBot="1">
      <c r="B25" s="3"/>
      <c r="F25" s="3"/>
      <c r="G25" s="29"/>
      <c r="H25" s="29"/>
      <c r="I25" s="29"/>
      <c r="J25" s="29"/>
    </row>
    <row r="26" spans="1:10">
      <c r="A26" s="23" t="s">
        <v>366</v>
      </c>
      <c r="B26" s="21">
        <f ca="1">+F28</f>
        <v>43640297.899999999</v>
      </c>
      <c r="D26" t="s">
        <v>394</v>
      </c>
      <c r="F26" s="40">
        <f ca="1">Assumptions!$N$27</f>
        <v>38440297.899999999</v>
      </c>
      <c r="G26" s="29" t="s">
        <v>395</v>
      </c>
      <c r="H26" s="29"/>
      <c r="I26" s="29"/>
      <c r="J26" s="29"/>
    </row>
    <row r="27" spans="1:10">
      <c r="A27" s="20" t="s">
        <v>356</v>
      </c>
      <c r="B27" s="19">
        <f ca="1">+B26*0.4</f>
        <v>17456119.16</v>
      </c>
      <c r="D27" s="44"/>
      <c r="F27" s="47">
        <f>+F21</f>
        <v>5200000</v>
      </c>
      <c r="G27" s="43" t="s">
        <v>389</v>
      </c>
      <c r="H27" s="29"/>
      <c r="I27" s="29"/>
      <c r="J27" s="29"/>
    </row>
    <row r="28" spans="1:10" ht="30">
      <c r="A28" s="18" t="s">
        <v>359</v>
      </c>
      <c r="B28" s="17">
        <f>+G9*1.02*1.02*1.02</f>
        <v>3.4892519040000007E-2</v>
      </c>
      <c r="F28" s="50">
        <f ca="1">+F27+F26</f>
        <v>43640297.899999999</v>
      </c>
      <c r="G28" s="48"/>
      <c r="H28" s="29"/>
      <c r="I28" s="29"/>
      <c r="J28" s="29"/>
    </row>
    <row r="29" spans="1:10" ht="15.75" thickBot="1">
      <c r="A29" s="16" t="s">
        <v>365</v>
      </c>
      <c r="B29" s="15">
        <f ca="1">+B28*B27</f>
        <v>609087.97015480895</v>
      </c>
      <c r="C29" s="1033">
        <f ca="1">B29/103</f>
        <v>5913.4754383962036</v>
      </c>
      <c r="D29" s="37" t="s">
        <v>396</v>
      </c>
      <c r="F29" s="51"/>
      <c r="G29" s="29"/>
      <c r="H29" s="29"/>
      <c r="I29" s="29"/>
      <c r="J29" s="29"/>
    </row>
    <row r="30" spans="1:10">
      <c r="A30" s="1"/>
      <c r="B30" s="2"/>
      <c r="D30" s="37"/>
      <c r="F30" s="52"/>
      <c r="G30" s="48"/>
      <c r="H30" s="29"/>
      <c r="I30" s="29"/>
      <c r="J30" s="29"/>
    </row>
    <row r="31" spans="1:10" ht="15.75" thickBot="1">
      <c r="F31"/>
      <c r="G31" s="29"/>
      <c r="H31" s="29"/>
      <c r="I31" s="29"/>
      <c r="J31" s="29"/>
    </row>
    <row r="32" spans="1:10">
      <c r="A32" s="22" t="s">
        <v>364</v>
      </c>
      <c r="B32" s="21">
        <f ca="1">F34</f>
        <v>44160297.899999999</v>
      </c>
      <c r="D32" t="s">
        <v>397</v>
      </c>
      <c r="F32" s="40">
        <f ca="1">Assumptions!$N$27</f>
        <v>38440297.899999999</v>
      </c>
      <c r="G32" s="29" t="s">
        <v>398</v>
      </c>
      <c r="H32" s="29"/>
      <c r="I32" s="29"/>
      <c r="J32" s="29"/>
    </row>
    <row r="33" spans="1:14" ht="15.75">
      <c r="A33" s="20" t="s">
        <v>356</v>
      </c>
      <c r="B33" s="19">
        <f ca="1">+B32*0.4</f>
        <v>17664119.16</v>
      </c>
      <c r="D33" t="s">
        <v>399</v>
      </c>
      <c r="F33" s="53">
        <f>+F18*1.1</f>
        <v>5720000</v>
      </c>
      <c r="G33" s="54" t="s">
        <v>400</v>
      </c>
      <c r="H33" s="29"/>
      <c r="I33" s="29"/>
      <c r="J33" s="29"/>
    </row>
    <row r="34" spans="1:14" ht="30">
      <c r="A34" s="18" t="s">
        <v>359</v>
      </c>
      <c r="B34" s="17">
        <f>+G9*1.02*1.02*1.02*1.02</f>
        <v>3.559036942080001E-2</v>
      </c>
      <c r="F34" s="2">
        <f ca="1">SUM(F32:F33)</f>
        <v>44160297.899999999</v>
      </c>
      <c r="G34" s="29"/>
      <c r="H34" s="29"/>
      <c r="I34" s="29"/>
      <c r="J34" s="29"/>
      <c r="M34" s="40"/>
      <c r="N34" s="45"/>
    </row>
    <row r="35" spans="1:14" ht="15.75" thickBot="1">
      <c r="A35" s="16" t="s">
        <v>363</v>
      </c>
      <c r="B35" s="15">
        <f ca="1">+B34*B33</f>
        <v>628672.5263974315</v>
      </c>
      <c r="C35" s="1033">
        <f ca="1">B35/103</f>
        <v>6103.6167611401115</v>
      </c>
      <c r="D35" s="37" t="s">
        <v>401</v>
      </c>
      <c r="F35" s="3"/>
      <c r="G35" s="29"/>
      <c r="H35" s="29"/>
      <c r="I35" s="29"/>
      <c r="M35" s="40"/>
      <c r="N35" s="45"/>
    </row>
    <row r="36" spans="1:14">
      <c r="B36" s="1033"/>
      <c r="F36" s="3"/>
      <c r="G36" s="29"/>
      <c r="H36" s="29"/>
      <c r="I36" s="29"/>
      <c r="J36" s="29"/>
    </row>
    <row r="37" spans="1:14" ht="15.75" thickBot="1">
      <c r="F37" s="3"/>
      <c r="G37" s="29"/>
      <c r="H37" s="29"/>
      <c r="I37" s="29"/>
      <c r="J37" s="29"/>
    </row>
    <row r="38" spans="1:14">
      <c r="A38" s="22" t="s">
        <v>362</v>
      </c>
      <c r="B38" s="21">
        <f ca="1">+B32</f>
        <v>44160297.899999999</v>
      </c>
      <c r="F38" s="2">
        <v>50195500</v>
      </c>
      <c r="G38" s="29"/>
      <c r="H38" s="29"/>
      <c r="I38" s="29"/>
      <c r="J38" s="29"/>
    </row>
    <row r="39" spans="1:14">
      <c r="A39" s="20" t="s">
        <v>356</v>
      </c>
      <c r="B39" s="19">
        <f ca="1">+B38*0.4</f>
        <v>17664119.16</v>
      </c>
      <c r="F39" s="3"/>
      <c r="G39" s="29"/>
      <c r="H39" s="29"/>
      <c r="I39" s="29"/>
      <c r="J39" s="29"/>
    </row>
    <row r="40" spans="1:14" ht="30">
      <c r="A40" s="18" t="s">
        <v>359</v>
      </c>
      <c r="B40" s="17">
        <f>+$G$9*1.02*1.02*1.02*1.02*1.02</f>
        <v>3.6302176809216012E-2</v>
      </c>
      <c r="F40" s="3"/>
      <c r="G40" s="29"/>
      <c r="H40" s="29"/>
      <c r="I40" s="29"/>
      <c r="J40" s="29"/>
    </row>
    <row r="41" spans="1:14" ht="15.75" thickBot="1">
      <c r="A41" s="16" t="s">
        <v>361</v>
      </c>
      <c r="B41" s="15">
        <f ca="1">+B40*B39</f>
        <v>641245.97692538018</v>
      </c>
      <c r="C41" s="1033">
        <f ca="1">B41/103</f>
        <v>6225.6890963629139</v>
      </c>
      <c r="D41" s="37" t="s">
        <v>402</v>
      </c>
      <c r="F41" s="3"/>
      <c r="G41" s="29"/>
      <c r="H41" s="29"/>
      <c r="I41" s="29"/>
      <c r="J41" s="29"/>
    </row>
    <row r="42" spans="1:14">
      <c r="F42" s="3"/>
      <c r="G42" s="29"/>
      <c r="H42" s="29"/>
      <c r="I42" s="29"/>
      <c r="J42" s="29"/>
    </row>
    <row r="43" spans="1:14" ht="15.75" thickBot="1">
      <c r="F43" s="2"/>
      <c r="G43" s="29"/>
      <c r="H43" s="29"/>
      <c r="I43" s="29"/>
      <c r="J43" s="29"/>
    </row>
    <row r="44" spans="1:14">
      <c r="A44" s="22" t="s">
        <v>360</v>
      </c>
      <c r="B44" s="21">
        <f ca="1">+B38</f>
        <v>44160297.899999999</v>
      </c>
      <c r="G44" s="29"/>
      <c r="H44" s="29"/>
      <c r="I44" s="29"/>
      <c r="J44" s="29"/>
    </row>
    <row r="45" spans="1:14">
      <c r="A45" s="20" t="s">
        <v>356</v>
      </c>
      <c r="B45" s="19">
        <f ca="1">+B44*0.4</f>
        <v>17664119.16</v>
      </c>
      <c r="I45" s="29"/>
      <c r="J45" s="29"/>
    </row>
    <row r="46" spans="1:14" ht="30">
      <c r="A46" s="18" t="s">
        <v>359</v>
      </c>
      <c r="B46" s="17">
        <f>+$G$9*1.02*1.02*1.02*1.02*1.02*1.02</f>
        <v>3.7028220345400334E-2</v>
      </c>
      <c r="F46" s="55"/>
      <c r="G46" s="48"/>
      <c r="H46" s="29"/>
      <c r="I46" s="29"/>
      <c r="J46" s="29"/>
    </row>
    <row r="47" spans="1:14" ht="15.75" thickBot="1">
      <c r="A47" s="16" t="s">
        <v>358</v>
      </c>
      <c r="B47" s="15">
        <f ca="1">+B46*B45</f>
        <v>654070.89646388788</v>
      </c>
      <c r="C47" s="1033">
        <f ca="1">B47/103</f>
        <v>6350.2028782901734</v>
      </c>
      <c r="D47" s="37" t="s">
        <v>403</v>
      </c>
      <c r="F47" s="3"/>
      <c r="G47" s="29"/>
      <c r="H47" s="29"/>
      <c r="I47" s="29"/>
      <c r="J47" s="29"/>
    </row>
    <row r="48" spans="1:14">
      <c r="A48" s="1"/>
      <c r="B48" s="2"/>
      <c r="D48" s="37"/>
      <c r="F48" s="3"/>
      <c r="G48" s="29"/>
      <c r="H48" s="29"/>
      <c r="I48" s="29"/>
      <c r="J48" s="29"/>
    </row>
    <row r="49" spans="1:10" ht="15.75" thickBot="1">
      <c r="F49" s="2"/>
      <c r="G49" s="29"/>
      <c r="H49" s="29"/>
      <c r="I49" s="29"/>
      <c r="J49" s="29"/>
    </row>
    <row r="50" spans="1:10">
      <c r="A50" s="22" t="s">
        <v>357</v>
      </c>
      <c r="B50" s="21">
        <f ca="1">+B44</f>
        <v>44160297.899999999</v>
      </c>
      <c r="G50" s="56"/>
      <c r="H50" s="29"/>
      <c r="I50" s="29"/>
      <c r="J50" s="29"/>
    </row>
    <row r="51" spans="1:10">
      <c r="A51" s="20" t="s">
        <v>356</v>
      </c>
      <c r="B51" s="19">
        <f ca="1">+B50*0.4</f>
        <v>17664119.16</v>
      </c>
      <c r="F51" s="3"/>
      <c r="G51" s="29"/>
      <c r="H51" s="29"/>
      <c r="I51" s="29"/>
      <c r="J51" s="29"/>
    </row>
    <row r="52" spans="1:10" ht="30">
      <c r="A52" s="18" t="s">
        <v>355</v>
      </c>
      <c r="B52" s="17">
        <f>+$G$9*1.02*1.02*1.02*1.02*1.02*1.02*1.02</f>
        <v>3.776878475230834E-2</v>
      </c>
      <c r="F52" s="3"/>
      <c r="G52" s="29"/>
      <c r="H52" s="29"/>
      <c r="I52" s="29"/>
      <c r="J52" s="29"/>
    </row>
    <row r="53" spans="1:10" ht="15.75" thickBot="1">
      <c r="A53" s="16" t="s">
        <v>354</v>
      </c>
      <c r="B53" s="15">
        <f ca="1">+B52*B51</f>
        <v>667152.31439316564</v>
      </c>
      <c r="D53" s="37" t="s">
        <v>404</v>
      </c>
      <c r="F53" s="2"/>
      <c r="G53" s="29"/>
      <c r="H53" s="29"/>
      <c r="I53" s="29"/>
    </row>
    <row r="57" spans="1:10">
      <c r="D57" s="36"/>
    </row>
    <row r="58" spans="1:10">
      <c r="D58" s="57"/>
    </row>
  </sheetData>
  <mergeCells count="1">
    <mergeCell ref="E1:K1"/>
  </mergeCells>
  <pageMargins left="0.7" right="0.7" top="0.75" bottom="0.75" header="0.3" footer="0.3"/>
  <pageSetup scale="5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18D0-0160-4ADC-B207-4B8E11591C32}">
  <sheetPr>
    <tabColor rgb="FFFF0000"/>
  </sheetPr>
  <dimension ref="A1:EP93"/>
  <sheetViews>
    <sheetView showGridLines="0" zoomScale="80" zoomScaleNormal="80" zoomScaleSheetLayoutView="85" workbookViewId="0">
      <pane xSplit="10" ySplit="10" topLeftCell="K11" activePane="bottomRight" state="frozen"/>
      <selection activeCell="Q43" sqref="Q43"/>
      <selection pane="topRight" activeCell="Q43" sqref="Q43"/>
      <selection pane="bottomLeft" activeCell="Q43" sqref="Q43"/>
      <selection pane="bottomRight" activeCell="N15" sqref="N15"/>
    </sheetView>
  </sheetViews>
  <sheetFormatPr defaultColWidth="8.85546875" defaultRowHeight="12.75"/>
  <cols>
    <col min="1" max="1" width="1.7109375" style="462" customWidth="1"/>
    <col min="2" max="2" width="3.42578125" style="462" customWidth="1"/>
    <col min="3" max="3" width="16.85546875" style="462" customWidth="1"/>
    <col min="4" max="4" width="28.7109375" style="462" customWidth="1"/>
    <col min="5" max="5" width="20" style="462" customWidth="1"/>
    <col min="6" max="6" width="13" style="462" bestFit="1" customWidth="1"/>
    <col min="7" max="8" width="11.42578125" style="462" customWidth="1"/>
    <col min="9" max="9" width="17.42578125" style="462" customWidth="1"/>
    <col min="10" max="10" width="1.5703125" style="462" customWidth="1"/>
    <col min="11" max="46" width="14.42578125" style="462" customWidth="1"/>
    <col min="47" max="47" width="15.140625" style="462" bestFit="1" customWidth="1"/>
    <col min="48" max="131" width="14.42578125" style="462" customWidth="1"/>
    <col min="132" max="132" width="4.42578125" style="462" customWidth="1"/>
    <col min="133" max="133" width="16.7109375" style="392" customWidth="1"/>
    <col min="134" max="16384" width="8.85546875" style="392"/>
  </cols>
  <sheetData>
    <row r="1" spans="1:146" s="390" customFormat="1">
      <c r="A1" s="389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  <c r="BS1" s="389"/>
      <c r="BT1" s="389"/>
      <c r="BU1" s="389"/>
      <c r="BV1" s="389"/>
      <c r="BW1" s="389"/>
      <c r="BX1" s="389"/>
      <c r="BY1" s="389"/>
      <c r="BZ1" s="389"/>
      <c r="CA1" s="389"/>
      <c r="CB1" s="389"/>
      <c r="CC1" s="389"/>
      <c r="CD1" s="389"/>
      <c r="CE1" s="389"/>
      <c r="CF1" s="389"/>
      <c r="CG1" s="389"/>
      <c r="CH1" s="389"/>
      <c r="CI1" s="389"/>
      <c r="CJ1" s="389"/>
      <c r="CK1" s="389"/>
      <c r="CL1" s="389"/>
      <c r="CM1" s="389"/>
      <c r="CN1" s="389"/>
      <c r="CO1" s="389"/>
      <c r="CP1" s="389"/>
      <c r="CQ1" s="389"/>
      <c r="CR1" s="389"/>
      <c r="CS1" s="389"/>
      <c r="CT1" s="389"/>
      <c r="CU1" s="389"/>
      <c r="CV1" s="389"/>
      <c r="CW1" s="389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DH1" s="389"/>
      <c r="DI1" s="389"/>
      <c r="DJ1" s="389"/>
      <c r="DK1" s="389"/>
      <c r="DL1" s="389"/>
      <c r="DM1" s="389"/>
      <c r="DN1" s="389"/>
      <c r="DO1" s="389"/>
      <c r="DP1" s="389"/>
      <c r="DQ1" s="389"/>
      <c r="DR1" s="389"/>
      <c r="DS1" s="389"/>
      <c r="DT1" s="389"/>
      <c r="DU1" s="389"/>
      <c r="DV1" s="389"/>
      <c r="DW1" s="389"/>
      <c r="DX1" s="389"/>
      <c r="DY1" s="389"/>
      <c r="DZ1" s="389"/>
      <c r="EA1" s="389"/>
      <c r="EB1" s="389"/>
      <c r="EC1" s="392" t="s">
        <v>65</v>
      </c>
    </row>
    <row r="2" spans="1:146" s="390" customForma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  <c r="AQ2" s="389"/>
      <c r="AR2" s="389"/>
      <c r="AS2" s="389"/>
      <c r="AT2" s="389"/>
      <c r="AU2" s="389"/>
      <c r="AV2" s="389"/>
      <c r="AW2" s="389"/>
      <c r="AX2" s="389"/>
      <c r="AY2" s="389"/>
      <c r="AZ2" s="389"/>
      <c r="BA2" s="389"/>
      <c r="BB2" s="389"/>
      <c r="BC2" s="389"/>
      <c r="BD2" s="389"/>
      <c r="BE2" s="389"/>
      <c r="BF2" s="389"/>
      <c r="BG2" s="389"/>
      <c r="BH2" s="389"/>
      <c r="BI2" s="389"/>
      <c r="BJ2" s="389"/>
      <c r="BK2" s="389"/>
      <c r="BL2" s="389"/>
      <c r="BM2" s="389"/>
      <c r="BN2" s="389"/>
      <c r="BO2" s="389"/>
      <c r="BP2" s="389"/>
      <c r="BQ2" s="389"/>
      <c r="BR2" s="389"/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89"/>
      <c r="CD2" s="389"/>
      <c r="CE2" s="389"/>
      <c r="CF2" s="389"/>
      <c r="CG2" s="389"/>
      <c r="CH2" s="389"/>
      <c r="CI2" s="389"/>
      <c r="CJ2" s="389"/>
      <c r="CK2" s="389"/>
      <c r="CL2" s="389"/>
      <c r="CM2" s="389"/>
      <c r="CN2" s="389"/>
      <c r="CO2" s="389"/>
      <c r="CP2" s="389"/>
      <c r="CQ2" s="389"/>
      <c r="CR2" s="389"/>
      <c r="CS2" s="389"/>
      <c r="CT2" s="389"/>
      <c r="CU2" s="389"/>
      <c r="CV2" s="389"/>
      <c r="CW2" s="389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DH2" s="389"/>
      <c r="DI2" s="389"/>
      <c r="DJ2" s="389"/>
      <c r="DK2" s="389"/>
      <c r="DL2" s="389"/>
      <c r="DM2" s="389"/>
      <c r="DN2" s="389"/>
      <c r="DO2" s="389"/>
      <c r="DP2" s="389"/>
      <c r="DQ2" s="389"/>
      <c r="DR2" s="389"/>
      <c r="DS2" s="389"/>
      <c r="DT2" s="389"/>
      <c r="DU2" s="389"/>
      <c r="DV2" s="389"/>
      <c r="DW2" s="389"/>
      <c r="DX2" s="389"/>
      <c r="DY2" s="389"/>
      <c r="DZ2" s="389"/>
      <c r="EA2" s="389"/>
      <c r="EB2" s="389"/>
      <c r="EC2" s="392" t="s">
        <v>65</v>
      </c>
    </row>
    <row r="3" spans="1:146" s="390" customFormat="1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389"/>
      <c r="BW3" s="389"/>
      <c r="BX3" s="389"/>
      <c r="BY3" s="389"/>
      <c r="BZ3" s="389"/>
      <c r="CA3" s="389"/>
      <c r="CB3" s="389"/>
      <c r="CC3" s="389"/>
      <c r="CD3" s="389"/>
      <c r="CE3" s="389"/>
      <c r="CF3" s="389"/>
      <c r="CG3" s="389"/>
      <c r="CH3" s="389"/>
      <c r="CI3" s="389"/>
      <c r="CJ3" s="389"/>
      <c r="CK3" s="389"/>
      <c r="CL3" s="389"/>
      <c r="CM3" s="389"/>
      <c r="CN3" s="389"/>
      <c r="CO3" s="389"/>
      <c r="CP3" s="389"/>
      <c r="CQ3" s="389"/>
      <c r="CR3" s="389"/>
      <c r="CS3" s="389"/>
      <c r="CT3" s="389"/>
      <c r="CU3" s="389"/>
      <c r="CV3" s="389"/>
      <c r="CW3" s="389"/>
      <c r="CX3" s="389"/>
      <c r="CY3" s="389"/>
      <c r="CZ3" s="389"/>
      <c r="DA3" s="389"/>
      <c r="DB3" s="389"/>
      <c r="DC3" s="389"/>
      <c r="DD3" s="389"/>
      <c r="DE3" s="389"/>
      <c r="DF3" s="389"/>
      <c r="DG3" s="389"/>
      <c r="DH3" s="389"/>
      <c r="DI3" s="389"/>
      <c r="DJ3" s="389"/>
      <c r="DK3" s="389"/>
      <c r="DL3" s="389"/>
      <c r="DM3" s="389"/>
      <c r="DN3" s="389"/>
      <c r="DO3" s="389"/>
      <c r="DP3" s="389"/>
      <c r="DQ3" s="389"/>
      <c r="DR3" s="389"/>
      <c r="DS3" s="389"/>
      <c r="DT3" s="389"/>
      <c r="DU3" s="389"/>
      <c r="DV3" s="389"/>
      <c r="DW3" s="389"/>
      <c r="DX3" s="389"/>
      <c r="DY3" s="389"/>
      <c r="DZ3" s="389"/>
      <c r="EA3" s="389"/>
      <c r="EB3" s="389"/>
      <c r="EC3" s="392" t="s">
        <v>65</v>
      </c>
    </row>
    <row r="4" spans="1:146" s="390" customForma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  <c r="BF4" s="389"/>
      <c r="BG4" s="389"/>
      <c r="BH4" s="389"/>
      <c r="BI4" s="389"/>
      <c r="BJ4" s="389"/>
      <c r="BK4" s="389"/>
      <c r="BL4" s="389"/>
      <c r="BM4" s="389"/>
      <c r="BN4" s="389"/>
      <c r="BO4" s="389"/>
      <c r="BP4" s="389"/>
      <c r="BQ4" s="389"/>
      <c r="BR4" s="389"/>
      <c r="BS4" s="389"/>
      <c r="BT4" s="389"/>
      <c r="BU4" s="389"/>
      <c r="BV4" s="389"/>
      <c r="BW4" s="389"/>
      <c r="BX4" s="389"/>
      <c r="BY4" s="389"/>
      <c r="BZ4" s="389"/>
      <c r="CA4" s="389"/>
      <c r="CB4" s="389"/>
      <c r="CC4" s="389"/>
      <c r="CD4" s="389"/>
      <c r="CE4" s="389"/>
      <c r="CF4" s="389"/>
      <c r="CG4" s="389"/>
      <c r="CH4" s="389"/>
      <c r="CI4" s="389"/>
      <c r="CJ4" s="389"/>
      <c r="CK4" s="389"/>
      <c r="CL4" s="389"/>
      <c r="CM4" s="389"/>
      <c r="CN4" s="389"/>
      <c r="CO4" s="389"/>
      <c r="CP4" s="389"/>
      <c r="CQ4" s="389"/>
      <c r="CR4" s="389"/>
      <c r="CS4" s="389"/>
      <c r="CT4" s="389"/>
      <c r="CU4" s="389"/>
      <c r="CV4" s="389"/>
      <c r="CW4" s="389"/>
      <c r="CX4" s="389"/>
      <c r="CY4" s="389"/>
      <c r="CZ4" s="389"/>
      <c r="DA4" s="389"/>
      <c r="DB4" s="389"/>
      <c r="DC4" s="389"/>
      <c r="DD4" s="389"/>
      <c r="DE4" s="389"/>
      <c r="DF4" s="389"/>
      <c r="DG4" s="389"/>
      <c r="DH4" s="389"/>
      <c r="DI4" s="389"/>
      <c r="DJ4" s="389"/>
      <c r="DK4" s="389"/>
      <c r="DL4" s="389"/>
      <c r="DM4" s="389"/>
      <c r="DN4" s="389"/>
      <c r="DO4" s="389"/>
      <c r="DP4" s="389"/>
      <c r="DQ4" s="389"/>
      <c r="DR4" s="389"/>
      <c r="DS4" s="389"/>
      <c r="DT4" s="389"/>
      <c r="DU4" s="389"/>
      <c r="DV4" s="389"/>
      <c r="DW4" s="389"/>
      <c r="DX4" s="389"/>
      <c r="DY4" s="389"/>
      <c r="DZ4" s="389"/>
      <c r="EA4" s="389"/>
      <c r="EB4" s="389"/>
      <c r="EC4" s="392" t="s">
        <v>65</v>
      </c>
    </row>
    <row r="5" spans="1:146">
      <c r="A5" s="391"/>
      <c r="B5" s="391"/>
      <c r="C5" s="697" t="s">
        <v>484</v>
      </c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  <c r="Y5" s="697"/>
      <c r="Z5" s="697"/>
      <c r="AA5" s="697"/>
      <c r="AB5" s="697"/>
      <c r="AC5" s="697"/>
      <c r="AD5" s="697"/>
      <c r="AE5" s="697"/>
      <c r="AF5" s="697"/>
      <c r="AG5" s="697"/>
      <c r="AH5" s="697"/>
      <c r="AI5" s="697"/>
      <c r="AJ5" s="697"/>
      <c r="AK5" s="697"/>
      <c r="AL5" s="697"/>
      <c r="AM5" s="697"/>
      <c r="AN5" s="697"/>
      <c r="AO5" s="697"/>
      <c r="AP5" s="697"/>
      <c r="AQ5" s="697"/>
      <c r="AR5" s="697"/>
      <c r="AS5" s="697"/>
      <c r="AT5" s="697"/>
      <c r="AU5" s="697"/>
      <c r="AV5" s="697"/>
      <c r="AW5" s="697"/>
      <c r="AX5" s="697"/>
      <c r="AY5" s="697"/>
      <c r="AZ5" s="697"/>
      <c r="BA5" s="697"/>
      <c r="BB5" s="697"/>
      <c r="BC5" s="697"/>
      <c r="BD5" s="697"/>
      <c r="BE5" s="697"/>
      <c r="BF5" s="697"/>
      <c r="BG5" s="697"/>
      <c r="BH5" s="697"/>
      <c r="BI5" s="697"/>
      <c r="BJ5" s="697"/>
      <c r="BK5" s="697"/>
      <c r="BL5" s="697"/>
      <c r="BM5" s="697"/>
      <c r="BN5" s="697"/>
      <c r="BO5" s="697"/>
      <c r="BP5" s="697"/>
      <c r="BQ5" s="697"/>
      <c r="BR5" s="697"/>
      <c r="BS5" s="697"/>
      <c r="BT5" s="697"/>
      <c r="BU5" s="697"/>
      <c r="BV5" s="697"/>
      <c r="BW5" s="697"/>
      <c r="BX5" s="697"/>
      <c r="BY5" s="697"/>
      <c r="BZ5" s="697"/>
      <c r="CA5" s="697"/>
      <c r="CB5" s="697"/>
      <c r="CC5" s="697"/>
      <c r="CD5" s="697"/>
      <c r="CE5" s="697"/>
      <c r="CF5" s="697"/>
      <c r="CG5" s="697"/>
      <c r="CH5" s="697"/>
      <c r="CI5" s="697"/>
      <c r="CJ5" s="697"/>
      <c r="CK5" s="697"/>
      <c r="CL5" s="697"/>
      <c r="CM5" s="697"/>
      <c r="CN5" s="697"/>
      <c r="CO5" s="697"/>
      <c r="CP5" s="697"/>
      <c r="CQ5" s="697"/>
      <c r="CR5" s="697"/>
      <c r="CS5" s="697"/>
      <c r="CT5" s="697"/>
      <c r="CU5" s="697"/>
      <c r="CV5" s="697"/>
      <c r="CW5" s="697"/>
      <c r="CX5" s="697"/>
      <c r="CY5" s="697"/>
      <c r="CZ5" s="697"/>
      <c r="DA5" s="697"/>
      <c r="DB5" s="697"/>
      <c r="DC5" s="697"/>
      <c r="DD5" s="697"/>
      <c r="DE5" s="697"/>
      <c r="DF5" s="697"/>
      <c r="DG5" s="697"/>
      <c r="DH5" s="697"/>
      <c r="DI5" s="697"/>
      <c r="DJ5" s="697"/>
      <c r="DK5" s="697"/>
      <c r="DL5" s="697"/>
      <c r="DM5" s="697"/>
      <c r="DN5" s="697"/>
      <c r="DO5" s="697"/>
      <c r="DP5" s="697"/>
      <c r="DQ5" s="697"/>
      <c r="DR5" s="697"/>
      <c r="DS5" s="697"/>
      <c r="DT5" s="697"/>
      <c r="DU5" s="697"/>
      <c r="DV5" s="697"/>
      <c r="DW5" s="697"/>
      <c r="DX5" s="697"/>
      <c r="DY5" s="697"/>
      <c r="DZ5" s="697"/>
      <c r="EA5" s="697"/>
      <c r="EB5" s="697"/>
      <c r="EC5" s="392" t="s">
        <v>65</v>
      </c>
    </row>
    <row r="6" spans="1:146" s="390" customFormat="1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393"/>
      <c r="BT6" s="393"/>
      <c r="BU6" s="393"/>
      <c r="BV6" s="393"/>
      <c r="BW6" s="393"/>
      <c r="BX6" s="393"/>
      <c r="BY6" s="393"/>
      <c r="BZ6" s="393"/>
      <c r="CA6" s="393"/>
      <c r="CB6" s="393"/>
      <c r="CC6" s="393"/>
      <c r="CD6" s="393"/>
      <c r="CE6" s="393"/>
      <c r="CF6" s="393"/>
      <c r="CG6" s="393"/>
      <c r="CH6" s="393"/>
      <c r="CI6" s="393"/>
      <c r="CJ6" s="393"/>
      <c r="CK6" s="393"/>
      <c r="CL6" s="393"/>
      <c r="CM6" s="393"/>
      <c r="CN6" s="393"/>
      <c r="CO6" s="393"/>
      <c r="CP6" s="393"/>
      <c r="CQ6" s="393"/>
      <c r="CR6" s="393"/>
      <c r="CS6" s="393"/>
      <c r="CT6" s="393"/>
      <c r="CU6" s="393"/>
      <c r="CV6" s="393"/>
      <c r="CW6" s="393"/>
      <c r="CX6" s="393"/>
      <c r="CY6" s="393"/>
      <c r="CZ6" s="393"/>
      <c r="DA6" s="393"/>
      <c r="DB6" s="393"/>
      <c r="DC6" s="393"/>
      <c r="DD6" s="393"/>
      <c r="DE6" s="393"/>
      <c r="DF6" s="393"/>
      <c r="DG6" s="393"/>
      <c r="DH6" s="393"/>
      <c r="DI6" s="393"/>
      <c r="DJ6" s="393"/>
      <c r="DK6" s="393"/>
      <c r="DL6" s="393"/>
      <c r="DM6" s="393"/>
      <c r="DN6" s="393"/>
      <c r="DO6" s="393"/>
      <c r="DP6" s="393"/>
      <c r="DQ6" s="393"/>
      <c r="DR6" s="393"/>
      <c r="DS6" s="393"/>
      <c r="DT6" s="393"/>
      <c r="DU6" s="393"/>
      <c r="DV6" s="393"/>
      <c r="DW6" s="393"/>
      <c r="DX6" s="393"/>
      <c r="DY6" s="393"/>
      <c r="DZ6" s="393"/>
      <c r="EA6" s="393"/>
      <c r="EB6" s="389"/>
      <c r="EC6" s="392" t="s">
        <v>65</v>
      </c>
    </row>
    <row r="7" spans="1:146" ht="15">
      <c r="A7" s="389"/>
      <c r="B7" s="389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89"/>
      <c r="P7" s="389"/>
      <c r="Q7" s="389"/>
      <c r="R7" s="389"/>
      <c r="S7" s="392"/>
      <c r="T7" s="392"/>
      <c r="U7" s="392"/>
      <c r="V7" s="392"/>
      <c r="W7" s="389"/>
      <c r="X7" s="76"/>
      <c r="Y7" s="76"/>
      <c r="Z7" s="602"/>
      <c r="AA7" s="603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  <c r="AM7" s="389"/>
      <c r="AN7" s="389"/>
      <c r="AO7" s="389"/>
      <c r="AP7" s="389"/>
      <c r="AQ7" s="389"/>
      <c r="AR7" s="389"/>
      <c r="AS7" s="389"/>
      <c r="AT7" s="389"/>
      <c r="AU7" s="389"/>
      <c r="AV7" s="389"/>
      <c r="AW7" s="389"/>
      <c r="AX7" s="389"/>
      <c r="AY7" s="389"/>
      <c r="AZ7" s="389"/>
      <c r="BA7" s="389"/>
      <c r="BB7" s="389"/>
      <c r="BC7" s="389"/>
      <c r="BD7" s="389"/>
      <c r="BE7" s="389"/>
      <c r="BF7" s="389"/>
      <c r="BG7" s="389"/>
      <c r="BH7" s="389"/>
      <c r="BI7" s="389"/>
      <c r="BJ7" s="389"/>
      <c r="BK7" s="389"/>
      <c r="BL7" s="389"/>
      <c r="BM7" s="389"/>
      <c r="BN7" s="389"/>
      <c r="BO7" s="389"/>
      <c r="BP7" s="389"/>
      <c r="BQ7" s="389"/>
      <c r="BR7" s="389"/>
      <c r="BS7" s="389"/>
      <c r="BT7" s="389"/>
      <c r="BU7" s="389"/>
      <c r="BV7" s="389"/>
      <c r="BW7" s="389"/>
      <c r="BX7" s="389"/>
      <c r="BY7" s="389"/>
      <c r="BZ7" s="389"/>
      <c r="CA7" s="389"/>
      <c r="CB7" s="389"/>
      <c r="CC7" s="389"/>
      <c r="CD7" s="389"/>
      <c r="CE7" s="389"/>
      <c r="CF7" s="389"/>
      <c r="CG7" s="389"/>
      <c r="CH7" s="389"/>
      <c r="CI7" s="389"/>
      <c r="CJ7" s="389"/>
      <c r="CK7" s="389"/>
      <c r="CL7" s="389"/>
      <c r="CM7" s="389"/>
      <c r="CN7" s="389"/>
      <c r="CO7" s="389"/>
      <c r="CP7" s="389"/>
      <c r="CQ7" s="389"/>
      <c r="CR7" s="389"/>
      <c r="CS7" s="389"/>
      <c r="CT7" s="389"/>
      <c r="CU7" s="389"/>
      <c r="CV7" s="389"/>
      <c r="CW7" s="389"/>
      <c r="CX7" s="389"/>
      <c r="CY7" s="389"/>
      <c r="CZ7" s="389"/>
      <c r="DA7" s="389"/>
      <c r="DB7" s="389"/>
      <c r="DC7" s="389"/>
      <c r="DD7" s="389"/>
      <c r="DE7" s="389"/>
      <c r="DF7" s="389"/>
      <c r="DG7" s="389"/>
      <c r="DH7" s="389"/>
      <c r="DI7" s="389"/>
      <c r="DJ7" s="389"/>
      <c r="DK7" s="389"/>
      <c r="DL7" s="389"/>
      <c r="DM7" s="389"/>
      <c r="DN7" s="389"/>
      <c r="DO7" s="389"/>
      <c r="DP7" s="389"/>
      <c r="DQ7" s="389"/>
      <c r="DR7" s="389"/>
      <c r="DS7" s="389"/>
      <c r="DT7" s="389"/>
      <c r="DU7" s="389"/>
      <c r="DV7" s="389"/>
      <c r="DW7" s="389"/>
      <c r="DX7" s="389"/>
      <c r="DY7" s="389"/>
      <c r="DZ7" s="389"/>
      <c r="EA7" s="389"/>
      <c r="EB7" s="389"/>
      <c r="EC7" s="392" t="s">
        <v>65</v>
      </c>
      <c r="ED7" s="390"/>
      <c r="EE7" s="390"/>
      <c r="EF7" s="390"/>
      <c r="EG7" s="390"/>
      <c r="EH7" s="390"/>
      <c r="EI7" s="390"/>
      <c r="EJ7" s="390"/>
      <c r="EK7" s="390"/>
      <c r="EL7" s="390"/>
      <c r="EM7" s="390"/>
      <c r="EN7" s="390"/>
      <c r="EO7" s="390"/>
      <c r="EP7" s="390"/>
    </row>
    <row r="8" spans="1:146" s="390" customFormat="1">
      <c r="A8" s="389"/>
      <c r="B8" s="389"/>
      <c r="C8" s="389"/>
      <c r="D8" s="389"/>
      <c r="E8" s="389"/>
      <c r="F8" s="389"/>
      <c r="G8" s="389"/>
      <c r="H8" s="389"/>
      <c r="I8" s="389"/>
      <c r="J8" s="389"/>
      <c r="K8" s="811"/>
      <c r="L8" s="811">
        <v>44592</v>
      </c>
      <c r="M8" s="698">
        <f t="shared" ref="M8:BX8" si="0">EOMONTH(L8,1)</f>
        <v>44620</v>
      </c>
      <c r="N8" s="698">
        <f t="shared" si="0"/>
        <v>44651</v>
      </c>
      <c r="O8" s="698">
        <f t="shared" si="0"/>
        <v>44681</v>
      </c>
      <c r="P8" s="698">
        <f t="shared" si="0"/>
        <v>44712</v>
      </c>
      <c r="Q8" s="698">
        <f t="shared" si="0"/>
        <v>44742</v>
      </c>
      <c r="R8" s="698">
        <f t="shared" si="0"/>
        <v>44773</v>
      </c>
      <c r="S8" s="698">
        <f t="shared" si="0"/>
        <v>44804</v>
      </c>
      <c r="T8" s="698">
        <f t="shared" si="0"/>
        <v>44834</v>
      </c>
      <c r="U8" s="698">
        <f t="shared" si="0"/>
        <v>44865</v>
      </c>
      <c r="V8" s="698">
        <f t="shared" si="0"/>
        <v>44895</v>
      </c>
      <c r="W8" s="698">
        <f t="shared" si="0"/>
        <v>44926</v>
      </c>
      <c r="X8" s="698">
        <f t="shared" si="0"/>
        <v>44957</v>
      </c>
      <c r="Y8" s="698">
        <f t="shared" si="0"/>
        <v>44985</v>
      </c>
      <c r="Z8" s="698">
        <f t="shared" si="0"/>
        <v>45016</v>
      </c>
      <c r="AA8" s="698">
        <f t="shared" si="0"/>
        <v>45046</v>
      </c>
      <c r="AB8" s="698">
        <f t="shared" si="0"/>
        <v>45077</v>
      </c>
      <c r="AC8" s="698">
        <f t="shared" si="0"/>
        <v>45107</v>
      </c>
      <c r="AD8" s="698">
        <f t="shared" si="0"/>
        <v>45138</v>
      </c>
      <c r="AE8" s="698">
        <f t="shared" si="0"/>
        <v>45169</v>
      </c>
      <c r="AF8" s="698">
        <f t="shared" si="0"/>
        <v>45199</v>
      </c>
      <c r="AG8" s="698">
        <f t="shared" si="0"/>
        <v>45230</v>
      </c>
      <c r="AH8" s="698">
        <f t="shared" si="0"/>
        <v>45260</v>
      </c>
      <c r="AI8" s="698">
        <f t="shared" si="0"/>
        <v>45291</v>
      </c>
      <c r="AJ8" s="698">
        <f t="shared" si="0"/>
        <v>45322</v>
      </c>
      <c r="AK8" s="698">
        <f t="shared" si="0"/>
        <v>45351</v>
      </c>
      <c r="AL8" s="698">
        <f t="shared" si="0"/>
        <v>45382</v>
      </c>
      <c r="AM8" s="698">
        <f t="shared" si="0"/>
        <v>45412</v>
      </c>
      <c r="AN8" s="698">
        <f t="shared" si="0"/>
        <v>45443</v>
      </c>
      <c r="AO8" s="698">
        <f t="shared" si="0"/>
        <v>45473</v>
      </c>
      <c r="AP8" s="698">
        <f t="shared" si="0"/>
        <v>45504</v>
      </c>
      <c r="AQ8" s="698">
        <f t="shared" si="0"/>
        <v>45535</v>
      </c>
      <c r="AR8" s="698">
        <f t="shared" si="0"/>
        <v>45565</v>
      </c>
      <c r="AS8" s="698">
        <f t="shared" si="0"/>
        <v>45596</v>
      </c>
      <c r="AT8" s="698">
        <f t="shared" si="0"/>
        <v>45626</v>
      </c>
      <c r="AU8" s="698">
        <f t="shared" si="0"/>
        <v>45657</v>
      </c>
      <c r="AV8" s="698">
        <f t="shared" si="0"/>
        <v>45688</v>
      </c>
      <c r="AW8" s="698">
        <f t="shared" si="0"/>
        <v>45716</v>
      </c>
      <c r="AX8" s="698">
        <f t="shared" si="0"/>
        <v>45747</v>
      </c>
      <c r="AY8" s="698">
        <f t="shared" si="0"/>
        <v>45777</v>
      </c>
      <c r="AZ8" s="698">
        <f t="shared" si="0"/>
        <v>45808</v>
      </c>
      <c r="BA8" s="698">
        <f t="shared" si="0"/>
        <v>45838</v>
      </c>
      <c r="BB8" s="698">
        <f t="shared" si="0"/>
        <v>45869</v>
      </c>
      <c r="BC8" s="698">
        <f t="shared" si="0"/>
        <v>45900</v>
      </c>
      <c r="BD8" s="698">
        <f t="shared" si="0"/>
        <v>45930</v>
      </c>
      <c r="BE8" s="698">
        <f t="shared" si="0"/>
        <v>45961</v>
      </c>
      <c r="BF8" s="698">
        <f t="shared" si="0"/>
        <v>45991</v>
      </c>
      <c r="BG8" s="698">
        <f t="shared" si="0"/>
        <v>46022</v>
      </c>
      <c r="BH8" s="698">
        <f t="shared" si="0"/>
        <v>46053</v>
      </c>
      <c r="BI8" s="698">
        <f t="shared" si="0"/>
        <v>46081</v>
      </c>
      <c r="BJ8" s="698">
        <f t="shared" si="0"/>
        <v>46112</v>
      </c>
      <c r="BK8" s="698">
        <f t="shared" si="0"/>
        <v>46142</v>
      </c>
      <c r="BL8" s="698">
        <f t="shared" si="0"/>
        <v>46173</v>
      </c>
      <c r="BM8" s="698">
        <f t="shared" si="0"/>
        <v>46203</v>
      </c>
      <c r="BN8" s="698">
        <f t="shared" si="0"/>
        <v>46234</v>
      </c>
      <c r="BO8" s="698">
        <f t="shared" si="0"/>
        <v>46265</v>
      </c>
      <c r="BP8" s="698">
        <f t="shared" si="0"/>
        <v>46295</v>
      </c>
      <c r="BQ8" s="698">
        <f t="shared" si="0"/>
        <v>46326</v>
      </c>
      <c r="BR8" s="698">
        <f t="shared" si="0"/>
        <v>46356</v>
      </c>
      <c r="BS8" s="698">
        <f t="shared" si="0"/>
        <v>46387</v>
      </c>
      <c r="BT8" s="698">
        <f t="shared" si="0"/>
        <v>46418</v>
      </c>
      <c r="BU8" s="698">
        <f t="shared" si="0"/>
        <v>46446</v>
      </c>
      <c r="BV8" s="698">
        <f t="shared" si="0"/>
        <v>46477</v>
      </c>
      <c r="BW8" s="698">
        <f t="shared" si="0"/>
        <v>46507</v>
      </c>
      <c r="BX8" s="698">
        <f t="shared" si="0"/>
        <v>46538</v>
      </c>
      <c r="BY8" s="698">
        <f t="shared" ref="BY8:EA8" si="1">EOMONTH(BX8,1)</f>
        <v>46568</v>
      </c>
      <c r="BZ8" s="698">
        <f t="shared" si="1"/>
        <v>46599</v>
      </c>
      <c r="CA8" s="698">
        <f t="shared" si="1"/>
        <v>46630</v>
      </c>
      <c r="CB8" s="698">
        <f t="shared" si="1"/>
        <v>46660</v>
      </c>
      <c r="CC8" s="698">
        <f t="shared" si="1"/>
        <v>46691</v>
      </c>
      <c r="CD8" s="698">
        <f t="shared" si="1"/>
        <v>46721</v>
      </c>
      <c r="CE8" s="698">
        <f t="shared" si="1"/>
        <v>46752</v>
      </c>
      <c r="CF8" s="698">
        <f t="shared" si="1"/>
        <v>46783</v>
      </c>
      <c r="CG8" s="698">
        <f t="shared" si="1"/>
        <v>46812</v>
      </c>
      <c r="CH8" s="698">
        <f t="shared" si="1"/>
        <v>46843</v>
      </c>
      <c r="CI8" s="698">
        <f t="shared" si="1"/>
        <v>46873</v>
      </c>
      <c r="CJ8" s="698">
        <f t="shared" si="1"/>
        <v>46904</v>
      </c>
      <c r="CK8" s="698">
        <f t="shared" si="1"/>
        <v>46934</v>
      </c>
      <c r="CL8" s="698">
        <f t="shared" si="1"/>
        <v>46965</v>
      </c>
      <c r="CM8" s="698">
        <f t="shared" si="1"/>
        <v>46996</v>
      </c>
      <c r="CN8" s="698">
        <f t="shared" si="1"/>
        <v>47026</v>
      </c>
      <c r="CO8" s="698">
        <f t="shared" si="1"/>
        <v>47057</v>
      </c>
      <c r="CP8" s="698">
        <f t="shared" si="1"/>
        <v>47087</v>
      </c>
      <c r="CQ8" s="698">
        <f t="shared" si="1"/>
        <v>47118</v>
      </c>
      <c r="CR8" s="698">
        <f t="shared" si="1"/>
        <v>47149</v>
      </c>
      <c r="CS8" s="698">
        <f t="shared" si="1"/>
        <v>47177</v>
      </c>
      <c r="CT8" s="698">
        <f t="shared" si="1"/>
        <v>47208</v>
      </c>
      <c r="CU8" s="698">
        <f t="shared" si="1"/>
        <v>47238</v>
      </c>
      <c r="CV8" s="698">
        <f t="shared" si="1"/>
        <v>47269</v>
      </c>
      <c r="CW8" s="698">
        <f t="shared" si="1"/>
        <v>47299</v>
      </c>
      <c r="CX8" s="698">
        <f t="shared" si="1"/>
        <v>47330</v>
      </c>
      <c r="CY8" s="698">
        <f t="shared" si="1"/>
        <v>47361</v>
      </c>
      <c r="CZ8" s="698">
        <f t="shared" si="1"/>
        <v>47391</v>
      </c>
      <c r="DA8" s="698">
        <f t="shared" si="1"/>
        <v>47422</v>
      </c>
      <c r="DB8" s="698">
        <f t="shared" si="1"/>
        <v>47452</v>
      </c>
      <c r="DC8" s="698">
        <f t="shared" si="1"/>
        <v>47483</v>
      </c>
      <c r="DD8" s="698">
        <f t="shared" si="1"/>
        <v>47514</v>
      </c>
      <c r="DE8" s="698">
        <f t="shared" si="1"/>
        <v>47542</v>
      </c>
      <c r="DF8" s="698">
        <f t="shared" si="1"/>
        <v>47573</v>
      </c>
      <c r="DG8" s="698">
        <f t="shared" si="1"/>
        <v>47603</v>
      </c>
      <c r="DH8" s="698">
        <f t="shared" si="1"/>
        <v>47634</v>
      </c>
      <c r="DI8" s="698">
        <f t="shared" si="1"/>
        <v>47664</v>
      </c>
      <c r="DJ8" s="698">
        <f t="shared" si="1"/>
        <v>47695</v>
      </c>
      <c r="DK8" s="698">
        <f t="shared" si="1"/>
        <v>47726</v>
      </c>
      <c r="DL8" s="698">
        <f t="shared" si="1"/>
        <v>47756</v>
      </c>
      <c r="DM8" s="698">
        <f t="shared" si="1"/>
        <v>47787</v>
      </c>
      <c r="DN8" s="698">
        <f t="shared" si="1"/>
        <v>47817</v>
      </c>
      <c r="DO8" s="698">
        <f t="shared" si="1"/>
        <v>47848</v>
      </c>
      <c r="DP8" s="698">
        <f t="shared" si="1"/>
        <v>47879</v>
      </c>
      <c r="DQ8" s="698">
        <f t="shared" si="1"/>
        <v>47907</v>
      </c>
      <c r="DR8" s="698">
        <f t="shared" si="1"/>
        <v>47938</v>
      </c>
      <c r="DS8" s="698">
        <f t="shared" si="1"/>
        <v>47968</v>
      </c>
      <c r="DT8" s="698">
        <f t="shared" si="1"/>
        <v>47999</v>
      </c>
      <c r="DU8" s="698">
        <f t="shared" si="1"/>
        <v>48029</v>
      </c>
      <c r="DV8" s="698">
        <f t="shared" si="1"/>
        <v>48060</v>
      </c>
      <c r="DW8" s="698">
        <f t="shared" si="1"/>
        <v>48091</v>
      </c>
      <c r="DX8" s="698">
        <f t="shared" si="1"/>
        <v>48121</v>
      </c>
      <c r="DY8" s="698">
        <f t="shared" si="1"/>
        <v>48152</v>
      </c>
      <c r="DZ8" s="698">
        <f t="shared" si="1"/>
        <v>48182</v>
      </c>
      <c r="EA8" s="698">
        <f t="shared" si="1"/>
        <v>48213</v>
      </c>
      <c r="EB8" s="389"/>
      <c r="EC8" s="392" t="s">
        <v>65</v>
      </c>
    </row>
    <row r="9" spans="1:146" s="390" customFormat="1">
      <c r="A9" s="389"/>
      <c r="B9" s="389"/>
      <c r="C9" s="389"/>
      <c r="D9" s="389"/>
      <c r="E9" s="389"/>
      <c r="F9" s="389"/>
      <c r="G9" s="389"/>
      <c r="H9" s="389"/>
      <c r="I9" s="389"/>
      <c r="J9" s="389"/>
      <c r="K9" s="389"/>
      <c r="L9" s="710">
        <f>ROUNDUP(L10/12,0)</f>
        <v>1</v>
      </c>
      <c r="M9" s="710">
        <f t="shared" ref="M9:BX9" si="2">ROUNDUP(M10/12,0)</f>
        <v>1</v>
      </c>
      <c r="N9" s="710">
        <f t="shared" si="2"/>
        <v>1</v>
      </c>
      <c r="O9" s="710">
        <f t="shared" si="2"/>
        <v>1</v>
      </c>
      <c r="P9" s="710">
        <f t="shared" si="2"/>
        <v>1</v>
      </c>
      <c r="Q9" s="710">
        <f t="shared" si="2"/>
        <v>1</v>
      </c>
      <c r="R9" s="710">
        <f t="shared" si="2"/>
        <v>1</v>
      </c>
      <c r="S9" s="710">
        <f t="shared" si="2"/>
        <v>1</v>
      </c>
      <c r="T9" s="710">
        <f t="shared" si="2"/>
        <v>1</v>
      </c>
      <c r="U9" s="710">
        <f t="shared" si="2"/>
        <v>1</v>
      </c>
      <c r="V9" s="710">
        <f t="shared" si="2"/>
        <v>1</v>
      </c>
      <c r="W9" s="710">
        <f t="shared" si="2"/>
        <v>1</v>
      </c>
      <c r="X9" s="710">
        <f t="shared" si="2"/>
        <v>2</v>
      </c>
      <c r="Y9" s="710">
        <f t="shared" si="2"/>
        <v>2</v>
      </c>
      <c r="Z9" s="710">
        <f t="shared" si="2"/>
        <v>2</v>
      </c>
      <c r="AA9" s="710">
        <f t="shared" si="2"/>
        <v>2</v>
      </c>
      <c r="AB9" s="710">
        <f t="shared" si="2"/>
        <v>2</v>
      </c>
      <c r="AC9" s="710">
        <f t="shared" si="2"/>
        <v>2</v>
      </c>
      <c r="AD9" s="710">
        <f t="shared" si="2"/>
        <v>2</v>
      </c>
      <c r="AE9" s="710">
        <f t="shared" si="2"/>
        <v>2</v>
      </c>
      <c r="AF9" s="710">
        <f t="shared" si="2"/>
        <v>2</v>
      </c>
      <c r="AG9" s="710">
        <f t="shared" si="2"/>
        <v>2</v>
      </c>
      <c r="AH9" s="710">
        <f t="shared" si="2"/>
        <v>2</v>
      </c>
      <c r="AI9" s="710">
        <f t="shared" si="2"/>
        <v>2</v>
      </c>
      <c r="AJ9" s="710">
        <f t="shared" si="2"/>
        <v>3</v>
      </c>
      <c r="AK9" s="710">
        <f t="shared" si="2"/>
        <v>3</v>
      </c>
      <c r="AL9" s="710">
        <f t="shared" si="2"/>
        <v>3</v>
      </c>
      <c r="AM9" s="710">
        <f t="shared" si="2"/>
        <v>3</v>
      </c>
      <c r="AN9" s="710">
        <f t="shared" si="2"/>
        <v>3</v>
      </c>
      <c r="AO9" s="710">
        <f t="shared" si="2"/>
        <v>3</v>
      </c>
      <c r="AP9" s="710">
        <f t="shared" si="2"/>
        <v>3</v>
      </c>
      <c r="AQ9" s="710">
        <f t="shared" si="2"/>
        <v>3</v>
      </c>
      <c r="AR9" s="710">
        <f t="shared" si="2"/>
        <v>3</v>
      </c>
      <c r="AS9" s="710">
        <f t="shared" si="2"/>
        <v>3</v>
      </c>
      <c r="AT9" s="710">
        <f t="shared" si="2"/>
        <v>3</v>
      </c>
      <c r="AU9" s="710">
        <f t="shared" si="2"/>
        <v>3</v>
      </c>
      <c r="AV9" s="710">
        <f t="shared" si="2"/>
        <v>4</v>
      </c>
      <c r="AW9" s="710">
        <f t="shared" si="2"/>
        <v>4</v>
      </c>
      <c r="AX9" s="710">
        <f t="shared" si="2"/>
        <v>4</v>
      </c>
      <c r="AY9" s="710">
        <f t="shared" si="2"/>
        <v>4</v>
      </c>
      <c r="AZ9" s="710">
        <f t="shared" si="2"/>
        <v>4</v>
      </c>
      <c r="BA9" s="710">
        <f t="shared" si="2"/>
        <v>4</v>
      </c>
      <c r="BB9" s="710">
        <f t="shared" si="2"/>
        <v>4</v>
      </c>
      <c r="BC9" s="710">
        <f t="shared" si="2"/>
        <v>4</v>
      </c>
      <c r="BD9" s="710">
        <f t="shared" si="2"/>
        <v>4</v>
      </c>
      <c r="BE9" s="710">
        <f t="shared" si="2"/>
        <v>4</v>
      </c>
      <c r="BF9" s="710">
        <f t="shared" si="2"/>
        <v>4</v>
      </c>
      <c r="BG9" s="710">
        <f t="shared" si="2"/>
        <v>4</v>
      </c>
      <c r="BH9" s="710">
        <f t="shared" si="2"/>
        <v>5</v>
      </c>
      <c r="BI9" s="710">
        <f t="shared" si="2"/>
        <v>5</v>
      </c>
      <c r="BJ9" s="710">
        <f t="shared" si="2"/>
        <v>5</v>
      </c>
      <c r="BK9" s="710">
        <f t="shared" si="2"/>
        <v>5</v>
      </c>
      <c r="BL9" s="710">
        <f t="shared" si="2"/>
        <v>5</v>
      </c>
      <c r="BM9" s="710">
        <f t="shared" si="2"/>
        <v>5</v>
      </c>
      <c r="BN9" s="710">
        <f t="shared" si="2"/>
        <v>5</v>
      </c>
      <c r="BO9" s="710">
        <f t="shared" si="2"/>
        <v>5</v>
      </c>
      <c r="BP9" s="710">
        <f t="shared" si="2"/>
        <v>5</v>
      </c>
      <c r="BQ9" s="710">
        <f t="shared" si="2"/>
        <v>5</v>
      </c>
      <c r="BR9" s="710">
        <f t="shared" si="2"/>
        <v>5</v>
      </c>
      <c r="BS9" s="710">
        <f t="shared" si="2"/>
        <v>5</v>
      </c>
      <c r="BT9" s="710">
        <f t="shared" si="2"/>
        <v>6</v>
      </c>
      <c r="BU9" s="710">
        <f t="shared" si="2"/>
        <v>6</v>
      </c>
      <c r="BV9" s="710">
        <f t="shared" si="2"/>
        <v>6</v>
      </c>
      <c r="BW9" s="710">
        <f t="shared" si="2"/>
        <v>6</v>
      </c>
      <c r="BX9" s="710">
        <f t="shared" si="2"/>
        <v>6</v>
      </c>
      <c r="BY9" s="710">
        <f t="shared" ref="BY9:EA9" si="3">ROUNDUP(BY10/12,0)</f>
        <v>6</v>
      </c>
      <c r="BZ9" s="710">
        <f t="shared" si="3"/>
        <v>6</v>
      </c>
      <c r="CA9" s="710">
        <f t="shared" si="3"/>
        <v>6</v>
      </c>
      <c r="CB9" s="710">
        <f t="shared" si="3"/>
        <v>6</v>
      </c>
      <c r="CC9" s="710">
        <f t="shared" si="3"/>
        <v>6</v>
      </c>
      <c r="CD9" s="710">
        <f t="shared" si="3"/>
        <v>6</v>
      </c>
      <c r="CE9" s="710">
        <f t="shared" si="3"/>
        <v>6</v>
      </c>
      <c r="CF9" s="710">
        <f t="shared" si="3"/>
        <v>7</v>
      </c>
      <c r="CG9" s="710">
        <f t="shared" si="3"/>
        <v>7</v>
      </c>
      <c r="CH9" s="710">
        <f t="shared" si="3"/>
        <v>7</v>
      </c>
      <c r="CI9" s="710">
        <f t="shared" si="3"/>
        <v>7</v>
      </c>
      <c r="CJ9" s="710">
        <f t="shared" si="3"/>
        <v>7</v>
      </c>
      <c r="CK9" s="710">
        <f t="shared" si="3"/>
        <v>7</v>
      </c>
      <c r="CL9" s="710">
        <f t="shared" si="3"/>
        <v>7</v>
      </c>
      <c r="CM9" s="710">
        <f t="shared" si="3"/>
        <v>7</v>
      </c>
      <c r="CN9" s="710">
        <f t="shared" si="3"/>
        <v>7</v>
      </c>
      <c r="CO9" s="710">
        <f t="shared" si="3"/>
        <v>7</v>
      </c>
      <c r="CP9" s="710">
        <f t="shared" si="3"/>
        <v>7</v>
      </c>
      <c r="CQ9" s="710">
        <f t="shared" si="3"/>
        <v>7</v>
      </c>
      <c r="CR9" s="710">
        <f t="shared" si="3"/>
        <v>8</v>
      </c>
      <c r="CS9" s="710">
        <f t="shared" si="3"/>
        <v>8</v>
      </c>
      <c r="CT9" s="710">
        <f t="shared" si="3"/>
        <v>8</v>
      </c>
      <c r="CU9" s="710">
        <f t="shared" si="3"/>
        <v>8</v>
      </c>
      <c r="CV9" s="710">
        <f t="shared" si="3"/>
        <v>8</v>
      </c>
      <c r="CW9" s="710">
        <f t="shared" si="3"/>
        <v>8</v>
      </c>
      <c r="CX9" s="710">
        <f t="shared" si="3"/>
        <v>8</v>
      </c>
      <c r="CY9" s="710">
        <f t="shared" si="3"/>
        <v>8</v>
      </c>
      <c r="CZ9" s="710">
        <f t="shared" si="3"/>
        <v>8</v>
      </c>
      <c r="DA9" s="710">
        <f t="shared" si="3"/>
        <v>8</v>
      </c>
      <c r="DB9" s="710">
        <f t="shared" si="3"/>
        <v>8</v>
      </c>
      <c r="DC9" s="710">
        <f t="shared" si="3"/>
        <v>8</v>
      </c>
      <c r="DD9" s="710">
        <f t="shared" si="3"/>
        <v>9</v>
      </c>
      <c r="DE9" s="710">
        <f t="shared" si="3"/>
        <v>9</v>
      </c>
      <c r="DF9" s="710">
        <f t="shared" si="3"/>
        <v>9</v>
      </c>
      <c r="DG9" s="710">
        <f t="shared" si="3"/>
        <v>9</v>
      </c>
      <c r="DH9" s="710">
        <f t="shared" si="3"/>
        <v>9</v>
      </c>
      <c r="DI9" s="710">
        <f t="shared" si="3"/>
        <v>9</v>
      </c>
      <c r="DJ9" s="710">
        <f t="shared" si="3"/>
        <v>9</v>
      </c>
      <c r="DK9" s="710">
        <f t="shared" si="3"/>
        <v>9</v>
      </c>
      <c r="DL9" s="710">
        <f t="shared" si="3"/>
        <v>9</v>
      </c>
      <c r="DM9" s="710">
        <f t="shared" si="3"/>
        <v>9</v>
      </c>
      <c r="DN9" s="710">
        <f t="shared" si="3"/>
        <v>9</v>
      </c>
      <c r="DO9" s="710">
        <f t="shared" si="3"/>
        <v>9</v>
      </c>
      <c r="DP9" s="710">
        <f t="shared" si="3"/>
        <v>10</v>
      </c>
      <c r="DQ9" s="710">
        <f t="shared" si="3"/>
        <v>10</v>
      </c>
      <c r="DR9" s="710">
        <f t="shared" si="3"/>
        <v>10</v>
      </c>
      <c r="DS9" s="710">
        <f t="shared" si="3"/>
        <v>10</v>
      </c>
      <c r="DT9" s="710">
        <f t="shared" si="3"/>
        <v>10</v>
      </c>
      <c r="DU9" s="710">
        <f t="shared" si="3"/>
        <v>10</v>
      </c>
      <c r="DV9" s="710">
        <f t="shared" si="3"/>
        <v>10</v>
      </c>
      <c r="DW9" s="710">
        <f t="shared" si="3"/>
        <v>10</v>
      </c>
      <c r="DX9" s="710">
        <f t="shared" si="3"/>
        <v>10</v>
      </c>
      <c r="DY9" s="710">
        <f t="shared" si="3"/>
        <v>10</v>
      </c>
      <c r="DZ9" s="710">
        <f t="shared" si="3"/>
        <v>10</v>
      </c>
      <c r="EA9" s="710">
        <f t="shared" si="3"/>
        <v>10</v>
      </c>
      <c r="EB9" s="389"/>
      <c r="EC9" s="392" t="s">
        <v>65</v>
      </c>
    </row>
    <row r="10" spans="1:146" s="390" customFormat="1">
      <c r="A10" s="389"/>
      <c r="B10" s="389"/>
      <c r="C10" s="389"/>
      <c r="D10" s="389"/>
      <c r="E10" s="389"/>
      <c r="F10" s="389"/>
      <c r="G10" s="389"/>
      <c r="H10" s="389"/>
      <c r="I10" s="790" t="s">
        <v>11</v>
      </c>
      <c r="J10" s="699"/>
      <c r="K10" s="756" t="s">
        <v>110</v>
      </c>
      <c r="L10" s="757">
        <v>1</v>
      </c>
      <c r="M10" s="757">
        <f>L10+1</f>
        <v>2</v>
      </c>
      <c r="N10" s="757">
        <f t="shared" ref="N10:BY10" si="4">M10+1</f>
        <v>3</v>
      </c>
      <c r="O10" s="757">
        <f t="shared" si="4"/>
        <v>4</v>
      </c>
      <c r="P10" s="757">
        <f t="shared" si="4"/>
        <v>5</v>
      </c>
      <c r="Q10" s="757">
        <f t="shared" si="4"/>
        <v>6</v>
      </c>
      <c r="R10" s="757">
        <f t="shared" si="4"/>
        <v>7</v>
      </c>
      <c r="S10" s="757">
        <f t="shared" si="4"/>
        <v>8</v>
      </c>
      <c r="T10" s="757">
        <f t="shared" si="4"/>
        <v>9</v>
      </c>
      <c r="U10" s="757">
        <f t="shared" si="4"/>
        <v>10</v>
      </c>
      <c r="V10" s="757">
        <f t="shared" si="4"/>
        <v>11</v>
      </c>
      <c r="W10" s="757">
        <f t="shared" si="4"/>
        <v>12</v>
      </c>
      <c r="X10" s="757">
        <f t="shared" si="4"/>
        <v>13</v>
      </c>
      <c r="Y10" s="757">
        <f t="shared" si="4"/>
        <v>14</v>
      </c>
      <c r="Z10" s="757">
        <f t="shared" si="4"/>
        <v>15</v>
      </c>
      <c r="AA10" s="757">
        <f t="shared" si="4"/>
        <v>16</v>
      </c>
      <c r="AB10" s="757">
        <f t="shared" si="4"/>
        <v>17</v>
      </c>
      <c r="AC10" s="757">
        <f t="shared" si="4"/>
        <v>18</v>
      </c>
      <c r="AD10" s="757">
        <f t="shared" si="4"/>
        <v>19</v>
      </c>
      <c r="AE10" s="757">
        <f t="shared" si="4"/>
        <v>20</v>
      </c>
      <c r="AF10" s="757">
        <f t="shared" si="4"/>
        <v>21</v>
      </c>
      <c r="AG10" s="757">
        <f t="shared" si="4"/>
        <v>22</v>
      </c>
      <c r="AH10" s="757">
        <f t="shared" si="4"/>
        <v>23</v>
      </c>
      <c r="AI10" s="757">
        <f t="shared" si="4"/>
        <v>24</v>
      </c>
      <c r="AJ10" s="757">
        <f t="shared" si="4"/>
        <v>25</v>
      </c>
      <c r="AK10" s="757">
        <f t="shared" si="4"/>
        <v>26</v>
      </c>
      <c r="AL10" s="757">
        <f t="shared" si="4"/>
        <v>27</v>
      </c>
      <c r="AM10" s="757">
        <f t="shared" si="4"/>
        <v>28</v>
      </c>
      <c r="AN10" s="757">
        <f t="shared" si="4"/>
        <v>29</v>
      </c>
      <c r="AO10" s="757">
        <f t="shared" si="4"/>
        <v>30</v>
      </c>
      <c r="AP10" s="757">
        <f t="shared" si="4"/>
        <v>31</v>
      </c>
      <c r="AQ10" s="757">
        <f t="shared" si="4"/>
        <v>32</v>
      </c>
      <c r="AR10" s="757">
        <f t="shared" si="4"/>
        <v>33</v>
      </c>
      <c r="AS10" s="757">
        <f t="shared" si="4"/>
        <v>34</v>
      </c>
      <c r="AT10" s="757">
        <f t="shared" si="4"/>
        <v>35</v>
      </c>
      <c r="AU10" s="757">
        <f t="shared" si="4"/>
        <v>36</v>
      </c>
      <c r="AV10" s="757">
        <f t="shared" si="4"/>
        <v>37</v>
      </c>
      <c r="AW10" s="757">
        <f t="shared" si="4"/>
        <v>38</v>
      </c>
      <c r="AX10" s="757">
        <f t="shared" si="4"/>
        <v>39</v>
      </c>
      <c r="AY10" s="757">
        <f t="shared" si="4"/>
        <v>40</v>
      </c>
      <c r="AZ10" s="757">
        <f t="shared" si="4"/>
        <v>41</v>
      </c>
      <c r="BA10" s="757">
        <f t="shared" si="4"/>
        <v>42</v>
      </c>
      <c r="BB10" s="757">
        <f t="shared" si="4"/>
        <v>43</v>
      </c>
      <c r="BC10" s="757">
        <f t="shared" si="4"/>
        <v>44</v>
      </c>
      <c r="BD10" s="757">
        <f t="shared" si="4"/>
        <v>45</v>
      </c>
      <c r="BE10" s="757">
        <f t="shared" si="4"/>
        <v>46</v>
      </c>
      <c r="BF10" s="757">
        <f t="shared" si="4"/>
        <v>47</v>
      </c>
      <c r="BG10" s="757">
        <f t="shared" si="4"/>
        <v>48</v>
      </c>
      <c r="BH10" s="757">
        <f t="shared" si="4"/>
        <v>49</v>
      </c>
      <c r="BI10" s="757">
        <f t="shared" si="4"/>
        <v>50</v>
      </c>
      <c r="BJ10" s="757">
        <f t="shared" si="4"/>
        <v>51</v>
      </c>
      <c r="BK10" s="757">
        <f t="shared" si="4"/>
        <v>52</v>
      </c>
      <c r="BL10" s="757">
        <f t="shared" si="4"/>
        <v>53</v>
      </c>
      <c r="BM10" s="757">
        <f t="shared" si="4"/>
        <v>54</v>
      </c>
      <c r="BN10" s="757">
        <f t="shared" si="4"/>
        <v>55</v>
      </c>
      <c r="BO10" s="757">
        <f t="shared" si="4"/>
        <v>56</v>
      </c>
      <c r="BP10" s="757">
        <f t="shared" si="4"/>
        <v>57</v>
      </c>
      <c r="BQ10" s="757">
        <f t="shared" si="4"/>
        <v>58</v>
      </c>
      <c r="BR10" s="757">
        <f t="shared" si="4"/>
        <v>59</v>
      </c>
      <c r="BS10" s="757">
        <f t="shared" si="4"/>
        <v>60</v>
      </c>
      <c r="BT10" s="757">
        <f t="shared" si="4"/>
        <v>61</v>
      </c>
      <c r="BU10" s="757">
        <f t="shared" si="4"/>
        <v>62</v>
      </c>
      <c r="BV10" s="757">
        <f t="shared" si="4"/>
        <v>63</v>
      </c>
      <c r="BW10" s="757">
        <f t="shared" si="4"/>
        <v>64</v>
      </c>
      <c r="BX10" s="757">
        <f t="shared" si="4"/>
        <v>65</v>
      </c>
      <c r="BY10" s="757">
        <f t="shared" si="4"/>
        <v>66</v>
      </c>
      <c r="BZ10" s="757">
        <f t="shared" ref="BZ10:EA10" si="5">BY10+1</f>
        <v>67</v>
      </c>
      <c r="CA10" s="757">
        <f t="shared" si="5"/>
        <v>68</v>
      </c>
      <c r="CB10" s="757">
        <f t="shared" si="5"/>
        <v>69</v>
      </c>
      <c r="CC10" s="757">
        <f t="shared" si="5"/>
        <v>70</v>
      </c>
      <c r="CD10" s="757">
        <f t="shared" si="5"/>
        <v>71</v>
      </c>
      <c r="CE10" s="757">
        <f t="shared" si="5"/>
        <v>72</v>
      </c>
      <c r="CF10" s="757">
        <f t="shared" si="5"/>
        <v>73</v>
      </c>
      <c r="CG10" s="757">
        <f t="shared" si="5"/>
        <v>74</v>
      </c>
      <c r="CH10" s="757">
        <f t="shared" si="5"/>
        <v>75</v>
      </c>
      <c r="CI10" s="757">
        <f t="shared" si="5"/>
        <v>76</v>
      </c>
      <c r="CJ10" s="757">
        <f t="shared" si="5"/>
        <v>77</v>
      </c>
      <c r="CK10" s="757">
        <f t="shared" si="5"/>
        <v>78</v>
      </c>
      <c r="CL10" s="757">
        <f t="shared" si="5"/>
        <v>79</v>
      </c>
      <c r="CM10" s="757">
        <f t="shared" si="5"/>
        <v>80</v>
      </c>
      <c r="CN10" s="757">
        <f t="shared" si="5"/>
        <v>81</v>
      </c>
      <c r="CO10" s="757">
        <f t="shared" si="5"/>
        <v>82</v>
      </c>
      <c r="CP10" s="757">
        <f t="shared" si="5"/>
        <v>83</v>
      </c>
      <c r="CQ10" s="757">
        <f t="shared" si="5"/>
        <v>84</v>
      </c>
      <c r="CR10" s="757">
        <f t="shared" si="5"/>
        <v>85</v>
      </c>
      <c r="CS10" s="757">
        <f t="shared" si="5"/>
        <v>86</v>
      </c>
      <c r="CT10" s="757">
        <f t="shared" si="5"/>
        <v>87</v>
      </c>
      <c r="CU10" s="757">
        <f t="shared" si="5"/>
        <v>88</v>
      </c>
      <c r="CV10" s="757">
        <f t="shared" si="5"/>
        <v>89</v>
      </c>
      <c r="CW10" s="757">
        <f t="shared" si="5"/>
        <v>90</v>
      </c>
      <c r="CX10" s="757">
        <f t="shared" si="5"/>
        <v>91</v>
      </c>
      <c r="CY10" s="757">
        <f t="shared" si="5"/>
        <v>92</v>
      </c>
      <c r="CZ10" s="757">
        <f t="shared" si="5"/>
        <v>93</v>
      </c>
      <c r="DA10" s="757">
        <f t="shared" si="5"/>
        <v>94</v>
      </c>
      <c r="DB10" s="757">
        <f t="shared" si="5"/>
        <v>95</v>
      </c>
      <c r="DC10" s="757">
        <f t="shared" si="5"/>
        <v>96</v>
      </c>
      <c r="DD10" s="757">
        <f t="shared" si="5"/>
        <v>97</v>
      </c>
      <c r="DE10" s="757">
        <f t="shared" si="5"/>
        <v>98</v>
      </c>
      <c r="DF10" s="757">
        <f t="shared" si="5"/>
        <v>99</v>
      </c>
      <c r="DG10" s="757">
        <f t="shared" si="5"/>
        <v>100</v>
      </c>
      <c r="DH10" s="757">
        <f t="shared" si="5"/>
        <v>101</v>
      </c>
      <c r="DI10" s="757">
        <f t="shared" si="5"/>
        <v>102</v>
      </c>
      <c r="DJ10" s="757">
        <f t="shared" si="5"/>
        <v>103</v>
      </c>
      <c r="DK10" s="757">
        <f t="shared" si="5"/>
        <v>104</v>
      </c>
      <c r="DL10" s="757">
        <f t="shared" si="5"/>
        <v>105</v>
      </c>
      <c r="DM10" s="757">
        <f t="shared" si="5"/>
        <v>106</v>
      </c>
      <c r="DN10" s="757">
        <f t="shared" si="5"/>
        <v>107</v>
      </c>
      <c r="DO10" s="757">
        <f t="shared" si="5"/>
        <v>108</v>
      </c>
      <c r="DP10" s="757">
        <f t="shared" si="5"/>
        <v>109</v>
      </c>
      <c r="DQ10" s="757">
        <f t="shared" si="5"/>
        <v>110</v>
      </c>
      <c r="DR10" s="757">
        <f t="shared" si="5"/>
        <v>111</v>
      </c>
      <c r="DS10" s="757">
        <f t="shared" si="5"/>
        <v>112</v>
      </c>
      <c r="DT10" s="757">
        <f t="shared" si="5"/>
        <v>113</v>
      </c>
      <c r="DU10" s="757">
        <f t="shared" si="5"/>
        <v>114</v>
      </c>
      <c r="DV10" s="757">
        <f t="shared" si="5"/>
        <v>115</v>
      </c>
      <c r="DW10" s="757">
        <f t="shared" si="5"/>
        <v>116</v>
      </c>
      <c r="DX10" s="757">
        <f t="shared" si="5"/>
        <v>117</v>
      </c>
      <c r="DY10" s="757">
        <f t="shared" si="5"/>
        <v>118</v>
      </c>
      <c r="DZ10" s="757">
        <f t="shared" si="5"/>
        <v>119</v>
      </c>
      <c r="EA10" s="757">
        <f t="shared" si="5"/>
        <v>120</v>
      </c>
      <c r="EB10" s="389"/>
      <c r="EC10" s="392" t="s">
        <v>65</v>
      </c>
    </row>
    <row r="11" spans="1:146" s="390" customFormat="1" ht="15" customHeight="1">
      <c r="A11" s="389"/>
      <c r="B11" s="389"/>
      <c r="C11" s="389"/>
      <c r="D11" s="412"/>
      <c r="E11" s="389"/>
      <c r="F11" s="389"/>
      <c r="G11" s="389"/>
      <c r="H11" s="389"/>
      <c r="I11" s="796"/>
      <c r="J11" s="389"/>
      <c r="K11" s="389"/>
      <c r="L11" s="703"/>
      <c r="M11" s="703"/>
      <c r="N11" s="703"/>
      <c r="O11" s="703"/>
      <c r="P11" s="703"/>
      <c r="Q11" s="703"/>
      <c r="R11" s="703"/>
      <c r="S11" s="703"/>
      <c r="T11" s="703"/>
      <c r="U11" s="703"/>
      <c r="V11" s="703"/>
      <c r="W11" s="703"/>
      <c r="X11" s="703"/>
      <c r="Y11" s="703"/>
      <c r="Z11" s="703"/>
      <c r="AA11" s="703"/>
      <c r="AB11" s="703"/>
      <c r="AC11" s="703"/>
      <c r="AD11" s="703"/>
      <c r="AE11" s="703"/>
      <c r="AF11" s="703"/>
      <c r="AG11" s="703"/>
      <c r="AH11" s="703"/>
      <c r="AI11" s="703"/>
      <c r="AJ11" s="703"/>
      <c r="AK11" s="703"/>
      <c r="AL11" s="703"/>
      <c r="AM11" s="703"/>
      <c r="AN11" s="703"/>
      <c r="AO11" s="703"/>
      <c r="AP11" s="703"/>
      <c r="AQ11" s="703"/>
      <c r="AR11" s="703"/>
      <c r="AS11" s="703"/>
      <c r="AT11" s="703"/>
      <c r="AU11" s="703"/>
      <c r="AV11" s="703"/>
      <c r="AW11" s="703"/>
      <c r="AX11" s="703"/>
      <c r="AY11" s="703"/>
      <c r="AZ11" s="703"/>
      <c r="BA11" s="703"/>
      <c r="BB11" s="703"/>
      <c r="BC11" s="703"/>
      <c r="BD11" s="703"/>
      <c r="BE11" s="703"/>
      <c r="BF11" s="703"/>
      <c r="BG11" s="703"/>
      <c r="BH11" s="703"/>
      <c r="BI11" s="703"/>
      <c r="BJ11" s="703"/>
      <c r="BK11" s="703"/>
      <c r="BL11" s="703"/>
      <c r="BM11" s="703"/>
      <c r="BN11" s="703"/>
      <c r="BO11" s="703"/>
      <c r="BP11" s="703"/>
      <c r="BQ11" s="703"/>
      <c r="BR11" s="703"/>
      <c r="BS11" s="703"/>
      <c r="BT11" s="703"/>
      <c r="BU11" s="703"/>
      <c r="BV11" s="703"/>
      <c r="BW11" s="703"/>
      <c r="BX11" s="703"/>
      <c r="BY11" s="703"/>
      <c r="BZ11" s="703"/>
      <c r="CA11" s="703"/>
      <c r="CB11" s="703"/>
      <c r="CC11" s="703"/>
      <c r="CD11" s="703"/>
      <c r="CE11" s="703"/>
      <c r="CF11" s="703"/>
      <c r="CG11" s="703"/>
      <c r="CH11" s="703"/>
      <c r="CI11" s="703"/>
      <c r="CJ11" s="703"/>
      <c r="CK11" s="703"/>
      <c r="CL11" s="703"/>
      <c r="CM11" s="703"/>
      <c r="CN11" s="703"/>
      <c r="CO11" s="703"/>
      <c r="CP11" s="703"/>
      <c r="CQ11" s="703"/>
      <c r="CR11" s="703"/>
      <c r="CS11" s="703"/>
      <c r="CT11" s="703"/>
      <c r="CU11" s="703"/>
      <c r="CV11" s="703"/>
      <c r="CW11" s="703"/>
      <c r="CX11" s="703"/>
      <c r="CY11" s="703"/>
      <c r="CZ11" s="703"/>
      <c r="DA11" s="703"/>
      <c r="DB11" s="703"/>
      <c r="DC11" s="703"/>
      <c r="DD11" s="703"/>
      <c r="DE11" s="703"/>
      <c r="DF11" s="703"/>
      <c r="DG11" s="703"/>
      <c r="DH11" s="703"/>
      <c r="DI11" s="703"/>
      <c r="DJ11" s="703"/>
      <c r="DK11" s="703"/>
      <c r="DL11" s="703"/>
      <c r="DM11" s="703"/>
      <c r="DN11" s="703"/>
      <c r="DO11" s="703"/>
      <c r="DP11" s="703"/>
      <c r="DQ11" s="703"/>
      <c r="DR11" s="703"/>
      <c r="DS11" s="703"/>
      <c r="DT11" s="703"/>
      <c r="DU11" s="703"/>
      <c r="DV11" s="703"/>
      <c r="DW11" s="703"/>
      <c r="DX11" s="703"/>
      <c r="DY11" s="703"/>
      <c r="DZ11" s="703"/>
      <c r="EA11" s="703"/>
      <c r="EB11" s="389"/>
      <c r="EC11" s="392" t="s">
        <v>65</v>
      </c>
    </row>
    <row r="12" spans="1:146" s="390" customFormat="1">
      <c r="A12" s="389"/>
      <c r="B12" s="389"/>
      <c r="C12" s="389"/>
      <c r="D12" s="389"/>
      <c r="E12" s="725"/>
      <c r="F12" s="703"/>
      <c r="G12" s="389"/>
      <c r="H12" s="389"/>
      <c r="I12" s="796"/>
      <c r="J12" s="389"/>
      <c r="K12" s="700"/>
      <c r="L12" s="718"/>
      <c r="M12" s="718"/>
      <c r="N12" s="718"/>
      <c r="O12" s="704"/>
      <c r="P12" s="704"/>
      <c r="Q12" s="704"/>
      <c r="R12" s="704"/>
      <c r="S12" s="704"/>
      <c r="T12" s="704"/>
      <c r="U12" s="704"/>
      <c r="V12" s="704"/>
      <c r="W12" s="704"/>
      <c r="X12" s="704"/>
      <c r="Y12" s="704"/>
      <c r="Z12" s="704"/>
      <c r="AA12" s="704"/>
      <c r="AB12" s="704"/>
      <c r="AC12" s="704"/>
      <c r="AD12" s="704"/>
      <c r="AE12" s="704"/>
      <c r="AF12" s="704"/>
      <c r="AG12" s="704"/>
      <c r="AH12" s="704"/>
      <c r="AI12" s="704"/>
      <c r="AJ12" s="704"/>
      <c r="AK12" s="704"/>
      <c r="AL12" s="704"/>
      <c r="AM12" s="704"/>
      <c r="AN12" s="704"/>
      <c r="AO12" s="704"/>
      <c r="AP12" s="704"/>
      <c r="AQ12" s="704"/>
      <c r="AR12" s="704"/>
      <c r="AS12" s="704"/>
      <c r="AT12" s="704"/>
      <c r="AU12" s="704"/>
      <c r="AV12" s="704"/>
      <c r="AW12" s="704"/>
      <c r="AX12" s="704"/>
      <c r="AY12" s="704"/>
      <c r="AZ12" s="704"/>
      <c r="BA12" s="704"/>
      <c r="BB12" s="704"/>
      <c r="BC12" s="704"/>
      <c r="BD12" s="704"/>
      <c r="BE12" s="704"/>
      <c r="BF12" s="704"/>
      <c r="BG12" s="704"/>
      <c r="BH12" s="704"/>
      <c r="BI12" s="704"/>
      <c r="BJ12" s="704"/>
      <c r="BK12" s="704"/>
      <c r="BL12" s="704"/>
      <c r="BM12" s="704"/>
      <c r="BN12" s="704"/>
      <c r="BO12" s="704"/>
      <c r="BP12" s="704"/>
      <c r="BQ12" s="704"/>
      <c r="BR12" s="704"/>
      <c r="BS12" s="704"/>
      <c r="BT12" s="704"/>
      <c r="BU12" s="704"/>
      <c r="BV12" s="704"/>
      <c r="BW12" s="704"/>
      <c r="BX12" s="704"/>
      <c r="BY12" s="704"/>
      <c r="BZ12" s="704"/>
      <c r="CA12" s="704"/>
      <c r="CB12" s="704"/>
      <c r="CC12" s="704"/>
      <c r="CD12" s="704"/>
      <c r="CE12" s="704"/>
      <c r="CF12" s="704"/>
      <c r="CG12" s="704"/>
      <c r="CH12" s="704"/>
      <c r="CI12" s="704"/>
      <c r="CJ12" s="704"/>
      <c r="CK12" s="704"/>
      <c r="CL12" s="704"/>
      <c r="CM12" s="704"/>
      <c r="CN12" s="704"/>
      <c r="CO12" s="704"/>
      <c r="CP12" s="704"/>
      <c r="CQ12" s="704"/>
      <c r="CR12" s="704"/>
      <c r="CS12" s="704"/>
      <c r="CT12" s="704"/>
      <c r="CU12" s="704"/>
      <c r="CV12" s="704"/>
      <c r="CW12" s="704"/>
      <c r="CX12" s="704"/>
      <c r="CY12" s="704"/>
      <c r="CZ12" s="704"/>
      <c r="DA12" s="704"/>
      <c r="DB12" s="704"/>
      <c r="DC12" s="704"/>
      <c r="DD12" s="704"/>
      <c r="DE12" s="704"/>
      <c r="DF12" s="704"/>
      <c r="DG12" s="704"/>
      <c r="DH12" s="704"/>
      <c r="DI12" s="704"/>
      <c r="DJ12" s="704"/>
      <c r="DK12" s="704"/>
      <c r="DL12" s="704"/>
      <c r="DM12" s="704"/>
      <c r="DN12" s="704"/>
      <c r="DO12" s="704"/>
      <c r="DP12" s="704"/>
      <c r="DQ12" s="704"/>
      <c r="DR12" s="704"/>
      <c r="DS12" s="704"/>
      <c r="DT12" s="704"/>
      <c r="DU12" s="704"/>
      <c r="DV12" s="704"/>
      <c r="DW12" s="704"/>
      <c r="DX12" s="704"/>
      <c r="DY12" s="704"/>
      <c r="DZ12" s="704"/>
      <c r="EA12" s="704"/>
      <c r="EB12" s="389"/>
      <c r="EC12" s="392"/>
    </row>
    <row r="13" spans="1:146" s="390" customFormat="1">
      <c r="A13" s="389"/>
      <c r="B13" s="389"/>
      <c r="C13" s="389"/>
      <c r="D13" s="764" t="s">
        <v>496</v>
      </c>
      <c r="E13" s="389"/>
      <c r="F13" s="389"/>
      <c r="G13" s="389"/>
      <c r="H13" s="389"/>
      <c r="I13" s="796"/>
      <c r="J13" s="389"/>
      <c r="K13" s="389"/>
      <c r="L13" s="763">
        <f t="shared" ref="L13:Q13" ca="1" si="6">COUNTIF(L15,"&gt;"&amp;0)+K13</f>
        <v>0</v>
      </c>
      <c r="M13" s="763">
        <f t="shared" ca="1" si="6"/>
        <v>0</v>
      </c>
      <c r="N13" s="763">
        <f t="shared" ca="1" si="6"/>
        <v>0</v>
      </c>
      <c r="O13" s="763">
        <f t="shared" ca="1" si="6"/>
        <v>0</v>
      </c>
      <c r="P13" s="763">
        <f t="shared" ca="1" si="6"/>
        <v>0</v>
      </c>
      <c r="Q13" s="763">
        <f t="shared" ca="1" si="6"/>
        <v>0</v>
      </c>
      <c r="R13" s="763">
        <f ca="1">COUNTIF(R15,"&gt;"&amp;0)+Q13</f>
        <v>0</v>
      </c>
      <c r="S13" s="763">
        <f t="shared" ref="S13:CD13" ca="1" si="7">COUNTIF(S15,"&gt;"&amp;0)+R13</f>
        <v>1</v>
      </c>
      <c r="T13" s="763">
        <f t="shared" ca="1" si="7"/>
        <v>2</v>
      </c>
      <c r="U13" s="763">
        <f t="shared" ca="1" si="7"/>
        <v>3</v>
      </c>
      <c r="V13" s="763">
        <f t="shared" ca="1" si="7"/>
        <v>4</v>
      </c>
      <c r="W13" s="763">
        <f t="shared" ca="1" si="7"/>
        <v>5</v>
      </c>
      <c r="X13" s="763">
        <f t="shared" ca="1" si="7"/>
        <v>6</v>
      </c>
      <c r="Y13" s="763">
        <f t="shared" ca="1" si="7"/>
        <v>7</v>
      </c>
      <c r="Z13" s="763">
        <f t="shared" ca="1" si="7"/>
        <v>8</v>
      </c>
      <c r="AA13" s="763">
        <f t="shared" ca="1" si="7"/>
        <v>9</v>
      </c>
      <c r="AB13" s="763">
        <f t="shared" ca="1" si="7"/>
        <v>10</v>
      </c>
      <c r="AC13" s="763">
        <f t="shared" ca="1" si="7"/>
        <v>11</v>
      </c>
      <c r="AD13" s="763">
        <f t="shared" ca="1" si="7"/>
        <v>12</v>
      </c>
      <c r="AE13" s="763">
        <f t="shared" ca="1" si="7"/>
        <v>13</v>
      </c>
      <c r="AF13" s="763">
        <f t="shared" ca="1" si="7"/>
        <v>14</v>
      </c>
      <c r="AG13" s="763">
        <f t="shared" ca="1" si="7"/>
        <v>15</v>
      </c>
      <c r="AH13" s="763">
        <f t="shared" ca="1" si="7"/>
        <v>16</v>
      </c>
      <c r="AI13" s="763">
        <f t="shared" ca="1" si="7"/>
        <v>17</v>
      </c>
      <c r="AJ13" s="763">
        <f t="shared" ca="1" si="7"/>
        <v>18</v>
      </c>
      <c r="AK13" s="763">
        <f t="shared" ca="1" si="7"/>
        <v>19</v>
      </c>
      <c r="AL13" s="763">
        <f t="shared" ca="1" si="7"/>
        <v>19</v>
      </c>
      <c r="AM13" s="763">
        <f t="shared" ca="1" si="7"/>
        <v>19</v>
      </c>
      <c r="AN13" s="763">
        <f t="shared" ca="1" si="7"/>
        <v>19</v>
      </c>
      <c r="AO13" s="763">
        <f t="shared" ca="1" si="7"/>
        <v>19</v>
      </c>
      <c r="AP13" s="763">
        <f t="shared" ca="1" si="7"/>
        <v>19</v>
      </c>
      <c r="AQ13" s="763">
        <f t="shared" ca="1" si="7"/>
        <v>19</v>
      </c>
      <c r="AR13" s="763">
        <f t="shared" ca="1" si="7"/>
        <v>19</v>
      </c>
      <c r="AS13" s="763">
        <f t="shared" ca="1" si="7"/>
        <v>19</v>
      </c>
      <c r="AT13" s="763">
        <f t="shared" ca="1" si="7"/>
        <v>19</v>
      </c>
      <c r="AU13" s="763">
        <f t="shared" ca="1" si="7"/>
        <v>19</v>
      </c>
      <c r="AV13" s="763">
        <f t="shared" ca="1" si="7"/>
        <v>19</v>
      </c>
      <c r="AW13" s="763">
        <f t="shared" ca="1" si="7"/>
        <v>19</v>
      </c>
      <c r="AX13" s="763">
        <f t="shared" ca="1" si="7"/>
        <v>19</v>
      </c>
      <c r="AY13" s="763">
        <f t="shared" ca="1" si="7"/>
        <v>19</v>
      </c>
      <c r="AZ13" s="763">
        <f t="shared" ca="1" si="7"/>
        <v>19</v>
      </c>
      <c r="BA13" s="763">
        <f t="shared" ca="1" si="7"/>
        <v>19</v>
      </c>
      <c r="BB13" s="763">
        <f t="shared" ca="1" si="7"/>
        <v>19</v>
      </c>
      <c r="BC13" s="763">
        <f t="shared" ca="1" si="7"/>
        <v>19</v>
      </c>
      <c r="BD13" s="763">
        <f t="shared" ca="1" si="7"/>
        <v>19</v>
      </c>
      <c r="BE13" s="763">
        <f t="shared" ca="1" si="7"/>
        <v>19</v>
      </c>
      <c r="BF13" s="763">
        <f t="shared" ca="1" si="7"/>
        <v>19</v>
      </c>
      <c r="BG13" s="763">
        <f t="shared" ca="1" si="7"/>
        <v>19</v>
      </c>
      <c r="BH13" s="763">
        <f t="shared" ca="1" si="7"/>
        <v>19</v>
      </c>
      <c r="BI13" s="763">
        <f t="shared" ca="1" si="7"/>
        <v>19</v>
      </c>
      <c r="BJ13" s="763">
        <f t="shared" ca="1" si="7"/>
        <v>19</v>
      </c>
      <c r="BK13" s="763">
        <f t="shared" ca="1" si="7"/>
        <v>19</v>
      </c>
      <c r="BL13" s="763">
        <f t="shared" ca="1" si="7"/>
        <v>19</v>
      </c>
      <c r="BM13" s="763">
        <f t="shared" ca="1" si="7"/>
        <v>19</v>
      </c>
      <c r="BN13" s="763">
        <f t="shared" ca="1" si="7"/>
        <v>19</v>
      </c>
      <c r="BO13" s="763">
        <f t="shared" ca="1" si="7"/>
        <v>19</v>
      </c>
      <c r="BP13" s="763">
        <f t="shared" ca="1" si="7"/>
        <v>19</v>
      </c>
      <c r="BQ13" s="763">
        <f t="shared" ca="1" si="7"/>
        <v>19</v>
      </c>
      <c r="BR13" s="763">
        <f t="shared" ca="1" si="7"/>
        <v>19</v>
      </c>
      <c r="BS13" s="763">
        <f t="shared" ca="1" si="7"/>
        <v>19</v>
      </c>
      <c r="BT13" s="763">
        <f t="shared" ca="1" si="7"/>
        <v>19</v>
      </c>
      <c r="BU13" s="763">
        <f t="shared" ca="1" si="7"/>
        <v>19</v>
      </c>
      <c r="BV13" s="763">
        <f t="shared" ca="1" si="7"/>
        <v>19</v>
      </c>
      <c r="BW13" s="763">
        <f t="shared" ca="1" si="7"/>
        <v>19</v>
      </c>
      <c r="BX13" s="763">
        <f t="shared" ca="1" si="7"/>
        <v>19</v>
      </c>
      <c r="BY13" s="763">
        <f t="shared" ca="1" si="7"/>
        <v>19</v>
      </c>
      <c r="BZ13" s="763">
        <f t="shared" ca="1" si="7"/>
        <v>19</v>
      </c>
      <c r="CA13" s="763">
        <f t="shared" ca="1" si="7"/>
        <v>19</v>
      </c>
      <c r="CB13" s="763">
        <f t="shared" ca="1" si="7"/>
        <v>19</v>
      </c>
      <c r="CC13" s="763">
        <f t="shared" ca="1" si="7"/>
        <v>19</v>
      </c>
      <c r="CD13" s="763">
        <f t="shared" ca="1" si="7"/>
        <v>19</v>
      </c>
      <c r="CE13" s="763">
        <f t="shared" ref="CE13:EA13" ca="1" si="8">COUNTIF(CE15,"&gt;"&amp;0)+CD13</f>
        <v>19</v>
      </c>
      <c r="CF13" s="763">
        <f t="shared" ca="1" si="8"/>
        <v>19</v>
      </c>
      <c r="CG13" s="763">
        <f t="shared" ca="1" si="8"/>
        <v>19</v>
      </c>
      <c r="CH13" s="763">
        <f t="shared" ca="1" si="8"/>
        <v>19</v>
      </c>
      <c r="CI13" s="763">
        <f t="shared" ca="1" si="8"/>
        <v>19</v>
      </c>
      <c r="CJ13" s="763">
        <f t="shared" ca="1" si="8"/>
        <v>19</v>
      </c>
      <c r="CK13" s="763">
        <f t="shared" ca="1" si="8"/>
        <v>19</v>
      </c>
      <c r="CL13" s="763">
        <f t="shared" ca="1" si="8"/>
        <v>19</v>
      </c>
      <c r="CM13" s="763">
        <f t="shared" ca="1" si="8"/>
        <v>19</v>
      </c>
      <c r="CN13" s="763">
        <f t="shared" ca="1" si="8"/>
        <v>19</v>
      </c>
      <c r="CO13" s="763">
        <f t="shared" ca="1" si="8"/>
        <v>19</v>
      </c>
      <c r="CP13" s="763">
        <f t="shared" ca="1" si="8"/>
        <v>19</v>
      </c>
      <c r="CQ13" s="763">
        <f t="shared" ca="1" si="8"/>
        <v>19</v>
      </c>
      <c r="CR13" s="763">
        <f t="shared" ca="1" si="8"/>
        <v>19</v>
      </c>
      <c r="CS13" s="763">
        <f t="shared" ca="1" si="8"/>
        <v>19</v>
      </c>
      <c r="CT13" s="763">
        <f t="shared" ca="1" si="8"/>
        <v>19</v>
      </c>
      <c r="CU13" s="763">
        <f t="shared" ca="1" si="8"/>
        <v>19</v>
      </c>
      <c r="CV13" s="763">
        <f t="shared" ca="1" si="8"/>
        <v>19</v>
      </c>
      <c r="CW13" s="763">
        <f t="shared" ca="1" si="8"/>
        <v>19</v>
      </c>
      <c r="CX13" s="763">
        <f t="shared" ca="1" si="8"/>
        <v>19</v>
      </c>
      <c r="CY13" s="763">
        <f t="shared" ca="1" si="8"/>
        <v>19</v>
      </c>
      <c r="CZ13" s="763">
        <f t="shared" ca="1" si="8"/>
        <v>19</v>
      </c>
      <c r="DA13" s="763">
        <f t="shared" ca="1" si="8"/>
        <v>19</v>
      </c>
      <c r="DB13" s="763">
        <f t="shared" ca="1" si="8"/>
        <v>19</v>
      </c>
      <c r="DC13" s="763">
        <f t="shared" ca="1" si="8"/>
        <v>19</v>
      </c>
      <c r="DD13" s="763">
        <f t="shared" ca="1" si="8"/>
        <v>19</v>
      </c>
      <c r="DE13" s="763">
        <f t="shared" ca="1" si="8"/>
        <v>19</v>
      </c>
      <c r="DF13" s="763">
        <f t="shared" ca="1" si="8"/>
        <v>19</v>
      </c>
      <c r="DG13" s="763">
        <f t="shared" ca="1" si="8"/>
        <v>19</v>
      </c>
      <c r="DH13" s="763">
        <f t="shared" ca="1" si="8"/>
        <v>19</v>
      </c>
      <c r="DI13" s="763">
        <f t="shared" ca="1" si="8"/>
        <v>19</v>
      </c>
      <c r="DJ13" s="763">
        <f t="shared" ca="1" si="8"/>
        <v>19</v>
      </c>
      <c r="DK13" s="763">
        <f t="shared" ca="1" si="8"/>
        <v>19</v>
      </c>
      <c r="DL13" s="763">
        <f t="shared" ca="1" si="8"/>
        <v>19</v>
      </c>
      <c r="DM13" s="763">
        <f t="shared" ca="1" si="8"/>
        <v>19</v>
      </c>
      <c r="DN13" s="763">
        <f t="shared" ca="1" si="8"/>
        <v>19</v>
      </c>
      <c r="DO13" s="763">
        <f t="shared" ca="1" si="8"/>
        <v>19</v>
      </c>
      <c r="DP13" s="763">
        <f t="shared" ca="1" si="8"/>
        <v>19</v>
      </c>
      <c r="DQ13" s="763">
        <f t="shared" ca="1" si="8"/>
        <v>19</v>
      </c>
      <c r="DR13" s="763">
        <f t="shared" ca="1" si="8"/>
        <v>19</v>
      </c>
      <c r="DS13" s="763">
        <f t="shared" ca="1" si="8"/>
        <v>19</v>
      </c>
      <c r="DT13" s="763">
        <f t="shared" ca="1" si="8"/>
        <v>19</v>
      </c>
      <c r="DU13" s="763">
        <f t="shared" ca="1" si="8"/>
        <v>19</v>
      </c>
      <c r="DV13" s="763">
        <f t="shared" ca="1" si="8"/>
        <v>19</v>
      </c>
      <c r="DW13" s="763">
        <f t="shared" ca="1" si="8"/>
        <v>19</v>
      </c>
      <c r="DX13" s="763">
        <f t="shared" ca="1" si="8"/>
        <v>19</v>
      </c>
      <c r="DY13" s="763">
        <f t="shared" ca="1" si="8"/>
        <v>19</v>
      </c>
      <c r="DZ13" s="763">
        <f t="shared" ca="1" si="8"/>
        <v>19</v>
      </c>
      <c r="EA13" s="763">
        <f t="shared" ca="1" si="8"/>
        <v>19</v>
      </c>
      <c r="EB13" s="389"/>
      <c r="EC13" s="392" t="s">
        <v>65</v>
      </c>
    </row>
    <row r="14" spans="1:146" s="390" customFormat="1">
      <c r="A14" s="389"/>
      <c r="B14" s="389"/>
      <c r="C14" s="389"/>
      <c r="D14" s="707" t="s">
        <v>133</v>
      </c>
      <c r="E14" s="389"/>
      <c r="F14" s="389"/>
      <c r="G14" s="389"/>
      <c r="H14" s="389"/>
      <c r="I14" s="795">
        <v>0</v>
      </c>
      <c r="J14" s="389"/>
      <c r="K14" s="712"/>
      <c r="L14" s="712">
        <f>K17</f>
        <v>0</v>
      </c>
      <c r="M14" s="712">
        <f t="shared" ref="M14:BX14" ca="1" si="9">L17</f>
        <v>0</v>
      </c>
      <c r="N14" s="712">
        <f t="shared" ca="1" si="9"/>
        <v>0</v>
      </c>
      <c r="O14" s="703">
        <f t="shared" ca="1" si="9"/>
        <v>0</v>
      </c>
      <c r="P14" s="703">
        <f t="shared" ca="1" si="9"/>
        <v>0</v>
      </c>
      <c r="Q14" s="703">
        <f t="shared" ca="1" si="9"/>
        <v>0</v>
      </c>
      <c r="R14" s="703">
        <f t="shared" ca="1" si="9"/>
        <v>0</v>
      </c>
      <c r="S14" s="703">
        <f t="shared" ca="1" si="9"/>
        <v>0</v>
      </c>
      <c r="T14" s="703">
        <f t="shared" ca="1" si="9"/>
        <v>479529.90267640259</v>
      </c>
      <c r="U14" s="703">
        <f t="shared" ca="1" si="9"/>
        <v>3360493.103309799</v>
      </c>
      <c r="V14" s="703">
        <f t="shared" ca="1" si="9"/>
        <v>6241456.3039431954</v>
      </c>
      <c r="W14" s="703">
        <f t="shared" ca="1" si="9"/>
        <v>9122419.5045765918</v>
      </c>
      <c r="X14" s="703">
        <f t="shared" ca="1" si="9"/>
        <v>12003382.705209989</v>
      </c>
      <c r="Y14" s="703">
        <f t="shared" ca="1" si="9"/>
        <v>14884345.905843385</v>
      </c>
      <c r="Z14" s="703">
        <f t="shared" ca="1" si="9"/>
        <v>17765309.10647678</v>
      </c>
      <c r="AA14" s="703">
        <f t="shared" ca="1" si="9"/>
        <v>20646272.307110175</v>
      </c>
      <c r="AB14" s="703">
        <f t="shared" ca="1" si="9"/>
        <v>23602235.507743571</v>
      </c>
      <c r="AC14" s="703">
        <f t="shared" ca="1" si="9"/>
        <v>26558198.708376966</v>
      </c>
      <c r="AD14" s="703">
        <f t="shared" ca="1" si="9"/>
        <v>29514161.909010362</v>
      </c>
      <c r="AE14" s="703">
        <f t="shared" ca="1" si="9"/>
        <v>32078972.102491975</v>
      </c>
      <c r="AF14" s="703">
        <f t="shared" ca="1" si="9"/>
        <v>32209197.970296409</v>
      </c>
      <c r="AG14" s="703">
        <f t="shared" ca="1" si="9"/>
        <v>32339423.838100843</v>
      </c>
      <c r="AH14" s="703">
        <f t="shared" ca="1" si="9"/>
        <v>32469649.705905277</v>
      </c>
      <c r="AI14" s="703">
        <f t="shared" ca="1" si="9"/>
        <v>32599875.573709711</v>
      </c>
      <c r="AJ14" s="703">
        <f t="shared" ca="1" si="9"/>
        <v>32730101.441514146</v>
      </c>
      <c r="AK14" s="703">
        <f t="shared" ca="1" si="9"/>
        <v>32860327.30931858</v>
      </c>
      <c r="AL14" s="703">
        <f t="shared" ca="1" si="9"/>
        <v>0</v>
      </c>
      <c r="AM14" s="703">
        <f t="shared" ca="1" si="9"/>
        <v>0</v>
      </c>
      <c r="AN14" s="703">
        <f t="shared" ca="1" si="9"/>
        <v>0</v>
      </c>
      <c r="AO14" s="703">
        <f t="shared" ca="1" si="9"/>
        <v>0</v>
      </c>
      <c r="AP14" s="703">
        <f t="shared" ca="1" si="9"/>
        <v>0</v>
      </c>
      <c r="AQ14" s="703">
        <f t="shared" ca="1" si="9"/>
        <v>0</v>
      </c>
      <c r="AR14" s="703">
        <f t="shared" ca="1" si="9"/>
        <v>0</v>
      </c>
      <c r="AS14" s="703">
        <f t="shared" ca="1" si="9"/>
        <v>0</v>
      </c>
      <c r="AT14" s="703">
        <f ca="1">AS17</f>
        <v>0</v>
      </c>
      <c r="AU14" s="703">
        <f ca="1">AT17</f>
        <v>0</v>
      </c>
      <c r="AV14" s="703">
        <f t="shared" ca="1" si="9"/>
        <v>0</v>
      </c>
      <c r="AW14" s="703">
        <f t="shared" ca="1" si="9"/>
        <v>0</v>
      </c>
      <c r="AX14" s="703">
        <f t="shared" ca="1" si="9"/>
        <v>0</v>
      </c>
      <c r="AY14" s="703">
        <f t="shared" ca="1" si="9"/>
        <v>0</v>
      </c>
      <c r="AZ14" s="703">
        <f t="shared" ca="1" si="9"/>
        <v>0</v>
      </c>
      <c r="BA14" s="703">
        <f t="shared" ca="1" si="9"/>
        <v>0</v>
      </c>
      <c r="BB14" s="703">
        <f t="shared" ca="1" si="9"/>
        <v>0</v>
      </c>
      <c r="BC14" s="703">
        <f t="shared" ca="1" si="9"/>
        <v>0</v>
      </c>
      <c r="BD14" s="703">
        <f t="shared" ca="1" si="9"/>
        <v>0</v>
      </c>
      <c r="BE14" s="703">
        <f t="shared" ca="1" si="9"/>
        <v>0</v>
      </c>
      <c r="BF14" s="703">
        <f t="shared" ca="1" si="9"/>
        <v>0</v>
      </c>
      <c r="BG14" s="703">
        <f t="shared" ca="1" si="9"/>
        <v>0</v>
      </c>
      <c r="BH14" s="703">
        <f t="shared" ca="1" si="9"/>
        <v>0</v>
      </c>
      <c r="BI14" s="703">
        <f t="shared" ca="1" si="9"/>
        <v>0</v>
      </c>
      <c r="BJ14" s="703">
        <f t="shared" ca="1" si="9"/>
        <v>0</v>
      </c>
      <c r="BK14" s="703">
        <f t="shared" ca="1" si="9"/>
        <v>0</v>
      </c>
      <c r="BL14" s="703">
        <f t="shared" ca="1" si="9"/>
        <v>0</v>
      </c>
      <c r="BM14" s="703">
        <f t="shared" ca="1" si="9"/>
        <v>0</v>
      </c>
      <c r="BN14" s="703">
        <f t="shared" ca="1" si="9"/>
        <v>0</v>
      </c>
      <c r="BO14" s="703">
        <f t="shared" ca="1" si="9"/>
        <v>0</v>
      </c>
      <c r="BP14" s="703">
        <f t="shared" ca="1" si="9"/>
        <v>0</v>
      </c>
      <c r="BQ14" s="703">
        <f t="shared" ca="1" si="9"/>
        <v>0</v>
      </c>
      <c r="BR14" s="703">
        <f t="shared" ca="1" si="9"/>
        <v>0</v>
      </c>
      <c r="BS14" s="703">
        <f t="shared" ca="1" si="9"/>
        <v>0</v>
      </c>
      <c r="BT14" s="703">
        <f t="shared" ca="1" si="9"/>
        <v>0</v>
      </c>
      <c r="BU14" s="703">
        <f t="shared" ca="1" si="9"/>
        <v>0</v>
      </c>
      <c r="BV14" s="703">
        <f t="shared" ca="1" si="9"/>
        <v>0</v>
      </c>
      <c r="BW14" s="703">
        <f t="shared" ca="1" si="9"/>
        <v>0</v>
      </c>
      <c r="BX14" s="703">
        <f t="shared" ca="1" si="9"/>
        <v>0</v>
      </c>
      <c r="BY14" s="703">
        <f t="shared" ref="BY14:EA14" ca="1" si="10">BX17</f>
        <v>0</v>
      </c>
      <c r="BZ14" s="703">
        <f t="shared" ca="1" si="10"/>
        <v>0</v>
      </c>
      <c r="CA14" s="703">
        <f t="shared" ca="1" si="10"/>
        <v>0</v>
      </c>
      <c r="CB14" s="703">
        <f t="shared" ca="1" si="10"/>
        <v>0</v>
      </c>
      <c r="CC14" s="703">
        <f t="shared" ca="1" si="10"/>
        <v>0</v>
      </c>
      <c r="CD14" s="703">
        <f t="shared" ca="1" si="10"/>
        <v>0</v>
      </c>
      <c r="CE14" s="703">
        <f t="shared" ca="1" si="10"/>
        <v>0</v>
      </c>
      <c r="CF14" s="703">
        <f t="shared" ca="1" si="10"/>
        <v>0</v>
      </c>
      <c r="CG14" s="703">
        <f t="shared" ca="1" si="10"/>
        <v>0</v>
      </c>
      <c r="CH14" s="703">
        <f t="shared" ca="1" si="10"/>
        <v>0</v>
      </c>
      <c r="CI14" s="703">
        <f t="shared" ca="1" si="10"/>
        <v>0</v>
      </c>
      <c r="CJ14" s="703">
        <f t="shared" ca="1" si="10"/>
        <v>0</v>
      </c>
      <c r="CK14" s="703">
        <f t="shared" ca="1" si="10"/>
        <v>0</v>
      </c>
      <c r="CL14" s="703">
        <f t="shared" ca="1" si="10"/>
        <v>0</v>
      </c>
      <c r="CM14" s="703">
        <f t="shared" ca="1" si="10"/>
        <v>0</v>
      </c>
      <c r="CN14" s="703">
        <f t="shared" ca="1" si="10"/>
        <v>0</v>
      </c>
      <c r="CO14" s="703">
        <f t="shared" ca="1" si="10"/>
        <v>0</v>
      </c>
      <c r="CP14" s="703">
        <f t="shared" ca="1" si="10"/>
        <v>0</v>
      </c>
      <c r="CQ14" s="703">
        <f t="shared" ca="1" si="10"/>
        <v>0</v>
      </c>
      <c r="CR14" s="703">
        <f t="shared" ca="1" si="10"/>
        <v>0</v>
      </c>
      <c r="CS14" s="703">
        <f t="shared" ca="1" si="10"/>
        <v>0</v>
      </c>
      <c r="CT14" s="703">
        <f t="shared" ca="1" si="10"/>
        <v>0</v>
      </c>
      <c r="CU14" s="703">
        <f t="shared" ca="1" si="10"/>
        <v>0</v>
      </c>
      <c r="CV14" s="703">
        <f t="shared" ca="1" si="10"/>
        <v>0</v>
      </c>
      <c r="CW14" s="703">
        <f t="shared" ca="1" si="10"/>
        <v>0</v>
      </c>
      <c r="CX14" s="703">
        <f t="shared" ca="1" si="10"/>
        <v>0</v>
      </c>
      <c r="CY14" s="703">
        <f t="shared" ca="1" si="10"/>
        <v>0</v>
      </c>
      <c r="CZ14" s="703">
        <f t="shared" ca="1" si="10"/>
        <v>0</v>
      </c>
      <c r="DA14" s="703">
        <f t="shared" ca="1" si="10"/>
        <v>0</v>
      </c>
      <c r="DB14" s="703">
        <f t="shared" ca="1" si="10"/>
        <v>0</v>
      </c>
      <c r="DC14" s="703">
        <f t="shared" ca="1" si="10"/>
        <v>0</v>
      </c>
      <c r="DD14" s="703">
        <f t="shared" ca="1" si="10"/>
        <v>0</v>
      </c>
      <c r="DE14" s="703">
        <f t="shared" ca="1" si="10"/>
        <v>0</v>
      </c>
      <c r="DF14" s="703">
        <f t="shared" ca="1" si="10"/>
        <v>0</v>
      </c>
      <c r="DG14" s="703">
        <f t="shared" ca="1" si="10"/>
        <v>0</v>
      </c>
      <c r="DH14" s="703">
        <f t="shared" ca="1" si="10"/>
        <v>0</v>
      </c>
      <c r="DI14" s="703">
        <f t="shared" ca="1" si="10"/>
        <v>0</v>
      </c>
      <c r="DJ14" s="703">
        <f t="shared" ca="1" si="10"/>
        <v>0</v>
      </c>
      <c r="DK14" s="703">
        <f t="shared" ca="1" si="10"/>
        <v>0</v>
      </c>
      <c r="DL14" s="703">
        <f t="shared" ca="1" si="10"/>
        <v>0</v>
      </c>
      <c r="DM14" s="703">
        <f t="shared" ca="1" si="10"/>
        <v>0</v>
      </c>
      <c r="DN14" s="703">
        <f t="shared" ca="1" si="10"/>
        <v>0</v>
      </c>
      <c r="DO14" s="703">
        <f t="shared" ca="1" si="10"/>
        <v>0</v>
      </c>
      <c r="DP14" s="703">
        <f t="shared" ca="1" si="10"/>
        <v>0</v>
      </c>
      <c r="DQ14" s="703">
        <f t="shared" ca="1" si="10"/>
        <v>0</v>
      </c>
      <c r="DR14" s="703">
        <f t="shared" ca="1" si="10"/>
        <v>0</v>
      </c>
      <c r="DS14" s="703">
        <f t="shared" ca="1" si="10"/>
        <v>0</v>
      </c>
      <c r="DT14" s="703">
        <f t="shared" ca="1" si="10"/>
        <v>0</v>
      </c>
      <c r="DU14" s="703">
        <f t="shared" ca="1" si="10"/>
        <v>0</v>
      </c>
      <c r="DV14" s="703">
        <f t="shared" ca="1" si="10"/>
        <v>0</v>
      </c>
      <c r="DW14" s="703">
        <f t="shared" ca="1" si="10"/>
        <v>0</v>
      </c>
      <c r="DX14" s="703">
        <f t="shared" ca="1" si="10"/>
        <v>0</v>
      </c>
      <c r="DY14" s="703">
        <f t="shared" ca="1" si="10"/>
        <v>0</v>
      </c>
      <c r="DZ14" s="703">
        <f t="shared" ca="1" si="10"/>
        <v>0</v>
      </c>
      <c r="EA14" s="703">
        <f t="shared" ca="1" si="10"/>
        <v>0</v>
      </c>
      <c r="EB14" s="389"/>
      <c r="EC14" s="392" t="s">
        <v>65</v>
      </c>
    </row>
    <row r="15" spans="1:146" s="390" customFormat="1">
      <c r="A15" s="389"/>
      <c r="B15" s="389"/>
      <c r="C15" s="389"/>
      <c r="D15" s="708" t="s">
        <v>137</v>
      </c>
      <c r="E15" s="389"/>
      <c r="F15" s="389"/>
      <c r="G15" s="389"/>
      <c r="H15" s="389"/>
      <c r="I15" s="795">
        <f t="shared" ref="I15:I16" ca="1" si="11">SUM(K15:EA15)</f>
        <v>32990553.177123014</v>
      </c>
      <c r="J15" s="389"/>
      <c r="K15" s="712"/>
      <c r="L15" s="712">
        <f ca="1">'Monthly-CF'!L109</f>
        <v>0</v>
      </c>
      <c r="M15" s="712">
        <f ca="1">'Monthly-CF'!M109</f>
        <v>0</v>
      </c>
      <c r="N15" s="712">
        <f ca="1">'Monthly-CF'!N109</f>
        <v>0</v>
      </c>
      <c r="O15" s="712">
        <f ca="1">'Monthly-CF'!O109</f>
        <v>0</v>
      </c>
      <c r="P15" s="712">
        <f ca="1">'Monthly-CF'!P109</f>
        <v>0</v>
      </c>
      <c r="Q15" s="712">
        <f ca="1">'Monthly-CF'!Q109</f>
        <v>0</v>
      </c>
      <c r="R15" s="712">
        <f ca="1">'Monthly-CF'!R109</f>
        <v>0</v>
      </c>
      <c r="S15" s="712">
        <f ca="1">'Monthly-CF'!S109</f>
        <v>479529.90267640259</v>
      </c>
      <c r="T15" s="712">
        <f ca="1">'Monthly-CF'!T109</f>
        <v>2880963.2006333964</v>
      </c>
      <c r="U15" s="712">
        <f ca="1">'Monthly-CF'!U109</f>
        <v>2880963.2006333964</v>
      </c>
      <c r="V15" s="712">
        <f ca="1">'Monthly-CF'!V109</f>
        <v>2880963.2006333964</v>
      </c>
      <c r="W15" s="712">
        <f ca="1">'Monthly-CF'!W109</f>
        <v>2880963.2006333964</v>
      </c>
      <c r="X15" s="712">
        <f ca="1">'Monthly-CF'!X109</f>
        <v>2880963.2006333964</v>
      </c>
      <c r="Y15" s="712">
        <f ca="1">'Monthly-CF'!Y109</f>
        <v>2880963.2006333964</v>
      </c>
      <c r="Z15" s="712">
        <f ca="1">'Monthly-CF'!Z109</f>
        <v>2880963.2006333964</v>
      </c>
      <c r="AA15" s="712">
        <f ca="1">'Monthly-CF'!AA109</f>
        <v>2955963.2006333964</v>
      </c>
      <c r="AB15" s="712">
        <f ca="1">'Monthly-CF'!AB109</f>
        <v>2955963.2006333964</v>
      </c>
      <c r="AC15" s="712">
        <f ca="1">'Monthly-CF'!AC109</f>
        <v>2955963.2006333964</v>
      </c>
      <c r="AD15" s="712">
        <f ca="1">'Monthly-CF'!AD109</f>
        <v>2564810.1934816134</v>
      </c>
      <c r="AE15" s="712">
        <f ca="1">'Monthly-CF'!AE109</f>
        <v>130225.86780443294</v>
      </c>
      <c r="AF15" s="712">
        <f ca="1">'Monthly-CF'!AF109</f>
        <v>130225.86780443294</v>
      </c>
      <c r="AG15" s="712">
        <f ca="1">'Monthly-CF'!AG109</f>
        <v>130225.86780443294</v>
      </c>
      <c r="AH15" s="712">
        <f ca="1">'Monthly-CF'!AH109</f>
        <v>130225.86780443294</v>
      </c>
      <c r="AI15" s="712">
        <f ca="1">'Monthly-CF'!AI109</f>
        <v>130225.86780443294</v>
      </c>
      <c r="AJ15" s="712">
        <f ca="1">'Monthly-CF'!AJ109</f>
        <v>130225.86780443294</v>
      </c>
      <c r="AK15" s="712">
        <f ca="1">'Monthly-CF'!AK109</f>
        <v>130225.86780443294</v>
      </c>
      <c r="AL15" s="712">
        <f ca="1">'Monthly-CF'!AL109</f>
        <v>0</v>
      </c>
      <c r="AM15" s="712">
        <f ca="1">'Monthly-CF'!AM109</f>
        <v>0</v>
      </c>
      <c r="AN15" s="712">
        <f ca="1">'Monthly-CF'!AN109</f>
        <v>0</v>
      </c>
      <c r="AO15" s="712">
        <f ca="1">'Monthly-CF'!AO109</f>
        <v>0</v>
      </c>
      <c r="AP15" s="712">
        <f ca="1">'Monthly-CF'!AP109</f>
        <v>0</v>
      </c>
      <c r="AQ15" s="712">
        <f ca="1">'Monthly-CF'!AQ109</f>
        <v>0</v>
      </c>
      <c r="AR15" s="712">
        <f ca="1">'Monthly-CF'!AR109</f>
        <v>0</v>
      </c>
      <c r="AS15" s="712">
        <f ca="1">'Monthly-CF'!AS109</f>
        <v>0</v>
      </c>
      <c r="AT15" s="712">
        <f ca="1">'Monthly-CF'!AT109</f>
        <v>0</v>
      </c>
      <c r="AU15" s="712">
        <f ca="1">'Monthly-CF'!AU109</f>
        <v>0</v>
      </c>
      <c r="AV15" s="712">
        <f ca="1">'Monthly-CF'!AV109</f>
        <v>0</v>
      </c>
      <c r="AW15" s="712">
        <f ca="1">'Monthly-CF'!AW109</f>
        <v>0</v>
      </c>
      <c r="AX15" s="712">
        <f ca="1">'Monthly-CF'!AX109</f>
        <v>0</v>
      </c>
      <c r="AY15" s="712">
        <f ca="1">'Monthly-CF'!AY109</f>
        <v>0</v>
      </c>
      <c r="AZ15" s="712">
        <f ca="1">'Monthly-CF'!AZ109</f>
        <v>0</v>
      </c>
      <c r="BA15" s="712">
        <f ca="1">'Monthly-CF'!BA109</f>
        <v>0</v>
      </c>
      <c r="BB15" s="712">
        <f ca="1">'Monthly-CF'!BB109</f>
        <v>0</v>
      </c>
      <c r="BC15" s="712">
        <f ca="1">'Monthly-CF'!BC109</f>
        <v>0</v>
      </c>
      <c r="BD15" s="712">
        <f ca="1">'Monthly-CF'!BD109</f>
        <v>0</v>
      </c>
      <c r="BE15" s="712">
        <f ca="1">'Monthly-CF'!BE109</f>
        <v>0</v>
      </c>
      <c r="BF15" s="712">
        <f ca="1">'Monthly-CF'!BF109</f>
        <v>0</v>
      </c>
      <c r="BG15" s="712">
        <f ca="1">'Monthly-CF'!BG109</f>
        <v>0</v>
      </c>
      <c r="BH15" s="712">
        <f ca="1">'Monthly-CF'!BH109</f>
        <v>0</v>
      </c>
      <c r="BI15" s="712">
        <f ca="1">'Monthly-CF'!BI109</f>
        <v>0</v>
      </c>
      <c r="BJ15" s="712">
        <f ca="1">'Monthly-CF'!BJ109</f>
        <v>0</v>
      </c>
      <c r="BK15" s="712">
        <f ca="1">'Monthly-CF'!BK109</f>
        <v>0</v>
      </c>
      <c r="BL15" s="712">
        <f ca="1">'Monthly-CF'!BL109</f>
        <v>0</v>
      </c>
      <c r="BM15" s="712">
        <f ca="1">'Monthly-CF'!BM109</f>
        <v>0</v>
      </c>
      <c r="BN15" s="712">
        <f ca="1">'Monthly-CF'!BN109</f>
        <v>0</v>
      </c>
      <c r="BO15" s="712">
        <f ca="1">'Monthly-CF'!BO109</f>
        <v>0</v>
      </c>
      <c r="BP15" s="712">
        <f ca="1">'Monthly-CF'!BP109</f>
        <v>0</v>
      </c>
      <c r="BQ15" s="712">
        <f ca="1">'Monthly-CF'!BQ109</f>
        <v>0</v>
      </c>
      <c r="BR15" s="712">
        <f ca="1">'Monthly-CF'!BR109</f>
        <v>0</v>
      </c>
      <c r="BS15" s="712">
        <f ca="1">'Monthly-CF'!BS109</f>
        <v>0</v>
      </c>
      <c r="BT15" s="712">
        <f ca="1">'Monthly-CF'!BT109</f>
        <v>0</v>
      </c>
      <c r="BU15" s="712">
        <f ca="1">'Monthly-CF'!BU109</f>
        <v>0</v>
      </c>
      <c r="BV15" s="712">
        <f ca="1">'Monthly-CF'!BV109</f>
        <v>0</v>
      </c>
      <c r="BW15" s="712">
        <f ca="1">'Monthly-CF'!BW109</f>
        <v>0</v>
      </c>
      <c r="BX15" s="712">
        <f ca="1">'Monthly-CF'!BX109</f>
        <v>0</v>
      </c>
      <c r="BY15" s="712">
        <f ca="1">'Monthly-CF'!BY109</f>
        <v>0</v>
      </c>
      <c r="BZ15" s="712">
        <f ca="1">'Monthly-CF'!BZ109</f>
        <v>0</v>
      </c>
      <c r="CA15" s="712">
        <f ca="1">'Monthly-CF'!CA109</f>
        <v>0</v>
      </c>
      <c r="CB15" s="712">
        <f ca="1">'Monthly-CF'!CB109</f>
        <v>0</v>
      </c>
      <c r="CC15" s="712">
        <f ca="1">'Monthly-CF'!CC109</f>
        <v>0</v>
      </c>
      <c r="CD15" s="712">
        <f ca="1">'Monthly-CF'!CD109</f>
        <v>0</v>
      </c>
      <c r="CE15" s="712">
        <f ca="1">'Monthly-CF'!CE109</f>
        <v>0</v>
      </c>
      <c r="CF15" s="712">
        <f ca="1">'Monthly-CF'!CF109</f>
        <v>0</v>
      </c>
      <c r="CG15" s="712">
        <f ca="1">'Monthly-CF'!CG109</f>
        <v>0</v>
      </c>
      <c r="CH15" s="712">
        <f ca="1">'Monthly-CF'!CH109</f>
        <v>0</v>
      </c>
      <c r="CI15" s="712">
        <f ca="1">'Monthly-CF'!CI109</f>
        <v>0</v>
      </c>
      <c r="CJ15" s="712">
        <f ca="1">'Monthly-CF'!CJ109</f>
        <v>0</v>
      </c>
      <c r="CK15" s="712">
        <f ca="1">'Monthly-CF'!CK109</f>
        <v>0</v>
      </c>
      <c r="CL15" s="712">
        <f ca="1">'Monthly-CF'!CL109</f>
        <v>0</v>
      </c>
      <c r="CM15" s="712">
        <f ca="1">'Monthly-CF'!CM109</f>
        <v>0</v>
      </c>
      <c r="CN15" s="712">
        <f ca="1">'Monthly-CF'!CN109</f>
        <v>0</v>
      </c>
      <c r="CO15" s="712">
        <f ca="1">'Monthly-CF'!CO109</f>
        <v>0</v>
      </c>
      <c r="CP15" s="712">
        <f ca="1">'Monthly-CF'!CP109</f>
        <v>0</v>
      </c>
      <c r="CQ15" s="712">
        <f ca="1">'Monthly-CF'!CQ109</f>
        <v>0</v>
      </c>
      <c r="CR15" s="712">
        <f ca="1">'Monthly-CF'!CR109</f>
        <v>0</v>
      </c>
      <c r="CS15" s="712">
        <f ca="1">'Monthly-CF'!CS109</f>
        <v>0</v>
      </c>
      <c r="CT15" s="712">
        <f ca="1">'Monthly-CF'!CT109</f>
        <v>0</v>
      </c>
      <c r="CU15" s="712">
        <f ca="1">'Monthly-CF'!CU109</f>
        <v>0</v>
      </c>
      <c r="CV15" s="712">
        <f ca="1">'Monthly-CF'!CV109</f>
        <v>0</v>
      </c>
      <c r="CW15" s="712">
        <f ca="1">'Monthly-CF'!CW109</f>
        <v>0</v>
      </c>
      <c r="CX15" s="712">
        <f ca="1">'Monthly-CF'!CX109</f>
        <v>0</v>
      </c>
      <c r="CY15" s="712">
        <f ca="1">'Monthly-CF'!CY109</f>
        <v>0</v>
      </c>
      <c r="CZ15" s="712">
        <f ca="1">'Monthly-CF'!CZ109</f>
        <v>0</v>
      </c>
      <c r="DA15" s="712">
        <f ca="1">'Monthly-CF'!DA109</f>
        <v>0</v>
      </c>
      <c r="DB15" s="712">
        <f ca="1">'Monthly-CF'!DB109</f>
        <v>0</v>
      </c>
      <c r="DC15" s="712">
        <f ca="1">'Monthly-CF'!DC109</f>
        <v>0</v>
      </c>
      <c r="DD15" s="712">
        <f ca="1">'Monthly-CF'!DD109</f>
        <v>0</v>
      </c>
      <c r="DE15" s="712">
        <f ca="1">'Monthly-CF'!DE109</f>
        <v>0</v>
      </c>
      <c r="DF15" s="712">
        <f ca="1">'Monthly-CF'!DF109</f>
        <v>0</v>
      </c>
      <c r="DG15" s="712">
        <f ca="1">'Monthly-CF'!DG109</f>
        <v>0</v>
      </c>
      <c r="DH15" s="712">
        <f ca="1">'Monthly-CF'!DH109</f>
        <v>0</v>
      </c>
      <c r="DI15" s="712">
        <f ca="1">'Monthly-CF'!DI109</f>
        <v>0</v>
      </c>
      <c r="DJ15" s="712">
        <f ca="1">'Monthly-CF'!DJ109</f>
        <v>0</v>
      </c>
      <c r="DK15" s="712">
        <f ca="1">'Monthly-CF'!DK109</f>
        <v>0</v>
      </c>
      <c r="DL15" s="712">
        <f ca="1">'Monthly-CF'!DL109</f>
        <v>0</v>
      </c>
      <c r="DM15" s="712">
        <f ca="1">'Monthly-CF'!DM109</f>
        <v>0</v>
      </c>
      <c r="DN15" s="712">
        <f ca="1">'Monthly-CF'!DN109</f>
        <v>0</v>
      </c>
      <c r="DO15" s="712">
        <f ca="1">'Monthly-CF'!DO109</f>
        <v>0</v>
      </c>
      <c r="DP15" s="712">
        <f ca="1">'Monthly-CF'!DP109</f>
        <v>0</v>
      </c>
      <c r="DQ15" s="712">
        <f ca="1">'Monthly-CF'!DQ109</f>
        <v>0</v>
      </c>
      <c r="DR15" s="712">
        <f ca="1">'Monthly-CF'!DR109</f>
        <v>0</v>
      </c>
      <c r="DS15" s="712">
        <f ca="1">'Monthly-CF'!DS109</f>
        <v>0</v>
      </c>
      <c r="DT15" s="712">
        <f ca="1">'Monthly-CF'!DT109</f>
        <v>0</v>
      </c>
      <c r="DU15" s="712">
        <f ca="1">'Monthly-CF'!DU109</f>
        <v>0</v>
      </c>
      <c r="DV15" s="712">
        <f ca="1">'Monthly-CF'!DV109</f>
        <v>0</v>
      </c>
      <c r="DW15" s="712">
        <f ca="1">'Monthly-CF'!DW109</f>
        <v>0</v>
      </c>
      <c r="DX15" s="712">
        <f ca="1">'Monthly-CF'!DX109</f>
        <v>0</v>
      </c>
      <c r="DY15" s="712">
        <f ca="1">'Monthly-CF'!DY109</f>
        <v>0</v>
      </c>
      <c r="DZ15" s="712">
        <f ca="1">'Monthly-CF'!DZ109</f>
        <v>0</v>
      </c>
      <c r="EA15" s="712">
        <f ca="1">'Monthly-CF'!EA109</f>
        <v>0</v>
      </c>
      <c r="EB15" s="389"/>
      <c r="EC15" s="392" t="s">
        <v>65</v>
      </c>
    </row>
    <row r="16" spans="1:146" s="390" customFormat="1">
      <c r="A16" s="389"/>
      <c r="B16" s="389"/>
      <c r="C16" s="389"/>
      <c r="D16" s="708" t="s">
        <v>82</v>
      </c>
      <c r="E16" s="389"/>
      <c r="F16" s="389"/>
      <c r="G16" s="389"/>
      <c r="H16" s="389"/>
      <c r="I16" s="795">
        <f t="shared" ca="1" si="11"/>
        <v>-32990553.177123014</v>
      </c>
      <c r="J16" s="389"/>
      <c r="K16" s="712"/>
      <c r="L16" s="712">
        <f>'Monthly-CF'!L110</f>
        <v>0</v>
      </c>
      <c r="M16" s="712">
        <f>'Monthly-CF'!M110</f>
        <v>0</v>
      </c>
      <c r="N16" s="712">
        <f>'Monthly-CF'!N110</f>
        <v>0</v>
      </c>
      <c r="O16" s="712">
        <f>'Monthly-CF'!O110</f>
        <v>0</v>
      </c>
      <c r="P16" s="712">
        <f>'Monthly-CF'!P110</f>
        <v>0</v>
      </c>
      <c r="Q16" s="712">
        <f>'Monthly-CF'!Q110</f>
        <v>0</v>
      </c>
      <c r="R16" s="712">
        <f>'Monthly-CF'!R110</f>
        <v>0</v>
      </c>
      <c r="S16" s="712">
        <f>'Monthly-CF'!S110</f>
        <v>0</v>
      </c>
      <c r="T16" s="712">
        <f>'Monthly-CF'!T110</f>
        <v>0</v>
      </c>
      <c r="U16" s="712">
        <f>'Monthly-CF'!U110</f>
        <v>0</v>
      </c>
      <c r="V16" s="712">
        <f>'Monthly-CF'!V110</f>
        <v>0</v>
      </c>
      <c r="W16" s="712">
        <f>'Monthly-CF'!W110</f>
        <v>0</v>
      </c>
      <c r="X16" s="712">
        <f>'Monthly-CF'!X110</f>
        <v>0</v>
      </c>
      <c r="Y16" s="712">
        <f>'Monthly-CF'!Y110</f>
        <v>0</v>
      </c>
      <c r="Z16" s="712">
        <f>'Monthly-CF'!Z110</f>
        <v>0</v>
      </c>
      <c r="AA16" s="712">
        <f>'Monthly-CF'!AA110</f>
        <v>0</v>
      </c>
      <c r="AB16" s="712">
        <f>'Monthly-CF'!AB110</f>
        <v>0</v>
      </c>
      <c r="AC16" s="712">
        <f>'Monthly-CF'!AC110</f>
        <v>0</v>
      </c>
      <c r="AD16" s="712">
        <f>'Monthly-CF'!AD110</f>
        <v>0</v>
      </c>
      <c r="AE16" s="712">
        <f>'Monthly-CF'!AE110</f>
        <v>0</v>
      </c>
      <c r="AF16" s="712">
        <f>'Monthly-CF'!AF110</f>
        <v>0</v>
      </c>
      <c r="AG16" s="712">
        <f>'Monthly-CF'!AG110</f>
        <v>0</v>
      </c>
      <c r="AH16" s="712">
        <f>'Monthly-CF'!AH110</f>
        <v>0</v>
      </c>
      <c r="AI16" s="712">
        <f>'Monthly-CF'!AI110</f>
        <v>0</v>
      </c>
      <c r="AJ16" s="712">
        <f>'Monthly-CF'!AJ110</f>
        <v>0</v>
      </c>
      <c r="AK16" s="712">
        <f ca="1">'Monthly-CF'!AK110</f>
        <v>-32990553.177123014</v>
      </c>
      <c r="AL16" s="712">
        <f>'Monthly-CF'!AL110</f>
        <v>0</v>
      </c>
      <c r="AM16" s="712">
        <f>'Monthly-CF'!AM110</f>
        <v>0</v>
      </c>
      <c r="AN16" s="712">
        <f>'Monthly-CF'!AN110</f>
        <v>0</v>
      </c>
      <c r="AO16" s="712">
        <f>'Monthly-CF'!AO110</f>
        <v>0</v>
      </c>
      <c r="AP16" s="712">
        <f>'Monthly-CF'!AP110</f>
        <v>0</v>
      </c>
      <c r="AQ16" s="712">
        <f>'Monthly-CF'!AQ110</f>
        <v>0</v>
      </c>
      <c r="AR16" s="712">
        <f>'Monthly-CF'!AR110</f>
        <v>0</v>
      </c>
      <c r="AS16" s="712">
        <f>'Monthly-CF'!AS110</f>
        <v>0</v>
      </c>
      <c r="AT16" s="712">
        <f>'Monthly-CF'!AT110</f>
        <v>0</v>
      </c>
      <c r="AU16" s="712">
        <f>'Monthly-CF'!AU110</f>
        <v>0</v>
      </c>
      <c r="AV16" s="712">
        <f>'Monthly-CF'!AV110</f>
        <v>0</v>
      </c>
      <c r="AW16" s="712">
        <f>'Monthly-CF'!AW110</f>
        <v>0</v>
      </c>
      <c r="AX16" s="712">
        <f>'Monthly-CF'!AX110</f>
        <v>0</v>
      </c>
      <c r="AY16" s="712">
        <f>'Monthly-CF'!AY110</f>
        <v>0</v>
      </c>
      <c r="AZ16" s="712">
        <f>'Monthly-CF'!AZ110</f>
        <v>0</v>
      </c>
      <c r="BA16" s="712">
        <f>'Monthly-CF'!BA110</f>
        <v>0</v>
      </c>
      <c r="BB16" s="712">
        <f>'Monthly-CF'!BB110</f>
        <v>0</v>
      </c>
      <c r="BC16" s="712">
        <f>'Monthly-CF'!BC110</f>
        <v>0</v>
      </c>
      <c r="BD16" s="712">
        <f>'Monthly-CF'!BD110</f>
        <v>0</v>
      </c>
      <c r="BE16" s="712">
        <f>'Monthly-CF'!BE110</f>
        <v>0</v>
      </c>
      <c r="BF16" s="712">
        <f>'Monthly-CF'!BF110</f>
        <v>0</v>
      </c>
      <c r="BG16" s="712">
        <f>'Monthly-CF'!BG110</f>
        <v>0</v>
      </c>
      <c r="BH16" s="712">
        <f>'Monthly-CF'!BH110</f>
        <v>0</v>
      </c>
      <c r="BI16" s="712">
        <f>'Monthly-CF'!BI110</f>
        <v>0</v>
      </c>
      <c r="BJ16" s="712">
        <f>'Monthly-CF'!BJ110</f>
        <v>0</v>
      </c>
      <c r="BK16" s="712">
        <f>'Monthly-CF'!BK110</f>
        <v>0</v>
      </c>
      <c r="BL16" s="712">
        <f>'Monthly-CF'!BL110</f>
        <v>0</v>
      </c>
      <c r="BM16" s="712">
        <f>'Monthly-CF'!BM110</f>
        <v>0</v>
      </c>
      <c r="BN16" s="712">
        <f>'Monthly-CF'!BN110</f>
        <v>0</v>
      </c>
      <c r="BO16" s="712">
        <f>'Monthly-CF'!BO110</f>
        <v>0</v>
      </c>
      <c r="BP16" s="712">
        <f>'Monthly-CF'!BP110</f>
        <v>0</v>
      </c>
      <c r="BQ16" s="712">
        <f>'Monthly-CF'!BQ110</f>
        <v>0</v>
      </c>
      <c r="BR16" s="712">
        <f>'Monthly-CF'!BR110</f>
        <v>0</v>
      </c>
      <c r="BS16" s="712">
        <f>'Monthly-CF'!BS110</f>
        <v>0</v>
      </c>
      <c r="BT16" s="712">
        <f>'Monthly-CF'!BT110</f>
        <v>0</v>
      </c>
      <c r="BU16" s="712">
        <f>'Monthly-CF'!BU110</f>
        <v>0</v>
      </c>
      <c r="BV16" s="712">
        <f>'Monthly-CF'!BV110</f>
        <v>0</v>
      </c>
      <c r="BW16" s="712">
        <f>'Monthly-CF'!BW110</f>
        <v>0</v>
      </c>
      <c r="BX16" s="712">
        <f>'Monthly-CF'!BX110</f>
        <v>0</v>
      </c>
      <c r="BY16" s="712">
        <f>'Monthly-CF'!BY110</f>
        <v>0</v>
      </c>
      <c r="BZ16" s="712">
        <f>'Monthly-CF'!BZ110</f>
        <v>0</v>
      </c>
      <c r="CA16" s="712">
        <f>'Monthly-CF'!CA110</f>
        <v>0</v>
      </c>
      <c r="CB16" s="712">
        <f>'Monthly-CF'!CB110</f>
        <v>0</v>
      </c>
      <c r="CC16" s="712">
        <f>'Monthly-CF'!CC110</f>
        <v>0</v>
      </c>
      <c r="CD16" s="712">
        <f>'Monthly-CF'!CD110</f>
        <v>0</v>
      </c>
      <c r="CE16" s="712">
        <f>'Monthly-CF'!CE110</f>
        <v>0</v>
      </c>
      <c r="CF16" s="712">
        <f>'Monthly-CF'!CF110</f>
        <v>0</v>
      </c>
      <c r="CG16" s="712">
        <f>'Monthly-CF'!CG110</f>
        <v>0</v>
      </c>
      <c r="CH16" s="712">
        <f>'Monthly-CF'!CH110</f>
        <v>0</v>
      </c>
      <c r="CI16" s="712">
        <f>'Monthly-CF'!CI110</f>
        <v>0</v>
      </c>
      <c r="CJ16" s="712">
        <f>'Monthly-CF'!CJ110</f>
        <v>0</v>
      </c>
      <c r="CK16" s="712">
        <f>'Monthly-CF'!CK110</f>
        <v>0</v>
      </c>
      <c r="CL16" s="712">
        <f>'Monthly-CF'!CL110</f>
        <v>0</v>
      </c>
      <c r="CM16" s="712">
        <f>'Monthly-CF'!CM110</f>
        <v>0</v>
      </c>
      <c r="CN16" s="712">
        <f>'Monthly-CF'!CN110</f>
        <v>0</v>
      </c>
      <c r="CO16" s="712">
        <f>'Monthly-CF'!CO110</f>
        <v>0</v>
      </c>
      <c r="CP16" s="712">
        <f>'Monthly-CF'!CP110</f>
        <v>0</v>
      </c>
      <c r="CQ16" s="712">
        <f>'Monthly-CF'!CQ110</f>
        <v>0</v>
      </c>
      <c r="CR16" s="712">
        <f>'Monthly-CF'!CR110</f>
        <v>0</v>
      </c>
      <c r="CS16" s="712">
        <f>'Monthly-CF'!CS110</f>
        <v>0</v>
      </c>
      <c r="CT16" s="712">
        <f>'Monthly-CF'!CT110</f>
        <v>0</v>
      </c>
      <c r="CU16" s="712">
        <f>'Monthly-CF'!CU110</f>
        <v>0</v>
      </c>
      <c r="CV16" s="712">
        <f>'Monthly-CF'!CV110</f>
        <v>0</v>
      </c>
      <c r="CW16" s="712">
        <f>'Monthly-CF'!CW110</f>
        <v>0</v>
      </c>
      <c r="CX16" s="712">
        <f>'Monthly-CF'!CX110</f>
        <v>0</v>
      </c>
      <c r="CY16" s="712">
        <f>'Monthly-CF'!CY110</f>
        <v>0</v>
      </c>
      <c r="CZ16" s="712">
        <f>'Monthly-CF'!CZ110</f>
        <v>0</v>
      </c>
      <c r="DA16" s="712">
        <f>'Monthly-CF'!DA110</f>
        <v>0</v>
      </c>
      <c r="DB16" s="712">
        <f>'Monthly-CF'!DB110</f>
        <v>0</v>
      </c>
      <c r="DC16" s="712">
        <f>'Monthly-CF'!DC110</f>
        <v>0</v>
      </c>
      <c r="DD16" s="712">
        <f>'Monthly-CF'!DD110</f>
        <v>0</v>
      </c>
      <c r="DE16" s="712">
        <f>'Monthly-CF'!DE110</f>
        <v>0</v>
      </c>
      <c r="DF16" s="712">
        <f>'Monthly-CF'!DF110</f>
        <v>0</v>
      </c>
      <c r="DG16" s="712">
        <f>'Monthly-CF'!DG110</f>
        <v>0</v>
      </c>
      <c r="DH16" s="712">
        <f>'Monthly-CF'!DH110</f>
        <v>0</v>
      </c>
      <c r="DI16" s="712">
        <f>'Monthly-CF'!DI110</f>
        <v>0</v>
      </c>
      <c r="DJ16" s="712">
        <f>'Monthly-CF'!DJ110</f>
        <v>0</v>
      </c>
      <c r="DK16" s="712">
        <f>'Monthly-CF'!DK110</f>
        <v>0</v>
      </c>
      <c r="DL16" s="712">
        <f>'Monthly-CF'!DL110</f>
        <v>0</v>
      </c>
      <c r="DM16" s="712">
        <f>'Monthly-CF'!DM110</f>
        <v>0</v>
      </c>
      <c r="DN16" s="712">
        <f>'Monthly-CF'!DN110</f>
        <v>0</v>
      </c>
      <c r="DO16" s="712">
        <f>'Monthly-CF'!DO110</f>
        <v>0</v>
      </c>
      <c r="DP16" s="712">
        <f>'Monthly-CF'!DP110</f>
        <v>0</v>
      </c>
      <c r="DQ16" s="712">
        <f>'Monthly-CF'!DQ110</f>
        <v>0</v>
      </c>
      <c r="DR16" s="712">
        <f>'Monthly-CF'!DR110</f>
        <v>0</v>
      </c>
      <c r="DS16" s="712">
        <f>'Monthly-CF'!DS110</f>
        <v>0</v>
      </c>
      <c r="DT16" s="712">
        <f>'Monthly-CF'!DT110</f>
        <v>0</v>
      </c>
      <c r="DU16" s="712">
        <f>'Monthly-CF'!DU110</f>
        <v>0</v>
      </c>
      <c r="DV16" s="712">
        <f>'Monthly-CF'!DV110</f>
        <v>0</v>
      </c>
      <c r="DW16" s="712">
        <f>'Monthly-CF'!DW110</f>
        <v>0</v>
      </c>
      <c r="DX16" s="712">
        <f>'Monthly-CF'!DX110</f>
        <v>0</v>
      </c>
      <c r="DY16" s="712">
        <f>'Monthly-CF'!DY110</f>
        <v>0</v>
      </c>
      <c r="DZ16" s="712">
        <f>'Monthly-CF'!DZ110</f>
        <v>0</v>
      </c>
      <c r="EA16" s="712">
        <f>'Monthly-CF'!EA110</f>
        <v>0</v>
      </c>
      <c r="EB16" s="389"/>
      <c r="EC16" s="392" t="s">
        <v>65</v>
      </c>
    </row>
    <row r="17" spans="1:133" s="390" customFormat="1" ht="15" customHeight="1">
      <c r="A17" s="389"/>
      <c r="B17" s="389"/>
      <c r="C17" s="389"/>
      <c r="D17" s="429" t="s">
        <v>134</v>
      </c>
      <c r="E17" s="411"/>
      <c r="F17" s="411"/>
      <c r="G17" s="411"/>
      <c r="H17" s="411"/>
      <c r="I17" s="797">
        <f t="shared" ref="I17:BT17" ca="1" si="12">I15+I14+I16</f>
        <v>0</v>
      </c>
      <c r="J17" s="389"/>
      <c r="K17" s="717"/>
      <c r="L17" s="717">
        <f t="shared" ca="1" si="12"/>
        <v>0</v>
      </c>
      <c r="M17" s="717">
        <f t="shared" ca="1" si="12"/>
        <v>0</v>
      </c>
      <c r="N17" s="717">
        <f t="shared" ca="1" si="12"/>
        <v>0</v>
      </c>
      <c r="O17" s="411">
        <f t="shared" ca="1" si="12"/>
        <v>0</v>
      </c>
      <c r="P17" s="411">
        <f t="shared" ca="1" si="12"/>
        <v>0</v>
      </c>
      <c r="Q17" s="411">
        <f t="shared" ca="1" si="12"/>
        <v>0</v>
      </c>
      <c r="R17" s="411">
        <f t="shared" ca="1" si="12"/>
        <v>0</v>
      </c>
      <c r="S17" s="411">
        <f t="shared" ca="1" si="12"/>
        <v>479529.90267640259</v>
      </c>
      <c r="T17" s="411">
        <f t="shared" ca="1" si="12"/>
        <v>3360493.103309799</v>
      </c>
      <c r="U17" s="411">
        <f t="shared" ca="1" si="12"/>
        <v>6241456.3039431954</v>
      </c>
      <c r="V17" s="411">
        <f t="shared" ca="1" si="12"/>
        <v>9122419.5045765918</v>
      </c>
      <c r="W17" s="411">
        <f t="shared" ca="1" si="12"/>
        <v>12003382.705209989</v>
      </c>
      <c r="X17" s="411">
        <f t="shared" ca="1" si="12"/>
        <v>14884345.905843385</v>
      </c>
      <c r="Y17" s="411">
        <f t="shared" ca="1" si="12"/>
        <v>17765309.10647678</v>
      </c>
      <c r="Z17" s="411">
        <f t="shared" ca="1" si="12"/>
        <v>20646272.307110175</v>
      </c>
      <c r="AA17" s="411">
        <f t="shared" ca="1" si="12"/>
        <v>23602235.507743571</v>
      </c>
      <c r="AB17" s="411">
        <f t="shared" ca="1" si="12"/>
        <v>26558198.708376966</v>
      </c>
      <c r="AC17" s="411">
        <f t="shared" ca="1" si="12"/>
        <v>29514161.909010362</v>
      </c>
      <c r="AD17" s="411">
        <f t="shared" ca="1" si="12"/>
        <v>32078972.102491975</v>
      </c>
      <c r="AE17" s="411">
        <f t="shared" ca="1" si="12"/>
        <v>32209197.970296409</v>
      </c>
      <c r="AF17" s="411">
        <f t="shared" ca="1" si="12"/>
        <v>32339423.838100843</v>
      </c>
      <c r="AG17" s="411">
        <f t="shared" ca="1" si="12"/>
        <v>32469649.705905277</v>
      </c>
      <c r="AH17" s="411">
        <f t="shared" ca="1" si="12"/>
        <v>32599875.573709711</v>
      </c>
      <c r="AI17" s="411">
        <f t="shared" ca="1" si="12"/>
        <v>32730101.441514146</v>
      </c>
      <c r="AJ17" s="411">
        <f t="shared" ca="1" si="12"/>
        <v>32860327.30931858</v>
      </c>
      <c r="AK17" s="411">
        <f t="shared" ca="1" si="12"/>
        <v>0</v>
      </c>
      <c r="AL17" s="411">
        <f t="shared" ca="1" si="12"/>
        <v>0</v>
      </c>
      <c r="AM17" s="411">
        <f t="shared" ca="1" si="12"/>
        <v>0</v>
      </c>
      <c r="AN17" s="411">
        <f t="shared" ca="1" si="12"/>
        <v>0</v>
      </c>
      <c r="AO17" s="411">
        <f t="shared" ca="1" si="12"/>
        <v>0</v>
      </c>
      <c r="AP17" s="411">
        <f t="shared" ca="1" si="12"/>
        <v>0</v>
      </c>
      <c r="AQ17" s="411">
        <f t="shared" ca="1" si="12"/>
        <v>0</v>
      </c>
      <c r="AR17" s="411">
        <f t="shared" ca="1" si="12"/>
        <v>0</v>
      </c>
      <c r="AS17" s="411">
        <f ca="1">AS15+AS14+AS16</f>
        <v>0</v>
      </c>
      <c r="AT17" s="411">
        <f t="shared" ca="1" si="12"/>
        <v>0</v>
      </c>
      <c r="AU17" s="411">
        <f t="shared" ca="1" si="12"/>
        <v>0</v>
      </c>
      <c r="AV17" s="411">
        <f t="shared" ca="1" si="12"/>
        <v>0</v>
      </c>
      <c r="AW17" s="411">
        <f t="shared" ca="1" si="12"/>
        <v>0</v>
      </c>
      <c r="AX17" s="411">
        <f t="shared" ca="1" si="12"/>
        <v>0</v>
      </c>
      <c r="AY17" s="411">
        <f t="shared" ca="1" si="12"/>
        <v>0</v>
      </c>
      <c r="AZ17" s="411">
        <f t="shared" ca="1" si="12"/>
        <v>0</v>
      </c>
      <c r="BA17" s="411">
        <f t="shared" ca="1" si="12"/>
        <v>0</v>
      </c>
      <c r="BB17" s="411">
        <f t="shared" ca="1" si="12"/>
        <v>0</v>
      </c>
      <c r="BC17" s="411">
        <f t="shared" ca="1" si="12"/>
        <v>0</v>
      </c>
      <c r="BD17" s="411">
        <f t="shared" ca="1" si="12"/>
        <v>0</v>
      </c>
      <c r="BE17" s="411">
        <f t="shared" ca="1" si="12"/>
        <v>0</v>
      </c>
      <c r="BF17" s="411">
        <f t="shared" ca="1" si="12"/>
        <v>0</v>
      </c>
      <c r="BG17" s="411">
        <f t="shared" ca="1" si="12"/>
        <v>0</v>
      </c>
      <c r="BH17" s="411">
        <f t="shared" ca="1" si="12"/>
        <v>0</v>
      </c>
      <c r="BI17" s="411">
        <f t="shared" ca="1" si="12"/>
        <v>0</v>
      </c>
      <c r="BJ17" s="411">
        <f t="shared" ca="1" si="12"/>
        <v>0</v>
      </c>
      <c r="BK17" s="411">
        <f t="shared" ca="1" si="12"/>
        <v>0</v>
      </c>
      <c r="BL17" s="411">
        <f t="shared" ca="1" si="12"/>
        <v>0</v>
      </c>
      <c r="BM17" s="411">
        <f t="shared" ca="1" si="12"/>
        <v>0</v>
      </c>
      <c r="BN17" s="411">
        <f t="shared" ca="1" si="12"/>
        <v>0</v>
      </c>
      <c r="BO17" s="411">
        <f t="shared" ca="1" si="12"/>
        <v>0</v>
      </c>
      <c r="BP17" s="411">
        <f t="shared" ca="1" si="12"/>
        <v>0</v>
      </c>
      <c r="BQ17" s="411">
        <f t="shared" ca="1" si="12"/>
        <v>0</v>
      </c>
      <c r="BR17" s="411">
        <f t="shared" ca="1" si="12"/>
        <v>0</v>
      </c>
      <c r="BS17" s="411">
        <f t="shared" ca="1" si="12"/>
        <v>0</v>
      </c>
      <c r="BT17" s="411">
        <f t="shared" ca="1" si="12"/>
        <v>0</v>
      </c>
      <c r="BU17" s="411">
        <f t="shared" ref="BU17:EA17" ca="1" si="13">BU15+BU14+BU16</f>
        <v>0</v>
      </c>
      <c r="BV17" s="411">
        <f t="shared" ca="1" si="13"/>
        <v>0</v>
      </c>
      <c r="BW17" s="411">
        <f t="shared" ca="1" si="13"/>
        <v>0</v>
      </c>
      <c r="BX17" s="411">
        <f t="shared" ca="1" si="13"/>
        <v>0</v>
      </c>
      <c r="BY17" s="411">
        <f t="shared" ca="1" si="13"/>
        <v>0</v>
      </c>
      <c r="BZ17" s="411">
        <f t="shared" ca="1" si="13"/>
        <v>0</v>
      </c>
      <c r="CA17" s="411">
        <f t="shared" ca="1" si="13"/>
        <v>0</v>
      </c>
      <c r="CB17" s="411">
        <f t="shared" ca="1" si="13"/>
        <v>0</v>
      </c>
      <c r="CC17" s="411">
        <f t="shared" ca="1" si="13"/>
        <v>0</v>
      </c>
      <c r="CD17" s="411">
        <f t="shared" ca="1" si="13"/>
        <v>0</v>
      </c>
      <c r="CE17" s="411">
        <f t="shared" ca="1" si="13"/>
        <v>0</v>
      </c>
      <c r="CF17" s="411">
        <f t="shared" ca="1" si="13"/>
        <v>0</v>
      </c>
      <c r="CG17" s="411">
        <f t="shared" ca="1" si="13"/>
        <v>0</v>
      </c>
      <c r="CH17" s="411">
        <f t="shared" ca="1" si="13"/>
        <v>0</v>
      </c>
      <c r="CI17" s="411">
        <f t="shared" ca="1" si="13"/>
        <v>0</v>
      </c>
      <c r="CJ17" s="411">
        <f t="shared" ca="1" si="13"/>
        <v>0</v>
      </c>
      <c r="CK17" s="411">
        <f t="shared" ca="1" si="13"/>
        <v>0</v>
      </c>
      <c r="CL17" s="411">
        <f t="shared" ca="1" si="13"/>
        <v>0</v>
      </c>
      <c r="CM17" s="411">
        <f t="shared" ca="1" si="13"/>
        <v>0</v>
      </c>
      <c r="CN17" s="411">
        <f t="shared" ca="1" si="13"/>
        <v>0</v>
      </c>
      <c r="CO17" s="411">
        <f t="shared" ca="1" si="13"/>
        <v>0</v>
      </c>
      <c r="CP17" s="411">
        <f t="shared" ca="1" si="13"/>
        <v>0</v>
      </c>
      <c r="CQ17" s="411">
        <f t="shared" ca="1" si="13"/>
        <v>0</v>
      </c>
      <c r="CR17" s="411">
        <f t="shared" ca="1" si="13"/>
        <v>0</v>
      </c>
      <c r="CS17" s="411">
        <f t="shared" ca="1" si="13"/>
        <v>0</v>
      </c>
      <c r="CT17" s="411">
        <f t="shared" ca="1" si="13"/>
        <v>0</v>
      </c>
      <c r="CU17" s="411">
        <f t="shared" ca="1" si="13"/>
        <v>0</v>
      </c>
      <c r="CV17" s="411">
        <f t="shared" ca="1" si="13"/>
        <v>0</v>
      </c>
      <c r="CW17" s="411">
        <f t="shared" ca="1" si="13"/>
        <v>0</v>
      </c>
      <c r="CX17" s="411">
        <f t="shared" ca="1" si="13"/>
        <v>0</v>
      </c>
      <c r="CY17" s="411">
        <f t="shared" ca="1" si="13"/>
        <v>0</v>
      </c>
      <c r="CZ17" s="411">
        <f t="shared" ca="1" si="13"/>
        <v>0</v>
      </c>
      <c r="DA17" s="411">
        <f t="shared" ca="1" si="13"/>
        <v>0</v>
      </c>
      <c r="DB17" s="411">
        <f t="shared" ca="1" si="13"/>
        <v>0</v>
      </c>
      <c r="DC17" s="411">
        <f t="shared" ca="1" si="13"/>
        <v>0</v>
      </c>
      <c r="DD17" s="411">
        <f t="shared" ca="1" si="13"/>
        <v>0</v>
      </c>
      <c r="DE17" s="411">
        <f t="shared" ca="1" si="13"/>
        <v>0</v>
      </c>
      <c r="DF17" s="411">
        <f t="shared" ca="1" si="13"/>
        <v>0</v>
      </c>
      <c r="DG17" s="411">
        <f t="shared" ca="1" si="13"/>
        <v>0</v>
      </c>
      <c r="DH17" s="411">
        <f t="shared" ca="1" si="13"/>
        <v>0</v>
      </c>
      <c r="DI17" s="411">
        <f t="shared" ca="1" si="13"/>
        <v>0</v>
      </c>
      <c r="DJ17" s="411">
        <f t="shared" ca="1" si="13"/>
        <v>0</v>
      </c>
      <c r="DK17" s="411">
        <f t="shared" ca="1" si="13"/>
        <v>0</v>
      </c>
      <c r="DL17" s="411">
        <f t="shared" ca="1" si="13"/>
        <v>0</v>
      </c>
      <c r="DM17" s="411">
        <f t="shared" ca="1" si="13"/>
        <v>0</v>
      </c>
      <c r="DN17" s="411">
        <f t="shared" ca="1" si="13"/>
        <v>0</v>
      </c>
      <c r="DO17" s="411">
        <f t="shared" ca="1" si="13"/>
        <v>0</v>
      </c>
      <c r="DP17" s="411">
        <f t="shared" ca="1" si="13"/>
        <v>0</v>
      </c>
      <c r="DQ17" s="411">
        <f t="shared" ca="1" si="13"/>
        <v>0</v>
      </c>
      <c r="DR17" s="411">
        <f t="shared" ca="1" si="13"/>
        <v>0</v>
      </c>
      <c r="DS17" s="411">
        <f t="shared" ca="1" si="13"/>
        <v>0</v>
      </c>
      <c r="DT17" s="411">
        <f t="shared" ca="1" si="13"/>
        <v>0</v>
      </c>
      <c r="DU17" s="411">
        <f t="shared" ca="1" si="13"/>
        <v>0</v>
      </c>
      <c r="DV17" s="411">
        <f t="shared" ca="1" si="13"/>
        <v>0</v>
      </c>
      <c r="DW17" s="411">
        <f t="shared" ca="1" si="13"/>
        <v>0</v>
      </c>
      <c r="DX17" s="411">
        <f t="shared" ca="1" si="13"/>
        <v>0</v>
      </c>
      <c r="DY17" s="411">
        <f t="shared" ca="1" si="13"/>
        <v>0</v>
      </c>
      <c r="DZ17" s="411">
        <f t="shared" ca="1" si="13"/>
        <v>0</v>
      </c>
      <c r="EA17" s="411">
        <f t="shared" ca="1" si="13"/>
        <v>0</v>
      </c>
      <c r="EB17" s="389"/>
      <c r="EC17" s="392" t="s">
        <v>65</v>
      </c>
    </row>
    <row r="18" spans="1:133" s="390" customFormat="1" ht="15" customHeight="1">
      <c r="A18" s="389"/>
      <c r="B18" s="389"/>
      <c r="C18" s="389"/>
      <c r="D18" s="416"/>
      <c r="E18" s="413"/>
      <c r="F18" s="413"/>
      <c r="G18" s="413"/>
      <c r="H18" s="413"/>
      <c r="I18" s="798"/>
      <c r="J18" s="389"/>
      <c r="K18" s="851"/>
      <c r="L18" s="851"/>
      <c r="M18" s="851"/>
      <c r="N18" s="851"/>
      <c r="O18" s="413"/>
      <c r="P18" s="413"/>
      <c r="Q18" s="413"/>
      <c r="R18" s="413"/>
      <c r="S18" s="413"/>
      <c r="T18" s="413"/>
      <c r="U18" s="413"/>
      <c r="V18" s="413"/>
      <c r="W18" s="413"/>
      <c r="X18" s="413"/>
      <c r="Y18" s="413"/>
      <c r="Z18" s="413"/>
      <c r="AA18" s="413"/>
      <c r="AB18" s="413"/>
      <c r="AC18" s="413"/>
      <c r="AD18" s="413"/>
      <c r="AE18" s="413"/>
      <c r="AF18" s="413"/>
      <c r="AG18" s="413"/>
      <c r="AH18" s="413"/>
      <c r="AI18" s="413"/>
      <c r="AJ18" s="413"/>
      <c r="AK18" s="413"/>
      <c r="AL18" s="413"/>
      <c r="AM18" s="413"/>
      <c r="AN18" s="413"/>
      <c r="AO18" s="413"/>
      <c r="AP18" s="413"/>
      <c r="AQ18" s="413"/>
      <c r="AR18" s="413"/>
      <c r="AS18" s="413"/>
      <c r="AT18" s="413"/>
      <c r="AU18" s="413"/>
      <c r="AV18" s="413"/>
      <c r="AW18" s="413"/>
      <c r="AX18" s="413"/>
      <c r="AY18" s="413"/>
      <c r="AZ18" s="413"/>
      <c r="BA18" s="413"/>
      <c r="BB18" s="413"/>
      <c r="BC18" s="413"/>
      <c r="BD18" s="413"/>
      <c r="BE18" s="413"/>
      <c r="BF18" s="413"/>
      <c r="BG18" s="413"/>
      <c r="BH18" s="413"/>
      <c r="BI18" s="413"/>
      <c r="BJ18" s="413"/>
      <c r="BK18" s="413"/>
      <c r="BL18" s="413"/>
      <c r="BM18" s="413"/>
      <c r="BN18" s="413"/>
      <c r="BO18" s="413"/>
      <c r="BP18" s="413"/>
      <c r="BQ18" s="413"/>
      <c r="BR18" s="413"/>
      <c r="BS18" s="413"/>
      <c r="BT18" s="413"/>
      <c r="BU18" s="413"/>
      <c r="BV18" s="413"/>
      <c r="BW18" s="413"/>
      <c r="BX18" s="413"/>
      <c r="BY18" s="413"/>
      <c r="BZ18" s="413"/>
      <c r="CA18" s="413"/>
      <c r="CB18" s="413"/>
      <c r="CC18" s="413"/>
      <c r="CD18" s="413"/>
      <c r="CE18" s="413"/>
      <c r="CF18" s="413"/>
      <c r="CG18" s="413"/>
      <c r="CH18" s="413"/>
      <c r="CI18" s="413"/>
      <c r="CJ18" s="413"/>
      <c r="CK18" s="413"/>
      <c r="CL18" s="413"/>
      <c r="CM18" s="413"/>
      <c r="CN18" s="413"/>
      <c r="CO18" s="413"/>
      <c r="CP18" s="413"/>
      <c r="CQ18" s="413"/>
      <c r="CR18" s="413"/>
      <c r="CS18" s="413"/>
      <c r="CT18" s="413"/>
      <c r="CU18" s="413"/>
      <c r="CV18" s="413"/>
      <c r="CW18" s="413"/>
      <c r="CX18" s="413"/>
      <c r="CY18" s="413"/>
      <c r="CZ18" s="413"/>
      <c r="DA18" s="413"/>
      <c r="DB18" s="413"/>
      <c r="DC18" s="413"/>
      <c r="DD18" s="413"/>
      <c r="DE18" s="413"/>
      <c r="DF18" s="413"/>
      <c r="DG18" s="413"/>
      <c r="DH18" s="413"/>
      <c r="DI18" s="413"/>
      <c r="DJ18" s="413"/>
      <c r="DK18" s="413"/>
      <c r="DL18" s="413"/>
      <c r="DM18" s="413"/>
      <c r="DN18" s="413"/>
      <c r="DO18" s="413"/>
      <c r="DP18" s="413"/>
      <c r="DQ18" s="413"/>
      <c r="DR18" s="413"/>
      <c r="DS18" s="413"/>
      <c r="DT18" s="413"/>
      <c r="DU18" s="413"/>
      <c r="DV18" s="413"/>
      <c r="DW18" s="413"/>
      <c r="DX18" s="413"/>
      <c r="DY18" s="413"/>
      <c r="DZ18" s="413"/>
      <c r="EA18" s="413"/>
      <c r="EB18" s="389"/>
      <c r="EC18" s="392"/>
    </row>
    <row r="19" spans="1:133" s="390" customFormat="1" ht="15" customHeight="1">
      <c r="A19" s="389"/>
      <c r="B19" s="389"/>
      <c r="C19" s="389"/>
      <c r="D19" s="389" t="s">
        <v>513</v>
      </c>
      <c r="E19" s="389"/>
      <c r="F19" s="389"/>
      <c r="G19" s="856">
        <f>Assumptions!$E$62</f>
        <v>7.4999999999999997E-3</v>
      </c>
      <c r="H19" s="389"/>
      <c r="I19" s="796">
        <f ca="1">I15*G19</f>
        <v>247429.14882842259</v>
      </c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  <c r="AM19" s="389"/>
      <c r="AN19" s="389"/>
      <c r="AO19" s="389"/>
      <c r="AP19" s="389"/>
      <c r="AQ19" s="389"/>
      <c r="AR19" s="389"/>
      <c r="AS19" s="389"/>
      <c r="AT19" s="389"/>
      <c r="AU19" s="389"/>
      <c r="AV19" s="389"/>
      <c r="AW19" s="389"/>
      <c r="AX19" s="389"/>
      <c r="AY19" s="389"/>
      <c r="AZ19" s="389"/>
      <c r="BA19" s="389"/>
      <c r="BB19" s="389"/>
      <c r="BC19" s="389"/>
      <c r="BD19" s="389"/>
      <c r="BE19" s="389"/>
      <c r="BF19" s="389"/>
      <c r="BG19" s="389"/>
      <c r="BH19" s="389"/>
      <c r="BI19" s="389"/>
      <c r="BJ19" s="389"/>
      <c r="BK19" s="389"/>
      <c r="BL19" s="389"/>
      <c r="BM19" s="389"/>
      <c r="BN19" s="389"/>
      <c r="BO19" s="389"/>
      <c r="BP19" s="389"/>
      <c r="BQ19" s="389"/>
      <c r="BR19" s="389"/>
      <c r="BS19" s="389"/>
      <c r="BT19" s="389"/>
      <c r="BU19" s="389"/>
      <c r="BV19" s="389"/>
      <c r="BW19" s="389"/>
      <c r="BX19" s="389"/>
      <c r="BY19" s="389"/>
      <c r="BZ19" s="389"/>
      <c r="CA19" s="389"/>
      <c r="CB19" s="389"/>
      <c r="CC19" s="389"/>
      <c r="CD19" s="389"/>
      <c r="CE19" s="389"/>
      <c r="CF19" s="389"/>
      <c r="CG19" s="389"/>
      <c r="CH19" s="389"/>
      <c r="CI19" s="389"/>
      <c r="CJ19" s="389"/>
      <c r="CK19" s="389"/>
      <c r="CL19" s="389"/>
      <c r="CM19" s="389"/>
      <c r="CN19" s="389"/>
      <c r="CO19" s="389"/>
      <c r="CP19" s="389"/>
      <c r="CQ19" s="389"/>
      <c r="CR19" s="389"/>
      <c r="CS19" s="389"/>
      <c r="CT19" s="389"/>
      <c r="CU19" s="389"/>
      <c r="CV19" s="389"/>
      <c r="CW19" s="389"/>
      <c r="CX19" s="389"/>
      <c r="CY19" s="389"/>
      <c r="CZ19" s="389"/>
      <c r="DA19" s="389"/>
      <c r="DB19" s="389"/>
      <c r="DC19" s="389"/>
      <c r="DD19" s="389"/>
      <c r="DE19" s="389"/>
      <c r="DF19" s="389"/>
      <c r="DG19" s="389"/>
      <c r="DH19" s="389"/>
      <c r="DI19" s="389"/>
      <c r="DJ19" s="389"/>
      <c r="DK19" s="389"/>
      <c r="DL19" s="389"/>
      <c r="DM19" s="389"/>
      <c r="DN19" s="389"/>
      <c r="DO19" s="389"/>
      <c r="DP19" s="389"/>
      <c r="DQ19" s="389"/>
      <c r="DR19" s="389"/>
      <c r="DS19" s="389"/>
      <c r="DT19" s="389"/>
      <c r="DU19" s="389"/>
      <c r="DV19" s="389"/>
      <c r="DW19" s="389"/>
      <c r="DX19" s="389"/>
      <c r="DY19" s="389"/>
      <c r="DZ19" s="389"/>
      <c r="EA19" s="389"/>
      <c r="EB19" s="389"/>
      <c r="EC19" s="392" t="s">
        <v>65</v>
      </c>
    </row>
    <row r="20" spans="1:133" s="390" customFormat="1">
      <c r="A20" s="389"/>
      <c r="B20" s="389"/>
      <c r="C20" s="389"/>
      <c r="D20" s="389" t="s">
        <v>80</v>
      </c>
      <c r="E20" s="389"/>
      <c r="F20" s="389"/>
      <c r="G20" s="856">
        <f>Assumptions!$E$63</f>
        <v>0</v>
      </c>
      <c r="H20" s="389"/>
      <c r="I20" s="795">
        <f t="shared" ref="I20" ca="1" si="14">SUM(K20:EA20)</f>
        <v>0</v>
      </c>
      <c r="J20" s="389"/>
      <c r="K20" s="389"/>
      <c r="L20" s="408">
        <f t="shared" ref="L20:P20" si="15">L14*($G$20/12)</f>
        <v>0</v>
      </c>
      <c r="M20" s="408">
        <f t="shared" ca="1" si="15"/>
        <v>0</v>
      </c>
      <c r="N20" s="408">
        <f t="shared" ca="1" si="15"/>
        <v>0</v>
      </c>
      <c r="O20" s="408">
        <f t="shared" ca="1" si="15"/>
        <v>0</v>
      </c>
      <c r="P20" s="408">
        <f t="shared" ca="1" si="15"/>
        <v>0</v>
      </c>
      <c r="Q20" s="408">
        <f ca="1">Q14*($G$20/12)</f>
        <v>0</v>
      </c>
      <c r="R20" s="408">
        <f t="shared" ref="R20:CC20" ca="1" si="16">R14*($G$20/12)</f>
        <v>0</v>
      </c>
      <c r="S20" s="408">
        <f t="shared" ca="1" si="16"/>
        <v>0</v>
      </c>
      <c r="T20" s="408">
        <f t="shared" ca="1" si="16"/>
        <v>0</v>
      </c>
      <c r="U20" s="408">
        <f t="shared" ca="1" si="16"/>
        <v>0</v>
      </c>
      <c r="V20" s="408">
        <f t="shared" ca="1" si="16"/>
        <v>0</v>
      </c>
      <c r="W20" s="408">
        <f t="shared" ca="1" si="16"/>
        <v>0</v>
      </c>
      <c r="X20" s="408">
        <f t="shared" ca="1" si="16"/>
        <v>0</v>
      </c>
      <c r="Y20" s="408">
        <f t="shared" ca="1" si="16"/>
        <v>0</v>
      </c>
      <c r="Z20" s="408">
        <f t="shared" ca="1" si="16"/>
        <v>0</v>
      </c>
      <c r="AA20" s="408">
        <f t="shared" ca="1" si="16"/>
        <v>0</v>
      </c>
      <c r="AB20" s="408">
        <f t="shared" ca="1" si="16"/>
        <v>0</v>
      </c>
      <c r="AC20" s="408">
        <f t="shared" ca="1" si="16"/>
        <v>0</v>
      </c>
      <c r="AD20" s="408">
        <f t="shared" ca="1" si="16"/>
        <v>0</v>
      </c>
      <c r="AE20" s="408">
        <f t="shared" ca="1" si="16"/>
        <v>0</v>
      </c>
      <c r="AF20" s="408">
        <f t="shared" ca="1" si="16"/>
        <v>0</v>
      </c>
      <c r="AG20" s="408">
        <f t="shared" ca="1" si="16"/>
        <v>0</v>
      </c>
      <c r="AH20" s="408">
        <f t="shared" ca="1" si="16"/>
        <v>0</v>
      </c>
      <c r="AI20" s="408">
        <f t="shared" ca="1" si="16"/>
        <v>0</v>
      </c>
      <c r="AJ20" s="408">
        <f t="shared" ca="1" si="16"/>
        <v>0</v>
      </c>
      <c r="AK20" s="408">
        <f t="shared" ca="1" si="16"/>
        <v>0</v>
      </c>
      <c r="AL20" s="408">
        <f t="shared" ca="1" si="16"/>
        <v>0</v>
      </c>
      <c r="AM20" s="408">
        <f t="shared" ca="1" si="16"/>
        <v>0</v>
      </c>
      <c r="AN20" s="408">
        <f t="shared" ca="1" si="16"/>
        <v>0</v>
      </c>
      <c r="AO20" s="408">
        <f t="shared" ca="1" si="16"/>
        <v>0</v>
      </c>
      <c r="AP20" s="408">
        <f t="shared" ca="1" si="16"/>
        <v>0</v>
      </c>
      <c r="AQ20" s="408">
        <f t="shared" ca="1" si="16"/>
        <v>0</v>
      </c>
      <c r="AR20" s="408">
        <f t="shared" ca="1" si="16"/>
        <v>0</v>
      </c>
      <c r="AS20" s="408">
        <f t="shared" ca="1" si="16"/>
        <v>0</v>
      </c>
      <c r="AT20" s="408">
        <f t="shared" ca="1" si="16"/>
        <v>0</v>
      </c>
      <c r="AU20" s="408">
        <f t="shared" ca="1" si="16"/>
        <v>0</v>
      </c>
      <c r="AV20" s="408">
        <f t="shared" ca="1" si="16"/>
        <v>0</v>
      </c>
      <c r="AW20" s="408">
        <f t="shared" ca="1" si="16"/>
        <v>0</v>
      </c>
      <c r="AX20" s="408">
        <f t="shared" ca="1" si="16"/>
        <v>0</v>
      </c>
      <c r="AY20" s="408">
        <f t="shared" ca="1" si="16"/>
        <v>0</v>
      </c>
      <c r="AZ20" s="408">
        <f t="shared" ca="1" si="16"/>
        <v>0</v>
      </c>
      <c r="BA20" s="408">
        <f t="shared" ca="1" si="16"/>
        <v>0</v>
      </c>
      <c r="BB20" s="408">
        <f t="shared" ca="1" si="16"/>
        <v>0</v>
      </c>
      <c r="BC20" s="408">
        <f t="shared" ca="1" si="16"/>
        <v>0</v>
      </c>
      <c r="BD20" s="408">
        <f t="shared" ca="1" si="16"/>
        <v>0</v>
      </c>
      <c r="BE20" s="408">
        <f t="shared" ca="1" si="16"/>
        <v>0</v>
      </c>
      <c r="BF20" s="408">
        <f t="shared" ca="1" si="16"/>
        <v>0</v>
      </c>
      <c r="BG20" s="408">
        <f t="shared" ca="1" si="16"/>
        <v>0</v>
      </c>
      <c r="BH20" s="408">
        <f t="shared" ca="1" si="16"/>
        <v>0</v>
      </c>
      <c r="BI20" s="408">
        <f t="shared" ca="1" si="16"/>
        <v>0</v>
      </c>
      <c r="BJ20" s="408">
        <f t="shared" ca="1" si="16"/>
        <v>0</v>
      </c>
      <c r="BK20" s="408">
        <f t="shared" ca="1" si="16"/>
        <v>0</v>
      </c>
      <c r="BL20" s="408">
        <f t="shared" ca="1" si="16"/>
        <v>0</v>
      </c>
      <c r="BM20" s="408">
        <f t="shared" ca="1" si="16"/>
        <v>0</v>
      </c>
      <c r="BN20" s="408">
        <f t="shared" ca="1" si="16"/>
        <v>0</v>
      </c>
      <c r="BO20" s="408">
        <f t="shared" ca="1" si="16"/>
        <v>0</v>
      </c>
      <c r="BP20" s="408">
        <f t="shared" ca="1" si="16"/>
        <v>0</v>
      </c>
      <c r="BQ20" s="408">
        <f t="shared" ca="1" si="16"/>
        <v>0</v>
      </c>
      <c r="BR20" s="408">
        <f t="shared" ca="1" si="16"/>
        <v>0</v>
      </c>
      <c r="BS20" s="408">
        <f t="shared" ca="1" si="16"/>
        <v>0</v>
      </c>
      <c r="BT20" s="408">
        <f t="shared" ca="1" si="16"/>
        <v>0</v>
      </c>
      <c r="BU20" s="408">
        <f t="shared" ca="1" si="16"/>
        <v>0</v>
      </c>
      <c r="BV20" s="408">
        <f t="shared" ca="1" si="16"/>
        <v>0</v>
      </c>
      <c r="BW20" s="408">
        <f t="shared" ca="1" si="16"/>
        <v>0</v>
      </c>
      <c r="BX20" s="408">
        <f t="shared" ca="1" si="16"/>
        <v>0</v>
      </c>
      <c r="BY20" s="408">
        <f t="shared" ca="1" si="16"/>
        <v>0</v>
      </c>
      <c r="BZ20" s="408">
        <f t="shared" ca="1" si="16"/>
        <v>0</v>
      </c>
      <c r="CA20" s="408">
        <f t="shared" ca="1" si="16"/>
        <v>0</v>
      </c>
      <c r="CB20" s="408">
        <f t="shared" ca="1" si="16"/>
        <v>0</v>
      </c>
      <c r="CC20" s="408">
        <f t="shared" ca="1" si="16"/>
        <v>0</v>
      </c>
      <c r="CD20" s="408">
        <f t="shared" ref="CD20:EA20" ca="1" si="17">CD14*($G$20/12)</f>
        <v>0</v>
      </c>
      <c r="CE20" s="408">
        <f t="shared" ca="1" si="17"/>
        <v>0</v>
      </c>
      <c r="CF20" s="408">
        <f t="shared" ca="1" si="17"/>
        <v>0</v>
      </c>
      <c r="CG20" s="408">
        <f t="shared" ca="1" si="17"/>
        <v>0</v>
      </c>
      <c r="CH20" s="408">
        <f t="shared" ca="1" si="17"/>
        <v>0</v>
      </c>
      <c r="CI20" s="408">
        <f t="shared" ca="1" si="17"/>
        <v>0</v>
      </c>
      <c r="CJ20" s="408">
        <f t="shared" ca="1" si="17"/>
        <v>0</v>
      </c>
      <c r="CK20" s="408">
        <f t="shared" ca="1" si="17"/>
        <v>0</v>
      </c>
      <c r="CL20" s="408">
        <f t="shared" ca="1" si="17"/>
        <v>0</v>
      </c>
      <c r="CM20" s="408">
        <f t="shared" ca="1" si="17"/>
        <v>0</v>
      </c>
      <c r="CN20" s="408">
        <f t="shared" ca="1" si="17"/>
        <v>0</v>
      </c>
      <c r="CO20" s="408">
        <f t="shared" ca="1" si="17"/>
        <v>0</v>
      </c>
      <c r="CP20" s="408">
        <f t="shared" ca="1" si="17"/>
        <v>0</v>
      </c>
      <c r="CQ20" s="408">
        <f t="shared" ca="1" si="17"/>
        <v>0</v>
      </c>
      <c r="CR20" s="408">
        <f t="shared" ca="1" si="17"/>
        <v>0</v>
      </c>
      <c r="CS20" s="408">
        <f t="shared" ca="1" si="17"/>
        <v>0</v>
      </c>
      <c r="CT20" s="408">
        <f t="shared" ca="1" si="17"/>
        <v>0</v>
      </c>
      <c r="CU20" s="408">
        <f t="shared" ca="1" si="17"/>
        <v>0</v>
      </c>
      <c r="CV20" s="408">
        <f t="shared" ca="1" si="17"/>
        <v>0</v>
      </c>
      <c r="CW20" s="408">
        <f t="shared" ca="1" si="17"/>
        <v>0</v>
      </c>
      <c r="CX20" s="408">
        <f t="shared" ca="1" si="17"/>
        <v>0</v>
      </c>
      <c r="CY20" s="408">
        <f t="shared" ca="1" si="17"/>
        <v>0</v>
      </c>
      <c r="CZ20" s="408">
        <f t="shared" ca="1" si="17"/>
        <v>0</v>
      </c>
      <c r="DA20" s="408">
        <f t="shared" ca="1" si="17"/>
        <v>0</v>
      </c>
      <c r="DB20" s="408">
        <f t="shared" ca="1" si="17"/>
        <v>0</v>
      </c>
      <c r="DC20" s="408">
        <f t="shared" ca="1" si="17"/>
        <v>0</v>
      </c>
      <c r="DD20" s="408">
        <f t="shared" ca="1" si="17"/>
        <v>0</v>
      </c>
      <c r="DE20" s="408">
        <f t="shared" ca="1" si="17"/>
        <v>0</v>
      </c>
      <c r="DF20" s="408">
        <f t="shared" ca="1" si="17"/>
        <v>0</v>
      </c>
      <c r="DG20" s="408">
        <f t="shared" ca="1" si="17"/>
        <v>0</v>
      </c>
      <c r="DH20" s="408">
        <f t="shared" ca="1" si="17"/>
        <v>0</v>
      </c>
      <c r="DI20" s="408">
        <f t="shared" ca="1" si="17"/>
        <v>0</v>
      </c>
      <c r="DJ20" s="408">
        <f t="shared" ca="1" si="17"/>
        <v>0</v>
      </c>
      <c r="DK20" s="408">
        <f t="shared" ca="1" si="17"/>
        <v>0</v>
      </c>
      <c r="DL20" s="408">
        <f t="shared" ca="1" si="17"/>
        <v>0</v>
      </c>
      <c r="DM20" s="408">
        <f t="shared" ca="1" si="17"/>
        <v>0</v>
      </c>
      <c r="DN20" s="408">
        <f t="shared" ca="1" si="17"/>
        <v>0</v>
      </c>
      <c r="DO20" s="408">
        <f t="shared" ca="1" si="17"/>
        <v>0</v>
      </c>
      <c r="DP20" s="408">
        <f t="shared" ca="1" si="17"/>
        <v>0</v>
      </c>
      <c r="DQ20" s="408">
        <f t="shared" ca="1" si="17"/>
        <v>0</v>
      </c>
      <c r="DR20" s="408">
        <f t="shared" ca="1" si="17"/>
        <v>0</v>
      </c>
      <c r="DS20" s="408">
        <f t="shared" ca="1" si="17"/>
        <v>0</v>
      </c>
      <c r="DT20" s="408">
        <f t="shared" ca="1" si="17"/>
        <v>0</v>
      </c>
      <c r="DU20" s="408">
        <f t="shared" ca="1" si="17"/>
        <v>0</v>
      </c>
      <c r="DV20" s="408">
        <f t="shared" ca="1" si="17"/>
        <v>0</v>
      </c>
      <c r="DW20" s="408">
        <f t="shared" ca="1" si="17"/>
        <v>0</v>
      </c>
      <c r="DX20" s="408">
        <f t="shared" ca="1" si="17"/>
        <v>0</v>
      </c>
      <c r="DY20" s="408">
        <f t="shared" ca="1" si="17"/>
        <v>0</v>
      </c>
      <c r="DZ20" s="408">
        <f t="shared" ca="1" si="17"/>
        <v>0</v>
      </c>
      <c r="EA20" s="408">
        <f t="shared" ca="1" si="17"/>
        <v>0</v>
      </c>
      <c r="EB20" s="389"/>
      <c r="EC20" s="392" t="s">
        <v>65</v>
      </c>
    </row>
    <row r="21" spans="1:133" s="390" customFormat="1">
      <c r="A21" s="389"/>
      <c r="B21" s="389"/>
      <c r="C21" s="389"/>
      <c r="D21" s="389"/>
      <c r="E21" s="389"/>
      <c r="F21" s="389"/>
      <c r="G21" s="852"/>
      <c r="H21" s="389"/>
      <c r="I21" s="795"/>
      <c r="J21" s="389"/>
      <c r="K21" s="389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408"/>
      <c r="AB21" s="408"/>
      <c r="AC21" s="408"/>
      <c r="AD21" s="408"/>
      <c r="AE21" s="408"/>
      <c r="AF21" s="408"/>
      <c r="AG21" s="408"/>
      <c r="AH21" s="408"/>
      <c r="AI21" s="408"/>
      <c r="AJ21" s="408"/>
      <c r="AK21" s="408"/>
      <c r="AL21" s="408"/>
      <c r="AM21" s="408"/>
      <c r="AN21" s="408"/>
      <c r="AO21" s="408"/>
      <c r="AP21" s="408"/>
      <c r="AQ21" s="408"/>
      <c r="AR21" s="408"/>
      <c r="AS21" s="408"/>
      <c r="AT21" s="408"/>
      <c r="AU21" s="408"/>
      <c r="AV21" s="408"/>
      <c r="AW21" s="408"/>
      <c r="AX21" s="408"/>
      <c r="AY21" s="408"/>
      <c r="AZ21" s="408"/>
      <c r="BA21" s="408"/>
      <c r="BB21" s="408"/>
      <c r="BC21" s="408"/>
      <c r="BD21" s="408"/>
      <c r="BE21" s="408"/>
      <c r="BF21" s="408"/>
      <c r="BG21" s="408"/>
      <c r="BH21" s="408"/>
      <c r="BI21" s="408"/>
      <c r="BJ21" s="408"/>
      <c r="BK21" s="408"/>
      <c r="BL21" s="408"/>
      <c r="BM21" s="408"/>
      <c r="BN21" s="408"/>
      <c r="BO21" s="408"/>
      <c r="BP21" s="408"/>
      <c r="BQ21" s="408"/>
      <c r="BR21" s="408"/>
      <c r="BS21" s="408"/>
      <c r="BT21" s="408"/>
      <c r="BU21" s="408"/>
      <c r="BV21" s="408"/>
      <c r="BW21" s="408"/>
      <c r="BX21" s="408"/>
      <c r="BY21" s="408"/>
      <c r="BZ21" s="408"/>
      <c r="CA21" s="408"/>
      <c r="CB21" s="408"/>
      <c r="CC21" s="408"/>
      <c r="CD21" s="408"/>
      <c r="CE21" s="408"/>
      <c r="CF21" s="408"/>
      <c r="CG21" s="408"/>
      <c r="CH21" s="408"/>
      <c r="CI21" s="408"/>
      <c r="CJ21" s="408"/>
      <c r="CK21" s="408"/>
      <c r="CL21" s="408"/>
      <c r="CM21" s="408"/>
      <c r="CN21" s="408"/>
      <c r="CO21" s="408"/>
      <c r="CP21" s="408"/>
      <c r="CQ21" s="408"/>
      <c r="CR21" s="408"/>
      <c r="CS21" s="408"/>
      <c r="CT21" s="408"/>
      <c r="CU21" s="408"/>
      <c r="CV21" s="408"/>
      <c r="CW21" s="408"/>
      <c r="CX21" s="408"/>
      <c r="CY21" s="408"/>
      <c r="CZ21" s="408"/>
      <c r="DA21" s="408"/>
      <c r="DB21" s="408"/>
      <c r="DC21" s="408"/>
      <c r="DD21" s="408"/>
      <c r="DE21" s="408"/>
      <c r="DF21" s="408"/>
      <c r="DG21" s="408"/>
      <c r="DH21" s="408"/>
      <c r="DI21" s="408"/>
      <c r="DJ21" s="408"/>
      <c r="DK21" s="408"/>
      <c r="DL21" s="408"/>
      <c r="DM21" s="408"/>
      <c r="DN21" s="408"/>
      <c r="DO21" s="408"/>
      <c r="DP21" s="408"/>
      <c r="DQ21" s="408"/>
      <c r="DR21" s="408"/>
      <c r="DS21" s="408"/>
      <c r="DT21" s="408"/>
      <c r="DU21" s="408"/>
      <c r="DV21" s="408"/>
      <c r="DW21" s="408"/>
      <c r="DX21" s="408"/>
      <c r="DY21" s="408"/>
      <c r="DZ21" s="408"/>
      <c r="EA21" s="408"/>
      <c r="EB21" s="389"/>
      <c r="EC21" s="392"/>
    </row>
    <row r="22" spans="1:133" s="390" customFormat="1">
      <c r="A22" s="389"/>
      <c r="B22" s="389"/>
      <c r="C22" s="389"/>
      <c r="D22" s="764" t="s">
        <v>505</v>
      </c>
      <c r="E22" s="389"/>
      <c r="F22" s="389"/>
      <c r="G22" s="389"/>
      <c r="H22" s="389"/>
      <c r="I22" s="796"/>
      <c r="J22" s="389"/>
      <c r="K22" s="389"/>
      <c r="L22" s="763">
        <f t="shared" ref="L22:Q22" si="18">COUNTIF(L24,"&gt;"&amp;0)+K22</f>
        <v>0</v>
      </c>
      <c r="M22" s="763">
        <f t="shared" ca="1" si="18"/>
        <v>0</v>
      </c>
      <c r="N22" s="763">
        <f t="shared" ca="1" si="18"/>
        <v>0</v>
      </c>
      <c r="O22" s="763">
        <f t="shared" ca="1" si="18"/>
        <v>0</v>
      </c>
      <c r="P22" s="763">
        <f t="shared" ca="1" si="18"/>
        <v>0</v>
      </c>
      <c r="Q22" s="763">
        <f t="shared" ca="1" si="18"/>
        <v>0</v>
      </c>
      <c r="R22" s="763">
        <f ca="1">COUNTIF(R24,"&gt;"&amp;0)+Q22</f>
        <v>0</v>
      </c>
      <c r="S22" s="763">
        <f t="shared" ref="S22:CD22" ca="1" si="19">COUNTIF(S24,"&gt;"&amp;0)+R22</f>
        <v>0</v>
      </c>
      <c r="T22" s="763">
        <f t="shared" ca="1" si="19"/>
        <v>0</v>
      </c>
      <c r="U22" s="763">
        <f t="shared" ca="1" si="19"/>
        <v>0</v>
      </c>
      <c r="V22" s="763">
        <f t="shared" ca="1" si="19"/>
        <v>0</v>
      </c>
      <c r="W22" s="763">
        <f t="shared" ca="1" si="19"/>
        <v>0</v>
      </c>
      <c r="X22" s="763">
        <f t="shared" ca="1" si="19"/>
        <v>0</v>
      </c>
      <c r="Y22" s="763">
        <f t="shared" ca="1" si="19"/>
        <v>0</v>
      </c>
      <c r="Z22" s="763">
        <f t="shared" ca="1" si="19"/>
        <v>0</v>
      </c>
      <c r="AA22" s="763">
        <f t="shared" ca="1" si="19"/>
        <v>0</v>
      </c>
      <c r="AB22" s="763">
        <f t="shared" ca="1" si="19"/>
        <v>0</v>
      </c>
      <c r="AC22" s="763">
        <f t="shared" ca="1" si="19"/>
        <v>0</v>
      </c>
      <c r="AD22" s="763">
        <f t="shared" ca="1" si="19"/>
        <v>0</v>
      </c>
      <c r="AE22" s="763">
        <f t="shared" ca="1" si="19"/>
        <v>0</v>
      </c>
      <c r="AF22" s="763">
        <f t="shared" ca="1" si="19"/>
        <v>0</v>
      </c>
      <c r="AG22" s="763">
        <f t="shared" ca="1" si="19"/>
        <v>0</v>
      </c>
      <c r="AH22" s="763">
        <f t="shared" ca="1" si="19"/>
        <v>0</v>
      </c>
      <c r="AI22" s="763">
        <f t="shared" ca="1" si="19"/>
        <v>0</v>
      </c>
      <c r="AJ22" s="763">
        <f t="shared" ca="1" si="19"/>
        <v>0</v>
      </c>
      <c r="AK22" s="763">
        <f t="shared" ca="1" si="19"/>
        <v>0</v>
      </c>
      <c r="AL22" s="763">
        <f t="shared" ca="1" si="19"/>
        <v>0</v>
      </c>
      <c r="AM22" s="763">
        <f t="shared" ca="1" si="19"/>
        <v>0</v>
      </c>
      <c r="AN22" s="763">
        <f t="shared" ca="1" si="19"/>
        <v>0</v>
      </c>
      <c r="AO22" s="763">
        <f t="shared" ca="1" si="19"/>
        <v>0</v>
      </c>
      <c r="AP22" s="763">
        <f t="shared" ca="1" si="19"/>
        <v>0</v>
      </c>
      <c r="AQ22" s="763">
        <f t="shared" ca="1" si="19"/>
        <v>0</v>
      </c>
      <c r="AR22" s="763">
        <f t="shared" ca="1" si="19"/>
        <v>0</v>
      </c>
      <c r="AS22" s="763">
        <f t="shared" ca="1" si="19"/>
        <v>0</v>
      </c>
      <c r="AT22" s="763">
        <f t="shared" ca="1" si="19"/>
        <v>0</v>
      </c>
      <c r="AU22" s="763">
        <f t="shared" ca="1" si="19"/>
        <v>0</v>
      </c>
      <c r="AV22" s="763">
        <f t="shared" ca="1" si="19"/>
        <v>0</v>
      </c>
      <c r="AW22" s="763">
        <f t="shared" ca="1" si="19"/>
        <v>0</v>
      </c>
      <c r="AX22" s="763">
        <f t="shared" ca="1" si="19"/>
        <v>0</v>
      </c>
      <c r="AY22" s="763">
        <f t="shared" ca="1" si="19"/>
        <v>0</v>
      </c>
      <c r="AZ22" s="763">
        <f t="shared" ca="1" si="19"/>
        <v>0</v>
      </c>
      <c r="BA22" s="763">
        <f t="shared" ca="1" si="19"/>
        <v>0</v>
      </c>
      <c r="BB22" s="763">
        <f t="shared" ca="1" si="19"/>
        <v>0</v>
      </c>
      <c r="BC22" s="763">
        <f t="shared" ca="1" si="19"/>
        <v>0</v>
      </c>
      <c r="BD22" s="763">
        <f t="shared" ca="1" si="19"/>
        <v>0</v>
      </c>
      <c r="BE22" s="763">
        <f t="shared" ca="1" si="19"/>
        <v>0</v>
      </c>
      <c r="BF22" s="763">
        <f t="shared" ca="1" si="19"/>
        <v>0</v>
      </c>
      <c r="BG22" s="763">
        <f t="shared" ca="1" si="19"/>
        <v>0</v>
      </c>
      <c r="BH22" s="763">
        <f t="shared" ca="1" si="19"/>
        <v>0</v>
      </c>
      <c r="BI22" s="763">
        <f t="shared" ca="1" si="19"/>
        <v>0</v>
      </c>
      <c r="BJ22" s="763">
        <f t="shared" ca="1" si="19"/>
        <v>0</v>
      </c>
      <c r="BK22" s="763">
        <f t="shared" ca="1" si="19"/>
        <v>0</v>
      </c>
      <c r="BL22" s="763">
        <f t="shared" ca="1" si="19"/>
        <v>0</v>
      </c>
      <c r="BM22" s="763">
        <f t="shared" ca="1" si="19"/>
        <v>0</v>
      </c>
      <c r="BN22" s="763">
        <f t="shared" ca="1" si="19"/>
        <v>0</v>
      </c>
      <c r="BO22" s="763">
        <f t="shared" ca="1" si="19"/>
        <v>0</v>
      </c>
      <c r="BP22" s="763">
        <f t="shared" ca="1" si="19"/>
        <v>0</v>
      </c>
      <c r="BQ22" s="763">
        <f t="shared" ca="1" si="19"/>
        <v>0</v>
      </c>
      <c r="BR22" s="763">
        <f t="shared" ca="1" si="19"/>
        <v>0</v>
      </c>
      <c r="BS22" s="763">
        <f t="shared" ca="1" si="19"/>
        <v>0</v>
      </c>
      <c r="BT22" s="763">
        <f t="shared" ca="1" si="19"/>
        <v>0</v>
      </c>
      <c r="BU22" s="763">
        <f t="shared" ca="1" si="19"/>
        <v>0</v>
      </c>
      <c r="BV22" s="763">
        <f t="shared" ca="1" si="19"/>
        <v>0</v>
      </c>
      <c r="BW22" s="763">
        <f t="shared" ca="1" si="19"/>
        <v>0</v>
      </c>
      <c r="BX22" s="763">
        <f t="shared" ca="1" si="19"/>
        <v>0</v>
      </c>
      <c r="BY22" s="763">
        <f t="shared" ca="1" si="19"/>
        <v>0</v>
      </c>
      <c r="BZ22" s="763">
        <f t="shared" ca="1" si="19"/>
        <v>0</v>
      </c>
      <c r="CA22" s="763">
        <f t="shared" ca="1" si="19"/>
        <v>0</v>
      </c>
      <c r="CB22" s="763">
        <f t="shared" ca="1" si="19"/>
        <v>0</v>
      </c>
      <c r="CC22" s="763">
        <f t="shared" ca="1" si="19"/>
        <v>0</v>
      </c>
      <c r="CD22" s="763">
        <f t="shared" ca="1" si="19"/>
        <v>0</v>
      </c>
      <c r="CE22" s="763">
        <f t="shared" ref="CE22:EA22" ca="1" si="20">COUNTIF(CE24,"&gt;"&amp;0)+CD22</f>
        <v>0</v>
      </c>
      <c r="CF22" s="763">
        <f t="shared" ca="1" si="20"/>
        <v>0</v>
      </c>
      <c r="CG22" s="763">
        <f t="shared" ca="1" si="20"/>
        <v>0</v>
      </c>
      <c r="CH22" s="763">
        <f t="shared" ca="1" si="20"/>
        <v>0</v>
      </c>
      <c r="CI22" s="763">
        <f t="shared" ca="1" si="20"/>
        <v>0</v>
      </c>
      <c r="CJ22" s="763">
        <f t="shared" ca="1" si="20"/>
        <v>0</v>
      </c>
      <c r="CK22" s="763">
        <f t="shared" ca="1" si="20"/>
        <v>0</v>
      </c>
      <c r="CL22" s="763">
        <f t="shared" ca="1" si="20"/>
        <v>0</v>
      </c>
      <c r="CM22" s="763">
        <f t="shared" ca="1" si="20"/>
        <v>0</v>
      </c>
      <c r="CN22" s="763">
        <f t="shared" ca="1" si="20"/>
        <v>0</v>
      </c>
      <c r="CO22" s="763">
        <f t="shared" ca="1" si="20"/>
        <v>0</v>
      </c>
      <c r="CP22" s="763">
        <f t="shared" ca="1" si="20"/>
        <v>0</v>
      </c>
      <c r="CQ22" s="763">
        <f t="shared" ca="1" si="20"/>
        <v>0</v>
      </c>
      <c r="CR22" s="763">
        <f t="shared" ca="1" si="20"/>
        <v>0</v>
      </c>
      <c r="CS22" s="763">
        <f t="shared" ca="1" si="20"/>
        <v>0</v>
      </c>
      <c r="CT22" s="763">
        <f t="shared" ca="1" si="20"/>
        <v>0</v>
      </c>
      <c r="CU22" s="763">
        <f t="shared" ca="1" si="20"/>
        <v>0</v>
      </c>
      <c r="CV22" s="763">
        <f t="shared" ca="1" si="20"/>
        <v>0</v>
      </c>
      <c r="CW22" s="763">
        <f t="shared" ca="1" si="20"/>
        <v>0</v>
      </c>
      <c r="CX22" s="763">
        <f t="shared" ca="1" si="20"/>
        <v>0</v>
      </c>
      <c r="CY22" s="763">
        <f t="shared" ca="1" si="20"/>
        <v>0</v>
      </c>
      <c r="CZ22" s="763">
        <f t="shared" ca="1" si="20"/>
        <v>0</v>
      </c>
      <c r="DA22" s="763">
        <f t="shared" ca="1" si="20"/>
        <v>0</v>
      </c>
      <c r="DB22" s="763">
        <f t="shared" ca="1" si="20"/>
        <v>0</v>
      </c>
      <c r="DC22" s="763">
        <f t="shared" ca="1" si="20"/>
        <v>0</v>
      </c>
      <c r="DD22" s="763">
        <f t="shared" ca="1" si="20"/>
        <v>0</v>
      </c>
      <c r="DE22" s="763">
        <f t="shared" ca="1" si="20"/>
        <v>0</v>
      </c>
      <c r="DF22" s="763">
        <f t="shared" ca="1" si="20"/>
        <v>0</v>
      </c>
      <c r="DG22" s="763">
        <f t="shared" ca="1" si="20"/>
        <v>0</v>
      </c>
      <c r="DH22" s="763">
        <f t="shared" ca="1" si="20"/>
        <v>0</v>
      </c>
      <c r="DI22" s="763">
        <f t="shared" ca="1" si="20"/>
        <v>0</v>
      </c>
      <c r="DJ22" s="763">
        <f t="shared" ca="1" si="20"/>
        <v>0</v>
      </c>
      <c r="DK22" s="763">
        <f t="shared" ca="1" si="20"/>
        <v>0</v>
      </c>
      <c r="DL22" s="763">
        <f t="shared" ca="1" si="20"/>
        <v>0</v>
      </c>
      <c r="DM22" s="763">
        <f t="shared" ca="1" si="20"/>
        <v>0</v>
      </c>
      <c r="DN22" s="763">
        <f t="shared" ca="1" si="20"/>
        <v>0</v>
      </c>
      <c r="DO22" s="763">
        <f t="shared" ca="1" si="20"/>
        <v>0</v>
      </c>
      <c r="DP22" s="763">
        <f t="shared" ca="1" si="20"/>
        <v>0</v>
      </c>
      <c r="DQ22" s="763">
        <f t="shared" ca="1" si="20"/>
        <v>0</v>
      </c>
      <c r="DR22" s="763">
        <f t="shared" ca="1" si="20"/>
        <v>0</v>
      </c>
      <c r="DS22" s="763">
        <f t="shared" ca="1" si="20"/>
        <v>0</v>
      </c>
      <c r="DT22" s="763">
        <f t="shared" ca="1" si="20"/>
        <v>0</v>
      </c>
      <c r="DU22" s="763">
        <f t="shared" ca="1" si="20"/>
        <v>0</v>
      </c>
      <c r="DV22" s="763">
        <f t="shared" ca="1" si="20"/>
        <v>0</v>
      </c>
      <c r="DW22" s="763">
        <f t="shared" ca="1" si="20"/>
        <v>0</v>
      </c>
      <c r="DX22" s="763">
        <f t="shared" ca="1" si="20"/>
        <v>0</v>
      </c>
      <c r="DY22" s="763">
        <f t="shared" ca="1" si="20"/>
        <v>0</v>
      </c>
      <c r="DZ22" s="763">
        <f t="shared" ca="1" si="20"/>
        <v>0</v>
      </c>
      <c r="EA22" s="763">
        <f t="shared" ca="1" si="20"/>
        <v>0</v>
      </c>
      <c r="EB22" s="389"/>
      <c r="EC22" s="392" t="s">
        <v>65</v>
      </c>
    </row>
    <row r="23" spans="1:133" s="390" customFormat="1">
      <c r="A23" s="389"/>
      <c r="B23" s="389"/>
      <c r="C23" s="389"/>
      <c r="D23" s="707" t="s">
        <v>133</v>
      </c>
      <c r="E23" s="389"/>
      <c r="F23" s="389"/>
      <c r="G23" s="389"/>
      <c r="H23" s="389"/>
      <c r="I23" s="795">
        <v>0</v>
      </c>
      <c r="J23" s="389"/>
      <c r="K23" s="712"/>
      <c r="L23" s="712">
        <f>K26</f>
        <v>0</v>
      </c>
      <c r="M23" s="712">
        <f t="shared" ref="M23:AS23" si="21">L26</f>
        <v>0</v>
      </c>
      <c r="N23" s="712">
        <f t="shared" ca="1" si="21"/>
        <v>0</v>
      </c>
      <c r="O23" s="703">
        <f t="shared" ca="1" si="21"/>
        <v>0</v>
      </c>
      <c r="P23" s="703">
        <f t="shared" ca="1" si="21"/>
        <v>0</v>
      </c>
      <c r="Q23" s="703">
        <f t="shared" ca="1" si="21"/>
        <v>0</v>
      </c>
      <c r="R23" s="703">
        <f t="shared" ca="1" si="21"/>
        <v>0</v>
      </c>
      <c r="S23" s="703">
        <f t="shared" ca="1" si="21"/>
        <v>0</v>
      </c>
      <c r="T23" s="703">
        <f t="shared" ca="1" si="21"/>
        <v>0</v>
      </c>
      <c r="U23" s="703">
        <f t="shared" ca="1" si="21"/>
        <v>0</v>
      </c>
      <c r="V23" s="703">
        <f t="shared" ca="1" si="21"/>
        <v>0</v>
      </c>
      <c r="W23" s="703">
        <f t="shared" ca="1" si="21"/>
        <v>0</v>
      </c>
      <c r="X23" s="703">
        <f t="shared" ca="1" si="21"/>
        <v>0</v>
      </c>
      <c r="Y23" s="703">
        <f t="shared" ca="1" si="21"/>
        <v>0</v>
      </c>
      <c r="Z23" s="703">
        <f t="shared" ca="1" si="21"/>
        <v>0</v>
      </c>
      <c r="AA23" s="703">
        <f t="shared" ca="1" si="21"/>
        <v>0</v>
      </c>
      <c r="AB23" s="703">
        <f t="shared" ca="1" si="21"/>
        <v>0</v>
      </c>
      <c r="AC23" s="703">
        <f t="shared" ca="1" si="21"/>
        <v>0</v>
      </c>
      <c r="AD23" s="703">
        <f t="shared" ca="1" si="21"/>
        <v>0</v>
      </c>
      <c r="AE23" s="703">
        <f t="shared" ca="1" si="21"/>
        <v>0</v>
      </c>
      <c r="AF23" s="703">
        <f t="shared" ca="1" si="21"/>
        <v>0</v>
      </c>
      <c r="AG23" s="703">
        <f t="shared" ca="1" si="21"/>
        <v>0</v>
      </c>
      <c r="AH23" s="703">
        <f t="shared" ca="1" si="21"/>
        <v>0</v>
      </c>
      <c r="AI23" s="703">
        <f t="shared" ca="1" si="21"/>
        <v>0</v>
      </c>
      <c r="AJ23" s="703">
        <f t="shared" ca="1" si="21"/>
        <v>0</v>
      </c>
      <c r="AK23" s="703">
        <f t="shared" ca="1" si="21"/>
        <v>0</v>
      </c>
      <c r="AL23" s="703">
        <f t="shared" ca="1" si="21"/>
        <v>0</v>
      </c>
      <c r="AM23" s="703">
        <f t="shared" ca="1" si="21"/>
        <v>0</v>
      </c>
      <c r="AN23" s="703">
        <f t="shared" ca="1" si="21"/>
        <v>0</v>
      </c>
      <c r="AO23" s="703">
        <f t="shared" ca="1" si="21"/>
        <v>0</v>
      </c>
      <c r="AP23" s="703">
        <f t="shared" ca="1" si="21"/>
        <v>0</v>
      </c>
      <c r="AQ23" s="703">
        <f t="shared" ca="1" si="21"/>
        <v>0</v>
      </c>
      <c r="AR23" s="703">
        <f t="shared" ca="1" si="21"/>
        <v>0</v>
      </c>
      <c r="AS23" s="703">
        <f t="shared" ca="1" si="21"/>
        <v>0</v>
      </c>
      <c r="AT23" s="703">
        <f ca="1">AS26</f>
        <v>0</v>
      </c>
      <c r="AU23" s="703">
        <f ca="1">AT26</f>
        <v>0</v>
      </c>
      <c r="AV23" s="703">
        <f t="shared" ref="AV23:DG23" ca="1" si="22">AU26</f>
        <v>0</v>
      </c>
      <c r="AW23" s="703">
        <f t="shared" ca="1" si="22"/>
        <v>0</v>
      </c>
      <c r="AX23" s="703">
        <f t="shared" ca="1" si="22"/>
        <v>0</v>
      </c>
      <c r="AY23" s="703">
        <f t="shared" ca="1" si="22"/>
        <v>0</v>
      </c>
      <c r="AZ23" s="703">
        <f t="shared" ca="1" si="22"/>
        <v>0</v>
      </c>
      <c r="BA23" s="703">
        <f t="shared" ca="1" si="22"/>
        <v>0</v>
      </c>
      <c r="BB23" s="703">
        <f t="shared" ca="1" si="22"/>
        <v>0</v>
      </c>
      <c r="BC23" s="703">
        <f t="shared" ca="1" si="22"/>
        <v>0</v>
      </c>
      <c r="BD23" s="703">
        <f t="shared" ca="1" si="22"/>
        <v>0</v>
      </c>
      <c r="BE23" s="703">
        <f t="shared" ca="1" si="22"/>
        <v>0</v>
      </c>
      <c r="BF23" s="703">
        <f t="shared" ca="1" si="22"/>
        <v>0</v>
      </c>
      <c r="BG23" s="703">
        <f t="shared" ca="1" si="22"/>
        <v>0</v>
      </c>
      <c r="BH23" s="703">
        <f t="shared" ca="1" si="22"/>
        <v>0</v>
      </c>
      <c r="BI23" s="703">
        <f t="shared" ca="1" si="22"/>
        <v>0</v>
      </c>
      <c r="BJ23" s="703">
        <f t="shared" ca="1" si="22"/>
        <v>0</v>
      </c>
      <c r="BK23" s="703">
        <f t="shared" ca="1" si="22"/>
        <v>0</v>
      </c>
      <c r="BL23" s="703">
        <f t="shared" ca="1" si="22"/>
        <v>0</v>
      </c>
      <c r="BM23" s="703">
        <f t="shared" ca="1" si="22"/>
        <v>0</v>
      </c>
      <c r="BN23" s="703">
        <f t="shared" ca="1" si="22"/>
        <v>0</v>
      </c>
      <c r="BO23" s="703">
        <f t="shared" ca="1" si="22"/>
        <v>0</v>
      </c>
      <c r="BP23" s="703">
        <f t="shared" ca="1" si="22"/>
        <v>0</v>
      </c>
      <c r="BQ23" s="703">
        <f t="shared" ca="1" si="22"/>
        <v>0</v>
      </c>
      <c r="BR23" s="703">
        <f t="shared" ca="1" si="22"/>
        <v>0</v>
      </c>
      <c r="BS23" s="703">
        <f t="shared" ca="1" si="22"/>
        <v>0</v>
      </c>
      <c r="BT23" s="703">
        <f t="shared" ca="1" si="22"/>
        <v>0</v>
      </c>
      <c r="BU23" s="703">
        <f t="shared" ca="1" si="22"/>
        <v>0</v>
      </c>
      <c r="BV23" s="703">
        <f t="shared" ca="1" si="22"/>
        <v>0</v>
      </c>
      <c r="BW23" s="703">
        <f t="shared" ca="1" si="22"/>
        <v>0</v>
      </c>
      <c r="BX23" s="703">
        <f t="shared" ca="1" si="22"/>
        <v>0</v>
      </c>
      <c r="BY23" s="703">
        <f t="shared" ca="1" si="22"/>
        <v>0</v>
      </c>
      <c r="BZ23" s="703">
        <f t="shared" ca="1" si="22"/>
        <v>0</v>
      </c>
      <c r="CA23" s="703">
        <f t="shared" ca="1" si="22"/>
        <v>0</v>
      </c>
      <c r="CB23" s="703">
        <f t="shared" ca="1" si="22"/>
        <v>0</v>
      </c>
      <c r="CC23" s="703">
        <f t="shared" ca="1" si="22"/>
        <v>0</v>
      </c>
      <c r="CD23" s="703">
        <f t="shared" ca="1" si="22"/>
        <v>0</v>
      </c>
      <c r="CE23" s="703">
        <f t="shared" ca="1" si="22"/>
        <v>0</v>
      </c>
      <c r="CF23" s="703">
        <f t="shared" ca="1" si="22"/>
        <v>0</v>
      </c>
      <c r="CG23" s="703">
        <f t="shared" ca="1" si="22"/>
        <v>0</v>
      </c>
      <c r="CH23" s="703">
        <f t="shared" ca="1" si="22"/>
        <v>0</v>
      </c>
      <c r="CI23" s="703">
        <f t="shared" ca="1" si="22"/>
        <v>0</v>
      </c>
      <c r="CJ23" s="703">
        <f t="shared" ca="1" si="22"/>
        <v>0</v>
      </c>
      <c r="CK23" s="703">
        <f t="shared" ca="1" si="22"/>
        <v>0</v>
      </c>
      <c r="CL23" s="703">
        <f t="shared" ca="1" si="22"/>
        <v>0</v>
      </c>
      <c r="CM23" s="703">
        <f t="shared" ca="1" si="22"/>
        <v>0</v>
      </c>
      <c r="CN23" s="703">
        <f t="shared" ca="1" si="22"/>
        <v>0</v>
      </c>
      <c r="CO23" s="703">
        <f t="shared" ca="1" si="22"/>
        <v>0</v>
      </c>
      <c r="CP23" s="703">
        <f t="shared" ca="1" si="22"/>
        <v>0</v>
      </c>
      <c r="CQ23" s="703">
        <f t="shared" ca="1" si="22"/>
        <v>0</v>
      </c>
      <c r="CR23" s="703">
        <f t="shared" ca="1" si="22"/>
        <v>0</v>
      </c>
      <c r="CS23" s="703">
        <f t="shared" ca="1" si="22"/>
        <v>0</v>
      </c>
      <c r="CT23" s="703">
        <f t="shared" ca="1" si="22"/>
        <v>0</v>
      </c>
      <c r="CU23" s="703">
        <f t="shared" ca="1" si="22"/>
        <v>0</v>
      </c>
      <c r="CV23" s="703">
        <f t="shared" ca="1" si="22"/>
        <v>0</v>
      </c>
      <c r="CW23" s="703">
        <f t="shared" ca="1" si="22"/>
        <v>0</v>
      </c>
      <c r="CX23" s="703">
        <f t="shared" ca="1" si="22"/>
        <v>0</v>
      </c>
      <c r="CY23" s="703">
        <f t="shared" ca="1" si="22"/>
        <v>0</v>
      </c>
      <c r="CZ23" s="703">
        <f t="shared" ca="1" si="22"/>
        <v>0</v>
      </c>
      <c r="DA23" s="703">
        <f t="shared" ca="1" si="22"/>
        <v>0</v>
      </c>
      <c r="DB23" s="703">
        <f t="shared" ca="1" si="22"/>
        <v>0</v>
      </c>
      <c r="DC23" s="703">
        <f t="shared" ca="1" si="22"/>
        <v>0</v>
      </c>
      <c r="DD23" s="703">
        <f t="shared" ca="1" si="22"/>
        <v>0</v>
      </c>
      <c r="DE23" s="703">
        <f t="shared" ca="1" si="22"/>
        <v>0</v>
      </c>
      <c r="DF23" s="703">
        <f t="shared" ca="1" si="22"/>
        <v>0</v>
      </c>
      <c r="DG23" s="703">
        <f t="shared" ca="1" si="22"/>
        <v>0</v>
      </c>
      <c r="DH23" s="703">
        <f t="shared" ref="DH23:EA23" ca="1" si="23">DG26</f>
        <v>0</v>
      </c>
      <c r="DI23" s="703">
        <f t="shared" ca="1" si="23"/>
        <v>0</v>
      </c>
      <c r="DJ23" s="703">
        <f t="shared" ca="1" si="23"/>
        <v>0</v>
      </c>
      <c r="DK23" s="703">
        <f t="shared" ca="1" si="23"/>
        <v>0</v>
      </c>
      <c r="DL23" s="703">
        <f t="shared" ca="1" si="23"/>
        <v>0</v>
      </c>
      <c r="DM23" s="703">
        <f t="shared" ca="1" si="23"/>
        <v>0</v>
      </c>
      <c r="DN23" s="703">
        <f t="shared" ca="1" si="23"/>
        <v>0</v>
      </c>
      <c r="DO23" s="703">
        <f t="shared" ca="1" si="23"/>
        <v>0</v>
      </c>
      <c r="DP23" s="703">
        <f t="shared" ca="1" si="23"/>
        <v>0</v>
      </c>
      <c r="DQ23" s="703">
        <f t="shared" ca="1" si="23"/>
        <v>0</v>
      </c>
      <c r="DR23" s="703">
        <f t="shared" ca="1" si="23"/>
        <v>0</v>
      </c>
      <c r="DS23" s="703">
        <f t="shared" ca="1" si="23"/>
        <v>0</v>
      </c>
      <c r="DT23" s="703">
        <f t="shared" ca="1" si="23"/>
        <v>0</v>
      </c>
      <c r="DU23" s="703">
        <f t="shared" ca="1" si="23"/>
        <v>0</v>
      </c>
      <c r="DV23" s="703">
        <f t="shared" ca="1" si="23"/>
        <v>0</v>
      </c>
      <c r="DW23" s="703">
        <f t="shared" ca="1" si="23"/>
        <v>0</v>
      </c>
      <c r="DX23" s="703">
        <f t="shared" ca="1" si="23"/>
        <v>0</v>
      </c>
      <c r="DY23" s="703">
        <f t="shared" ca="1" si="23"/>
        <v>0</v>
      </c>
      <c r="DZ23" s="703">
        <f t="shared" ca="1" si="23"/>
        <v>0</v>
      </c>
      <c r="EA23" s="703">
        <f t="shared" ca="1" si="23"/>
        <v>0</v>
      </c>
      <c r="EB23" s="389"/>
      <c r="EC23" s="392" t="s">
        <v>65</v>
      </c>
    </row>
    <row r="24" spans="1:133" s="390" customFormat="1">
      <c r="A24" s="389"/>
      <c r="B24" s="389"/>
      <c r="C24" s="389"/>
      <c r="D24" s="708" t="s">
        <v>137</v>
      </c>
      <c r="E24" s="389"/>
      <c r="F24" s="389"/>
      <c r="G24" s="389"/>
      <c r="H24" s="389"/>
      <c r="I24" s="795">
        <f t="shared" ref="I24:I25" ca="1" si="24">SUM(K24:EA24)</f>
        <v>0</v>
      </c>
      <c r="J24" s="389"/>
      <c r="K24" s="712"/>
      <c r="L24" s="712">
        <f>'Monthly-CF'!K116</f>
        <v>0</v>
      </c>
      <c r="M24" s="712">
        <f ca="1">'Monthly-CF'!L116</f>
        <v>0</v>
      </c>
      <c r="N24" s="712">
        <f>'Monthly-CF'!M116</f>
        <v>0</v>
      </c>
      <c r="O24" s="712">
        <f>'Monthly-CF'!N116</f>
        <v>0</v>
      </c>
      <c r="P24" s="712">
        <f>'Monthly-CF'!O116</f>
        <v>0</v>
      </c>
      <c r="Q24" s="712">
        <f>'Monthly-CF'!P116</f>
        <v>0</v>
      </c>
      <c r="R24" s="712">
        <f>'Monthly-CF'!Q116</f>
        <v>0</v>
      </c>
      <c r="S24" s="712">
        <f>'Monthly-CF'!R116</f>
        <v>0</v>
      </c>
      <c r="T24" s="712">
        <f>'Monthly-CF'!S116</f>
        <v>0</v>
      </c>
      <c r="U24" s="712">
        <f>'Monthly-CF'!T116</f>
        <v>0</v>
      </c>
      <c r="V24" s="712">
        <f>'Monthly-CF'!U116</f>
        <v>0</v>
      </c>
      <c r="W24" s="712">
        <f>'Monthly-CF'!V116</f>
        <v>0</v>
      </c>
      <c r="X24" s="712">
        <f>'Monthly-CF'!W116</f>
        <v>0</v>
      </c>
      <c r="Y24" s="712">
        <f>'Monthly-CF'!X116</f>
        <v>0</v>
      </c>
      <c r="Z24" s="712">
        <f>'Monthly-CF'!Y116</f>
        <v>0</v>
      </c>
      <c r="AA24" s="712">
        <f>'Monthly-CF'!Z116</f>
        <v>0</v>
      </c>
      <c r="AB24" s="712">
        <f>'Monthly-CF'!AA116</f>
        <v>0</v>
      </c>
      <c r="AC24" s="712">
        <f>'Monthly-CF'!AB116</f>
        <v>0</v>
      </c>
      <c r="AD24" s="712">
        <f>'Monthly-CF'!AC116</f>
        <v>0</v>
      </c>
      <c r="AE24" s="712">
        <f>'Monthly-CF'!AD116</f>
        <v>0</v>
      </c>
      <c r="AF24" s="712">
        <f>'Monthly-CF'!AE116</f>
        <v>0</v>
      </c>
      <c r="AG24" s="712">
        <f>'Monthly-CF'!AF116</f>
        <v>0</v>
      </c>
      <c r="AH24" s="712">
        <f>'Monthly-CF'!AG116</f>
        <v>0</v>
      </c>
      <c r="AI24" s="712">
        <f>'Monthly-CF'!AH116</f>
        <v>0</v>
      </c>
      <c r="AJ24" s="712">
        <f>'Monthly-CF'!AI116</f>
        <v>0</v>
      </c>
      <c r="AK24" s="712">
        <f>'Monthly-CF'!AJ116</f>
        <v>0</v>
      </c>
      <c r="AL24" s="712">
        <f>'Monthly-CF'!AK116</f>
        <v>0</v>
      </c>
      <c r="AM24" s="712">
        <f>'Monthly-CF'!AL116</f>
        <v>0</v>
      </c>
      <c r="AN24" s="712">
        <f>'Monthly-CF'!AM116</f>
        <v>0</v>
      </c>
      <c r="AO24" s="712">
        <f>'Monthly-CF'!AN116</f>
        <v>0</v>
      </c>
      <c r="AP24" s="712">
        <f>'Monthly-CF'!AO116</f>
        <v>0</v>
      </c>
      <c r="AQ24" s="712">
        <f>'Monthly-CF'!AP116</f>
        <v>0</v>
      </c>
      <c r="AR24" s="712">
        <f>'Monthly-CF'!AQ116</f>
        <v>0</v>
      </c>
      <c r="AS24" s="712">
        <f>'Monthly-CF'!AR116</f>
        <v>0</v>
      </c>
      <c r="AT24" s="712">
        <f>'Monthly-CF'!AS116</f>
        <v>0</v>
      </c>
      <c r="AU24" s="712">
        <f>'Monthly-CF'!AT116</f>
        <v>0</v>
      </c>
      <c r="AV24" s="712">
        <f>'Monthly-CF'!AU116</f>
        <v>0</v>
      </c>
      <c r="AW24" s="712">
        <f>'Monthly-CF'!AV116</f>
        <v>0</v>
      </c>
      <c r="AX24" s="712">
        <f>'Monthly-CF'!AW116</f>
        <v>0</v>
      </c>
      <c r="AY24" s="712">
        <f>'Monthly-CF'!AX116</f>
        <v>0</v>
      </c>
      <c r="AZ24" s="712">
        <f>'Monthly-CF'!AY116</f>
        <v>0</v>
      </c>
      <c r="BA24" s="712">
        <f>'Monthly-CF'!AZ116</f>
        <v>0</v>
      </c>
      <c r="BB24" s="712">
        <f>'Monthly-CF'!BA116</f>
        <v>0</v>
      </c>
      <c r="BC24" s="712">
        <f>'Monthly-CF'!BB116</f>
        <v>0</v>
      </c>
      <c r="BD24" s="712">
        <f>'Monthly-CF'!BC116</f>
        <v>0</v>
      </c>
      <c r="BE24" s="712">
        <f>'Monthly-CF'!BD116</f>
        <v>0</v>
      </c>
      <c r="BF24" s="712">
        <f>'Monthly-CF'!BE116</f>
        <v>0</v>
      </c>
      <c r="BG24" s="712">
        <f>'Monthly-CF'!BF116</f>
        <v>0</v>
      </c>
      <c r="BH24" s="712">
        <f>'Monthly-CF'!BG116</f>
        <v>0</v>
      </c>
      <c r="BI24" s="712">
        <f>'Monthly-CF'!BH116</f>
        <v>0</v>
      </c>
      <c r="BJ24" s="712">
        <f>'Monthly-CF'!BI116</f>
        <v>0</v>
      </c>
      <c r="BK24" s="712">
        <f>'Monthly-CF'!BJ116</f>
        <v>0</v>
      </c>
      <c r="BL24" s="712">
        <f>'Monthly-CF'!BK116</f>
        <v>0</v>
      </c>
      <c r="BM24" s="712">
        <f>'Monthly-CF'!BL116</f>
        <v>0</v>
      </c>
      <c r="BN24" s="712">
        <f>'Monthly-CF'!BM116</f>
        <v>0</v>
      </c>
      <c r="BO24" s="712">
        <f>'Monthly-CF'!BN116</f>
        <v>0</v>
      </c>
      <c r="BP24" s="712">
        <f>'Monthly-CF'!BO116</f>
        <v>0</v>
      </c>
      <c r="BQ24" s="712">
        <f>'Monthly-CF'!BP116</f>
        <v>0</v>
      </c>
      <c r="BR24" s="712">
        <f>'Monthly-CF'!BQ116</f>
        <v>0</v>
      </c>
      <c r="BS24" s="712">
        <f>'Monthly-CF'!BR116</f>
        <v>0</v>
      </c>
      <c r="BT24" s="712">
        <f>'Monthly-CF'!BS116</f>
        <v>0</v>
      </c>
      <c r="BU24" s="712">
        <f>'Monthly-CF'!BT116</f>
        <v>0</v>
      </c>
      <c r="BV24" s="712">
        <f>'Monthly-CF'!BU116</f>
        <v>0</v>
      </c>
      <c r="BW24" s="712">
        <f>'Monthly-CF'!BV116</f>
        <v>0</v>
      </c>
      <c r="BX24" s="712">
        <f>'Monthly-CF'!BW116</f>
        <v>0</v>
      </c>
      <c r="BY24" s="712">
        <f>'Monthly-CF'!BX116</f>
        <v>0</v>
      </c>
      <c r="BZ24" s="712">
        <f>'Monthly-CF'!BY116</f>
        <v>0</v>
      </c>
      <c r="CA24" s="712">
        <f>'Monthly-CF'!BZ116</f>
        <v>0</v>
      </c>
      <c r="CB24" s="712">
        <f>'Monthly-CF'!CA116</f>
        <v>0</v>
      </c>
      <c r="CC24" s="712">
        <f>'Monthly-CF'!CB116</f>
        <v>0</v>
      </c>
      <c r="CD24" s="712">
        <f>'Monthly-CF'!CC116</f>
        <v>0</v>
      </c>
      <c r="CE24" s="712">
        <f>'Monthly-CF'!CD116</f>
        <v>0</v>
      </c>
      <c r="CF24" s="712">
        <f>'Monthly-CF'!CE116</f>
        <v>0</v>
      </c>
      <c r="CG24" s="712">
        <f>'Monthly-CF'!CF116</f>
        <v>0</v>
      </c>
      <c r="CH24" s="712">
        <f>'Monthly-CF'!CG116</f>
        <v>0</v>
      </c>
      <c r="CI24" s="712">
        <f>'Monthly-CF'!CH116</f>
        <v>0</v>
      </c>
      <c r="CJ24" s="712">
        <f>'Monthly-CF'!CI116</f>
        <v>0</v>
      </c>
      <c r="CK24" s="712">
        <f>'Monthly-CF'!CJ116</f>
        <v>0</v>
      </c>
      <c r="CL24" s="712">
        <f>'Monthly-CF'!CK116</f>
        <v>0</v>
      </c>
      <c r="CM24" s="712">
        <f>'Monthly-CF'!CL116</f>
        <v>0</v>
      </c>
      <c r="CN24" s="712">
        <f>'Monthly-CF'!CM116</f>
        <v>0</v>
      </c>
      <c r="CO24" s="712">
        <f>'Monthly-CF'!CN116</f>
        <v>0</v>
      </c>
      <c r="CP24" s="712">
        <f>'Monthly-CF'!CO116</f>
        <v>0</v>
      </c>
      <c r="CQ24" s="712">
        <f>'Monthly-CF'!CP116</f>
        <v>0</v>
      </c>
      <c r="CR24" s="712">
        <f>'Monthly-CF'!CQ116</f>
        <v>0</v>
      </c>
      <c r="CS24" s="712">
        <f>'Monthly-CF'!CR116</f>
        <v>0</v>
      </c>
      <c r="CT24" s="712">
        <f>'Monthly-CF'!CS116</f>
        <v>0</v>
      </c>
      <c r="CU24" s="712">
        <f>'Monthly-CF'!CT116</f>
        <v>0</v>
      </c>
      <c r="CV24" s="712">
        <f>'Monthly-CF'!CU116</f>
        <v>0</v>
      </c>
      <c r="CW24" s="712">
        <f>'Monthly-CF'!CV116</f>
        <v>0</v>
      </c>
      <c r="CX24" s="712">
        <f>'Monthly-CF'!CW116</f>
        <v>0</v>
      </c>
      <c r="CY24" s="712">
        <f>'Monthly-CF'!CX116</f>
        <v>0</v>
      </c>
      <c r="CZ24" s="712">
        <f>'Monthly-CF'!CY116</f>
        <v>0</v>
      </c>
      <c r="DA24" s="712">
        <f>'Monthly-CF'!CZ116</f>
        <v>0</v>
      </c>
      <c r="DB24" s="712">
        <f>'Monthly-CF'!DA116</f>
        <v>0</v>
      </c>
      <c r="DC24" s="712">
        <f>'Monthly-CF'!DB116</f>
        <v>0</v>
      </c>
      <c r="DD24" s="712">
        <f>'Monthly-CF'!DC116</f>
        <v>0</v>
      </c>
      <c r="DE24" s="712">
        <f>'Monthly-CF'!DD116</f>
        <v>0</v>
      </c>
      <c r="DF24" s="712">
        <f>'Monthly-CF'!DE116</f>
        <v>0</v>
      </c>
      <c r="DG24" s="712">
        <f>'Monthly-CF'!DF116</f>
        <v>0</v>
      </c>
      <c r="DH24" s="712">
        <f>'Monthly-CF'!DG116</f>
        <v>0</v>
      </c>
      <c r="DI24" s="712">
        <f>'Monthly-CF'!DH116</f>
        <v>0</v>
      </c>
      <c r="DJ24" s="712">
        <f>'Monthly-CF'!DI116</f>
        <v>0</v>
      </c>
      <c r="DK24" s="712">
        <f>'Monthly-CF'!DJ116</f>
        <v>0</v>
      </c>
      <c r="DL24" s="712">
        <f>'Monthly-CF'!DK116</f>
        <v>0</v>
      </c>
      <c r="DM24" s="712">
        <f>'Monthly-CF'!DL116</f>
        <v>0</v>
      </c>
      <c r="DN24" s="712">
        <f>'Monthly-CF'!DM116</f>
        <v>0</v>
      </c>
      <c r="DO24" s="712">
        <f>'Monthly-CF'!DN116</f>
        <v>0</v>
      </c>
      <c r="DP24" s="712">
        <f>'Monthly-CF'!DO116</f>
        <v>0</v>
      </c>
      <c r="DQ24" s="712">
        <f>'Monthly-CF'!DP116</f>
        <v>0</v>
      </c>
      <c r="DR24" s="712">
        <f>'Monthly-CF'!DQ116</f>
        <v>0</v>
      </c>
      <c r="DS24" s="712">
        <f>'Monthly-CF'!DR116</f>
        <v>0</v>
      </c>
      <c r="DT24" s="712">
        <f>'Monthly-CF'!DS116</f>
        <v>0</v>
      </c>
      <c r="DU24" s="712">
        <f>'Monthly-CF'!DT116</f>
        <v>0</v>
      </c>
      <c r="DV24" s="712">
        <f>'Monthly-CF'!DU116</f>
        <v>0</v>
      </c>
      <c r="DW24" s="712">
        <f>'Monthly-CF'!DV116</f>
        <v>0</v>
      </c>
      <c r="DX24" s="712">
        <f>'Monthly-CF'!DW116</f>
        <v>0</v>
      </c>
      <c r="DY24" s="712">
        <f>'Monthly-CF'!DX116</f>
        <v>0</v>
      </c>
      <c r="DZ24" s="712">
        <f>'Monthly-CF'!DY116</f>
        <v>0</v>
      </c>
      <c r="EA24" s="712">
        <f>'Monthly-CF'!DZ116</f>
        <v>0</v>
      </c>
      <c r="EB24" s="389"/>
      <c r="EC24" s="392" t="s">
        <v>65</v>
      </c>
    </row>
    <row r="25" spans="1:133" s="390" customFormat="1">
      <c r="A25" s="389"/>
      <c r="B25" s="389"/>
      <c r="C25" s="389"/>
      <c r="D25" s="708" t="s">
        <v>82</v>
      </c>
      <c r="E25" s="389"/>
      <c r="F25" s="389"/>
      <c r="G25" s="389"/>
      <c r="H25" s="389"/>
      <c r="I25" s="795">
        <f t="shared" ca="1" si="24"/>
        <v>0</v>
      </c>
      <c r="J25" s="389"/>
      <c r="K25" s="712"/>
      <c r="L25" s="712">
        <f>'Monthly-CF'!K117</f>
        <v>0</v>
      </c>
      <c r="M25" s="712">
        <f>'Monthly-CF'!L117</f>
        <v>0</v>
      </c>
      <c r="N25" s="712">
        <f>'Monthly-CF'!M117</f>
        <v>0</v>
      </c>
      <c r="O25" s="712">
        <f>'Monthly-CF'!N117</f>
        <v>0</v>
      </c>
      <c r="P25" s="712">
        <f>'Monthly-CF'!O117</f>
        <v>0</v>
      </c>
      <c r="Q25" s="712">
        <f>'Monthly-CF'!P117</f>
        <v>0</v>
      </c>
      <c r="R25" s="712">
        <f>'Monthly-CF'!Q117</f>
        <v>0</v>
      </c>
      <c r="S25" s="712">
        <f>'Monthly-CF'!R117</f>
        <v>0</v>
      </c>
      <c r="T25" s="712">
        <f>'Monthly-CF'!S117</f>
        <v>0</v>
      </c>
      <c r="U25" s="712">
        <f>'Monthly-CF'!T117</f>
        <v>0</v>
      </c>
      <c r="V25" s="712">
        <f>'Monthly-CF'!U117</f>
        <v>0</v>
      </c>
      <c r="W25" s="712">
        <f>'Monthly-CF'!V117</f>
        <v>0</v>
      </c>
      <c r="X25" s="712">
        <f>'Monthly-CF'!W117</f>
        <v>0</v>
      </c>
      <c r="Y25" s="712">
        <f>'Monthly-CF'!X117</f>
        <v>0</v>
      </c>
      <c r="Z25" s="712">
        <f>'Monthly-CF'!Y117</f>
        <v>0</v>
      </c>
      <c r="AA25" s="712">
        <f>'Monthly-CF'!Z117</f>
        <v>0</v>
      </c>
      <c r="AB25" s="712">
        <f>'Monthly-CF'!AA117</f>
        <v>0</v>
      </c>
      <c r="AC25" s="712">
        <f>'Monthly-CF'!AB117</f>
        <v>0</v>
      </c>
      <c r="AD25" s="712">
        <f>'Monthly-CF'!AC117</f>
        <v>0</v>
      </c>
      <c r="AE25" s="712">
        <f>'Monthly-CF'!AD117</f>
        <v>0</v>
      </c>
      <c r="AF25" s="712">
        <f>'Monthly-CF'!AE117</f>
        <v>0</v>
      </c>
      <c r="AG25" s="712">
        <f>'Monthly-CF'!AF117</f>
        <v>0</v>
      </c>
      <c r="AH25" s="712">
        <f>'Monthly-CF'!AG117</f>
        <v>0</v>
      </c>
      <c r="AI25" s="712">
        <f>'Monthly-CF'!AH117</f>
        <v>0</v>
      </c>
      <c r="AJ25" s="712">
        <f>'Monthly-CF'!AI117</f>
        <v>0</v>
      </c>
      <c r="AK25" s="712">
        <f>'Monthly-CF'!AJ117</f>
        <v>0</v>
      </c>
      <c r="AL25" s="712">
        <f ca="1">'Monthly-CF'!AK117</f>
        <v>0</v>
      </c>
      <c r="AM25" s="712">
        <f>'Monthly-CF'!AL117</f>
        <v>0</v>
      </c>
      <c r="AN25" s="712">
        <f>'Monthly-CF'!AM117</f>
        <v>0</v>
      </c>
      <c r="AO25" s="712">
        <f>'Monthly-CF'!AN117</f>
        <v>0</v>
      </c>
      <c r="AP25" s="712">
        <f>'Monthly-CF'!AO117</f>
        <v>0</v>
      </c>
      <c r="AQ25" s="712">
        <f>'Monthly-CF'!AP117</f>
        <v>0</v>
      </c>
      <c r="AR25" s="712">
        <f>'Monthly-CF'!AQ117</f>
        <v>0</v>
      </c>
      <c r="AS25" s="712">
        <f>'Monthly-CF'!AR117</f>
        <v>0</v>
      </c>
      <c r="AT25" s="712">
        <f>'Monthly-CF'!AS117</f>
        <v>0</v>
      </c>
      <c r="AU25" s="712">
        <f>'Monthly-CF'!AT117</f>
        <v>0</v>
      </c>
      <c r="AV25" s="712">
        <f>'Monthly-CF'!AU117</f>
        <v>0</v>
      </c>
      <c r="AW25" s="712">
        <f>'Monthly-CF'!AV117</f>
        <v>0</v>
      </c>
      <c r="AX25" s="712">
        <f>'Monthly-CF'!AW117</f>
        <v>0</v>
      </c>
      <c r="AY25" s="712">
        <f>'Monthly-CF'!AX117</f>
        <v>0</v>
      </c>
      <c r="AZ25" s="712">
        <f>'Monthly-CF'!AY117</f>
        <v>0</v>
      </c>
      <c r="BA25" s="712">
        <f>'Monthly-CF'!AZ117</f>
        <v>0</v>
      </c>
      <c r="BB25" s="712">
        <f>'Monthly-CF'!BA117</f>
        <v>0</v>
      </c>
      <c r="BC25" s="712">
        <f>'Monthly-CF'!BB117</f>
        <v>0</v>
      </c>
      <c r="BD25" s="712">
        <f>'Monthly-CF'!BC117</f>
        <v>0</v>
      </c>
      <c r="BE25" s="712">
        <f>'Monthly-CF'!BD117</f>
        <v>0</v>
      </c>
      <c r="BF25" s="712">
        <f>'Monthly-CF'!BE117</f>
        <v>0</v>
      </c>
      <c r="BG25" s="712">
        <f>'Monthly-CF'!BF117</f>
        <v>0</v>
      </c>
      <c r="BH25" s="712">
        <f>'Monthly-CF'!BG117</f>
        <v>0</v>
      </c>
      <c r="BI25" s="712">
        <f>'Monthly-CF'!BH117</f>
        <v>0</v>
      </c>
      <c r="BJ25" s="712">
        <f>'Monthly-CF'!BI117</f>
        <v>0</v>
      </c>
      <c r="BK25" s="712">
        <f>'Monthly-CF'!BJ117</f>
        <v>0</v>
      </c>
      <c r="BL25" s="712">
        <f>'Monthly-CF'!BK117</f>
        <v>0</v>
      </c>
      <c r="BM25" s="712">
        <f>'Monthly-CF'!BL117</f>
        <v>0</v>
      </c>
      <c r="BN25" s="712">
        <f>'Monthly-CF'!BM117</f>
        <v>0</v>
      </c>
      <c r="BO25" s="712">
        <f>'Monthly-CF'!BN117</f>
        <v>0</v>
      </c>
      <c r="BP25" s="712">
        <f>'Monthly-CF'!BO117</f>
        <v>0</v>
      </c>
      <c r="BQ25" s="712">
        <f>'Monthly-CF'!BP117</f>
        <v>0</v>
      </c>
      <c r="BR25" s="712">
        <f>'Monthly-CF'!BQ117</f>
        <v>0</v>
      </c>
      <c r="BS25" s="712">
        <f>'Monthly-CF'!BR117</f>
        <v>0</v>
      </c>
      <c r="BT25" s="712">
        <f>'Monthly-CF'!BS117</f>
        <v>0</v>
      </c>
      <c r="BU25" s="712">
        <f>'Monthly-CF'!BT117</f>
        <v>0</v>
      </c>
      <c r="BV25" s="712">
        <f>'Monthly-CF'!BU117</f>
        <v>0</v>
      </c>
      <c r="BW25" s="712">
        <f>'Monthly-CF'!BV117</f>
        <v>0</v>
      </c>
      <c r="BX25" s="712">
        <f>'Monthly-CF'!BW117</f>
        <v>0</v>
      </c>
      <c r="BY25" s="712">
        <f>'Monthly-CF'!BX117</f>
        <v>0</v>
      </c>
      <c r="BZ25" s="712">
        <f>'Monthly-CF'!BY117</f>
        <v>0</v>
      </c>
      <c r="CA25" s="712">
        <f>'Monthly-CF'!BZ117</f>
        <v>0</v>
      </c>
      <c r="CB25" s="712">
        <f>'Monthly-CF'!CA117</f>
        <v>0</v>
      </c>
      <c r="CC25" s="712">
        <f>'Monthly-CF'!CB117</f>
        <v>0</v>
      </c>
      <c r="CD25" s="712">
        <f>'Monthly-CF'!CC117</f>
        <v>0</v>
      </c>
      <c r="CE25" s="712">
        <f>'Monthly-CF'!CD117</f>
        <v>0</v>
      </c>
      <c r="CF25" s="712">
        <f>'Monthly-CF'!CE117</f>
        <v>0</v>
      </c>
      <c r="CG25" s="712">
        <f>'Monthly-CF'!CF117</f>
        <v>0</v>
      </c>
      <c r="CH25" s="712">
        <f>'Monthly-CF'!CG117</f>
        <v>0</v>
      </c>
      <c r="CI25" s="712">
        <f>'Monthly-CF'!CH117</f>
        <v>0</v>
      </c>
      <c r="CJ25" s="712">
        <f>'Monthly-CF'!CI117</f>
        <v>0</v>
      </c>
      <c r="CK25" s="712">
        <f>'Monthly-CF'!CJ117</f>
        <v>0</v>
      </c>
      <c r="CL25" s="712">
        <f>'Monthly-CF'!CK117</f>
        <v>0</v>
      </c>
      <c r="CM25" s="712">
        <f>'Monthly-CF'!CL117</f>
        <v>0</v>
      </c>
      <c r="CN25" s="712">
        <f>'Monthly-CF'!CM117</f>
        <v>0</v>
      </c>
      <c r="CO25" s="712">
        <f>'Monthly-CF'!CN117</f>
        <v>0</v>
      </c>
      <c r="CP25" s="712">
        <f>'Monthly-CF'!CO117</f>
        <v>0</v>
      </c>
      <c r="CQ25" s="712">
        <f>'Monthly-CF'!CP117</f>
        <v>0</v>
      </c>
      <c r="CR25" s="712">
        <f>'Monthly-CF'!CQ117</f>
        <v>0</v>
      </c>
      <c r="CS25" s="712">
        <f>'Monthly-CF'!CR117</f>
        <v>0</v>
      </c>
      <c r="CT25" s="712">
        <f>'Monthly-CF'!CS117</f>
        <v>0</v>
      </c>
      <c r="CU25" s="712">
        <f>'Monthly-CF'!CT117</f>
        <v>0</v>
      </c>
      <c r="CV25" s="712">
        <f>'Monthly-CF'!CU117</f>
        <v>0</v>
      </c>
      <c r="CW25" s="712">
        <f>'Monthly-CF'!CV117</f>
        <v>0</v>
      </c>
      <c r="CX25" s="712">
        <f>'Monthly-CF'!CW117</f>
        <v>0</v>
      </c>
      <c r="CY25" s="712">
        <f>'Monthly-CF'!CX117</f>
        <v>0</v>
      </c>
      <c r="CZ25" s="712">
        <f>'Monthly-CF'!CY117</f>
        <v>0</v>
      </c>
      <c r="DA25" s="712">
        <f>'Monthly-CF'!CZ117</f>
        <v>0</v>
      </c>
      <c r="DB25" s="712">
        <f>'Monthly-CF'!DA117</f>
        <v>0</v>
      </c>
      <c r="DC25" s="712">
        <f>'Monthly-CF'!DB117</f>
        <v>0</v>
      </c>
      <c r="DD25" s="712">
        <f>'Monthly-CF'!DC117</f>
        <v>0</v>
      </c>
      <c r="DE25" s="712">
        <f>'Monthly-CF'!DD117</f>
        <v>0</v>
      </c>
      <c r="DF25" s="712">
        <f>'Monthly-CF'!DE117</f>
        <v>0</v>
      </c>
      <c r="DG25" s="712">
        <f>'Monthly-CF'!DF117</f>
        <v>0</v>
      </c>
      <c r="DH25" s="712">
        <f>'Monthly-CF'!DG117</f>
        <v>0</v>
      </c>
      <c r="DI25" s="712">
        <f>'Monthly-CF'!DH117</f>
        <v>0</v>
      </c>
      <c r="DJ25" s="712">
        <f>'Monthly-CF'!DI117</f>
        <v>0</v>
      </c>
      <c r="DK25" s="712">
        <f>'Monthly-CF'!DJ117</f>
        <v>0</v>
      </c>
      <c r="DL25" s="712">
        <f>'Monthly-CF'!DK117</f>
        <v>0</v>
      </c>
      <c r="DM25" s="712">
        <f>'Monthly-CF'!DL117</f>
        <v>0</v>
      </c>
      <c r="DN25" s="712">
        <f>'Monthly-CF'!DM117</f>
        <v>0</v>
      </c>
      <c r="DO25" s="712">
        <f>'Monthly-CF'!DN117</f>
        <v>0</v>
      </c>
      <c r="DP25" s="712">
        <f>'Monthly-CF'!DO117</f>
        <v>0</v>
      </c>
      <c r="DQ25" s="712">
        <f>'Monthly-CF'!DP117</f>
        <v>0</v>
      </c>
      <c r="DR25" s="712">
        <f>'Monthly-CF'!DQ117</f>
        <v>0</v>
      </c>
      <c r="DS25" s="712">
        <f>'Monthly-CF'!DR117</f>
        <v>0</v>
      </c>
      <c r="DT25" s="712">
        <f>'Monthly-CF'!DS117</f>
        <v>0</v>
      </c>
      <c r="DU25" s="712">
        <f>'Monthly-CF'!DT117</f>
        <v>0</v>
      </c>
      <c r="DV25" s="712">
        <f>'Monthly-CF'!DU117</f>
        <v>0</v>
      </c>
      <c r="DW25" s="712">
        <f>'Monthly-CF'!DV117</f>
        <v>0</v>
      </c>
      <c r="DX25" s="712">
        <f>'Monthly-CF'!DW117</f>
        <v>0</v>
      </c>
      <c r="DY25" s="712">
        <f>'Monthly-CF'!DX117</f>
        <v>0</v>
      </c>
      <c r="DZ25" s="712">
        <f>'Monthly-CF'!DY117</f>
        <v>0</v>
      </c>
      <c r="EA25" s="712">
        <f>'Monthly-CF'!DZ117</f>
        <v>0</v>
      </c>
      <c r="EB25" s="389"/>
      <c r="EC25" s="392" t="s">
        <v>65</v>
      </c>
    </row>
    <row r="26" spans="1:133" s="390" customFormat="1" ht="15" customHeight="1">
      <c r="A26" s="389"/>
      <c r="B26" s="389"/>
      <c r="C26" s="389"/>
      <c r="D26" s="429" t="s">
        <v>134</v>
      </c>
      <c r="E26" s="411"/>
      <c r="F26" s="411"/>
      <c r="G26" s="411"/>
      <c r="H26" s="411"/>
      <c r="I26" s="797">
        <f t="shared" ref="I26:AR26" ca="1" si="25">I24+I23+I25</f>
        <v>0</v>
      </c>
      <c r="J26" s="389"/>
      <c r="K26" s="717"/>
      <c r="L26" s="717">
        <f t="shared" si="25"/>
        <v>0</v>
      </c>
      <c r="M26" s="717">
        <f t="shared" ca="1" si="25"/>
        <v>0</v>
      </c>
      <c r="N26" s="717">
        <f t="shared" ca="1" si="25"/>
        <v>0</v>
      </c>
      <c r="O26" s="411">
        <f t="shared" ca="1" si="25"/>
        <v>0</v>
      </c>
      <c r="P26" s="411">
        <f t="shared" ca="1" si="25"/>
        <v>0</v>
      </c>
      <c r="Q26" s="411">
        <f t="shared" ca="1" si="25"/>
        <v>0</v>
      </c>
      <c r="R26" s="411">
        <f t="shared" ca="1" si="25"/>
        <v>0</v>
      </c>
      <c r="S26" s="411">
        <f t="shared" ca="1" si="25"/>
        <v>0</v>
      </c>
      <c r="T26" s="411">
        <f t="shared" ca="1" si="25"/>
        <v>0</v>
      </c>
      <c r="U26" s="411">
        <f t="shared" ca="1" si="25"/>
        <v>0</v>
      </c>
      <c r="V26" s="411">
        <f t="shared" ca="1" si="25"/>
        <v>0</v>
      </c>
      <c r="W26" s="411">
        <f t="shared" ca="1" si="25"/>
        <v>0</v>
      </c>
      <c r="X26" s="411">
        <f t="shared" ca="1" si="25"/>
        <v>0</v>
      </c>
      <c r="Y26" s="411">
        <f t="shared" ca="1" si="25"/>
        <v>0</v>
      </c>
      <c r="Z26" s="411">
        <f t="shared" ca="1" si="25"/>
        <v>0</v>
      </c>
      <c r="AA26" s="411">
        <f t="shared" ca="1" si="25"/>
        <v>0</v>
      </c>
      <c r="AB26" s="411">
        <f t="shared" ca="1" si="25"/>
        <v>0</v>
      </c>
      <c r="AC26" s="411">
        <f t="shared" ca="1" si="25"/>
        <v>0</v>
      </c>
      <c r="AD26" s="411">
        <f t="shared" ca="1" si="25"/>
        <v>0</v>
      </c>
      <c r="AE26" s="411">
        <f t="shared" ca="1" si="25"/>
        <v>0</v>
      </c>
      <c r="AF26" s="411">
        <f t="shared" ca="1" si="25"/>
        <v>0</v>
      </c>
      <c r="AG26" s="411">
        <f t="shared" ca="1" si="25"/>
        <v>0</v>
      </c>
      <c r="AH26" s="411">
        <f t="shared" ca="1" si="25"/>
        <v>0</v>
      </c>
      <c r="AI26" s="411">
        <f t="shared" ca="1" si="25"/>
        <v>0</v>
      </c>
      <c r="AJ26" s="411">
        <f t="shared" ca="1" si="25"/>
        <v>0</v>
      </c>
      <c r="AK26" s="411">
        <f t="shared" ca="1" si="25"/>
        <v>0</v>
      </c>
      <c r="AL26" s="411">
        <f t="shared" ca="1" si="25"/>
        <v>0</v>
      </c>
      <c r="AM26" s="411">
        <f t="shared" ca="1" si="25"/>
        <v>0</v>
      </c>
      <c r="AN26" s="411">
        <f t="shared" ca="1" si="25"/>
        <v>0</v>
      </c>
      <c r="AO26" s="411">
        <f t="shared" ca="1" si="25"/>
        <v>0</v>
      </c>
      <c r="AP26" s="411">
        <f t="shared" ca="1" si="25"/>
        <v>0</v>
      </c>
      <c r="AQ26" s="411">
        <f t="shared" ca="1" si="25"/>
        <v>0</v>
      </c>
      <c r="AR26" s="411">
        <f t="shared" ca="1" si="25"/>
        <v>0</v>
      </c>
      <c r="AS26" s="411">
        <f ca="1">AS24+AS23+AS25</f>
        <v>0</v>
      </c>
      <c r="AT26" s="411">
        <f t="shared" ref="AT26:DE26" ca="1" si="26">AT24+AT23+AT25</f>
        <v>0</v>
      </c>
      <c r="AU26" s="411">
        <f t="shared" ca="1" si="26"/>
        <v>0</v>
      </c>
      <c r="AV26" s="411">
        <f t="shared" ca="1" si="26"/>
        <v>0</v>
      </c>
      <c r="AW26" s="411">
        <f t="shared" ca="1" si="26"/>
        <v>0</v>
      </c>
      <c r="AX26" s="411">
        <f t="shared" ca="1" si="26"/>
        <v>0</v>
      </c>
      <c r="AY26" s="411">
        <f t="shared" ca="1" si="26"/>
        <v>0</v>
      </c>
      <c r="AZ26" s="411">
        <f t="shared" ca="1" si="26"/>
        <v>0</v>
      </c>
      <c r="BA26" s="411">
        <f t="shared" ca="1" si="26"/>
        <v>0</v>
      </c>
      <c r="BB26" s="411">
        <f t="shared" ca="1" si="26"/>
        <v>0</v>
      </c>
      <c r="BC26" s="411">
        <f t="shared" ca="1" si="26"/>
        <v>0</v>
      </c>
      <c r="BD26" s="411">
        <f t="shared" ca="1" si="26"/>
        <v>0</v>
      </c>
      <c r="BE26" s="411">
        <f t="shared" ca="1" si="26"/>
        <v>0</v>
      </c>
      <c r="BF26" s="411">
        <f t="shared" ca="1" si="26"/>
        <v>0</v>
      </c>
      <c r="BG26" s="411">
        <f t="shared" ca="1" si="26"/>
        <v>0</v>
      </c>
      <c r="BH26" s="411">
        <f t="shared" ca="1" si="26"/>
        <v>0</v>
      </c>
      <c r="BI26" s="411">
        <f t="shared" ca="1" si="26"/>
        <v>0</v>
      </c>
      <c r="BJ26" s="411">
        <f t="shared" ca="1" si="26"/>
        <v>0</v>
      </c>
      <c r="BK26" s="411">
        <f t="shared" ca="1" si="26"/>
        <v>0</v>
      </c>
      <c r="BL26" s="411">
        <f t="shared" ca="1" si="26"/>
        <v>0</v>
      </c>
      <c r="BM26" s="411">
        <f t="shared" ca="1" si="26"/>
        <v>0</v>
      </c>
      <c r="BN26" s="411">
        <f t="shared" ca="1" si="26"/>
        <v>0</v>
      </c>
      <c r="BO26" s="411">
        <f t="shared" ca="1" si="26"/>
        <v>0</v>
      </c>
      <c r="BP26" s="411">
        <f t="shared" ca="1" si="26"/>
        <v>0</v>
      </c>
      <c r="BQ26" s="411">
        <f t="shared" ca="1" si="26"/>
        <v>0</v>
      </c>
      <c r="BR26" s="411">
        <f t="shared" ca="1" si="26"/>
        <v>0</v>
      </c>
      <c r="BS26" s="411">
        <f t="shared" ca="1" si="26"/>
        <v>0</v>
      </c>
      <c r="BT26" s="411">
        <f t="shared" ca="1" si="26"/>
        <v>0</v>
      </c>
      <c r="BU26" s="411">
        <f t="shared" ca="1" si="26"/>
        <v>0</v>
      </c>
      <c r="BV26" s="411">
        <f t="shared" ca="1" si="26"/>
        <v>0</v>
      </c>
      <c r="BW26" s="411">
        <f t="shared" ca="1" si="26"/>
        <v>0</v>
      </c>
      <c r="BX26" s="411">
        <f t="shared" ca="1" si="26"/>
        <v>0</v>
      </c>
      <c r="BY26" s="411">
        <f t="shared" ca="1" si="26"/>
        <v>0</v>
      </c>
      <c r="BZ26" s="411">
        <f t="shared" ca="1" si="26"/>
        <v>0</v>
      </c>
      <c r="CA26" s="411">
        <f t="shared" ca="1" si="26"/>
        <v>0</v>
      </c>
      <c r="CB26" s="411">
        <f t="shared" ca="1" si="26"/>
        <v>0</v>
      </c>
      <c r="CC26" s="411">
        <f t="shared" ca="1" si="26"/>
        <v>0</v>
      </c>
      <c r="CD26" s="411">
        <f t="shared" ca="1" si="26"/>
        <v>0</v>
      </c>
      <c r="CE26" s="411">
        <f t="shared" ca="1" si="26"/>
        <v>0</v>
      </c>
      <c r="CF26" s="411">
        <f t="shared" ca="1" si="26"/>
        <v>0</v>
      </c>
      <c r="CG26" s="411">
        <f t="shared" ca="1" si="26"/>
        <v>0</v>
      </c>
      <c r="CH26" s="411">
        <f t="shared" ca="1" si="26"/>
        <v>0</v>
      </c>
      <c r="CI26" s="411">
        <f t="shared" ca="1" si="26"/>
        <v>0</v>
      </c>
      <c r="CJ26" s="411">
        <f t="shared" ca="1" si="26"/>
        <v>0</v>
      </c>
      <c r="CK26" s="411">
        <f t="shared" ca="1" si="26"/>
        <v>0</v>
      </c>
      <c r="CL26" s="411">
        <f t="shared" ca="1" si="26"/>
        <v>0</v>
      </c>
      <c r="CM26" s="411">
        <f t="shared" ca="1" si="26"/>
        <v>0</v>
      </c>
      <c r="CN26" s="411">
        <f t="shared" ca="1" si="26"/>
        <v>0</v>
      </c>
      <c r="CO26" s="411">
        <f t="shared" ca="1" si="26"/>
        <v>0</v>
      </c>
      <c r="CP26" s="411">
        <f t="shared" ca="1" si="26"/>
        <v>0</v>
      </c>
      <c r="CQ26" s="411">
        <f t="shared" ca="1" si="26"/>
        <v>0</v>
      </c>
      <c r="CR26" s="411">
        <f t="shared" ca="1" si="26"/>
        <v>0</v>
      </c>
      <c r="CS26" s="411">
        <f t="shared" ca="1" si="26"/>
        <v>0</v>
      </c>
      <c r="CT26" s="411">
        <f t="shared" ca="1" si="26"/>
        <v>0</v>
      </c>
      <c r="CU26" s="411">
        <f t="shared" ca="1" si="26"/>
        <v>0</v>
      </c>
      <c r="CV26" s="411">
        <f t="shared" ca="1" si="26"/>
        <v>0</v>
      </c>
      <c r="CW26" s="411">
        <f t="shared" ca="1" si="26"/>
        <v>0</v>
      </c>
      <c r="CX26" s="411">
        <f t="shared" ca="1" si="26"/>
        <v>0</v>
      </c>
      <c r="CY26" s="411">
        <f t="shared" ca="1" si="26"/>
        <v>0</v>
      </c>
      <c r="CZ26" s="411">
        <f t="shared" ca="1" si="26"/>
        <v>0</v>
      </c>
      <c r="DA26" s="411">
        <f t="shared" ca="1" si="26"/>
        <v>0</v>
      </c>
      <c r="DB26" s="411">
        <f t="shared" ca="1" si="26"/>
        <v>0</v>
      </c>
      <c r="DC26" s="411">
        <f t="shared" ca="1" si="26"/>
        <v>0</v>
      </c>
      <c r="DD26" s="411">
        <f t="shared" ca="1" si="26"/>
        <v>0</v>
      </c>
      <c r="DE26" s="411">
        <f t="shared" ca="1" si="26"/>
        <v>0</v>
      </c>
      <c r="DF26" s="411">
        <f t="shared" ref="DF26:EA26" ca="1" si="27">DF24+DF23+DF25</f>
        <v>0</v>
      </c>
      <c r="DG26" s="411">
        <f t="shared" ca="1" si="27"/>
        <v>0</v>
      </c>
      <c r="DH26" s="411">
        <f t="shared" ca="1" si="27"/>
        <v>0</v>
      </c>
      <c r="DI26" s="411">
        <f t="shared" ca="1" si="27"/>
        <v>0</v>
      </c>
      <c r="DJ26" s="411">
        <f t="shared" ca="1" si="27"/>
        <v>0</v>
      </c>
      <c r="DK26" s="411">
        <f t="shared" ca="1" si="27"/>
        <v>0</v>
      </c>
      <c r="DL26" s="411">
        <f t="shared" ca="1" si="27"/>
        <v>0</v>
      </c>
      <c r="DM26" s="411">
        <f t="shared" ca="1" si="27"/>
        <v>0</v>
      </c>
      <c r="DN26" s="411">
        <f t="shared" ca="1" si="27"/>
        <v>0</v>
      </c>
      <c r="DO26" s="411">
        <f t="shared" ca="1" si="27"/>
        <v>0</v>
      </c>
      <c r="DP26" s="411">
        <f t="shared" ca="1" si="27"/>
        <v>0</v>
      </c>
      <c r="DQ26" s="411">
        <f t="shared" ca="1" si="27"/>
        <v>0</v>
      </c>
      <c r="DR26" s="411">
        <f t="shared" ca="1" si="27"/>
        <v>0</v>
      </c>
      <c r="DS26" s="411">
        <f t="shared" ca="1" si="27"/>
        <v>0</v>
      </c>
      <c r="DT26" s="411">
        <f t="shared" ca="1" si="27"/>
        <v>0</v>
      </c>
      <c r="DU26" s="411">
        <f t="shared" ca="1" si="27"/>
        <v>0</v>
      </c>
      <c r="DV26" s="411">
        <f t="shared" ca="1" si="27"/>
        <v>0</v>
      </c>
      <c r="DW26" s="411">
        <f t="shared" ca="1" si="27"/>
        <v>0</v>
      </c>
      <c r="DX26" s="411">
        <f t="shared" ca="1" si="27"/>
        <v>0</v>
      </c>
      <c r="DY26" s="411">
        <f t="shared" ca="1" si="27"/>
        <v>0</v>
      </c>
      <c r="DZ26" s="411">
        <f t="shared" ca="1" si="27"/>
        <v>0</v>
      </c>
      <c r="EA26" s="411">
        <f t="shared" ca="1" si="27"/>
        <v>0</v>
      </c>
      <c r="EB26" s="389"/>
      <c r="EC26" s="392" t="s">
        <v>65</v>
      </c>
    </row>
    <row r="27" spans="1:133" s="390" customFormat="1">
      <c r="A27" s="389"/>
      <c r="B27" s="389"/>
      <c r="C27" s="389"/>
      <c r="D27" s="403"/>
      <c r="E27" s="389"/>
      <c r="F27" s="389"/>
      <c r="G27" s="389"/>
      <c r="H27" s="389"/>
      <c r="I27" s="796"/>
      <c r="J27" s="389"/>
      <c r="K27" s="389"/>
      <c r="L27" s="712"/>
      <c r="M27" s="712"/>
      <c r="N27" s="712"/>
      <c r="O27" s="703"/>
      <c r="P27" s="703"/>
      <c r="Q27" s="703"/>
      <c r="R27" s="703"/>
      <c r="S27" s="703"/>
      <c r="T27" s="703"/>
      <c r="U27" s="703"/>
      <c r="V27" s="703"/>
      <c r="W27" s="703"/>
      <c r="X27" s="703"/>
      <c r="Y27" s="703"/>
      <c r="Z27" s="703"/>
      <c r="AA27" s="703"/>
      <c r="AB27" s="703"/>
      <c r="AC27" s="703"/>
      <c r="AD27" s="703"/>
      <c r="AE27" s="703"/>
      <c r="AF27" s="703"/>
      <c r="AG27" s="703"/>
      <c r="AH27" s="703"/>
      <c r="AI27" s="703"/>
      <c r="AJ27" s="703"/>
      <c r="AK27" s="703"/>
      <c r="AL27" s="703"/>
      <c r="AM27" s="703"/>
      <c r="AN27" s="703"/>
      <c r="AO27" s="703"/>
      <c r="AP27" s="703"/>
      <c r="AQ27" s="703"/>
      <c r="AR27" s="703"/>
      <c r="AS27" s="703"/>
      <c r="AT27" s="703"/>
      <c r="AU27" s="703"/>
      <c r="AV27" s="703"/>
      <c r="AW27" s="703"/>
      <c r="AX27" s="703"/>
      <c r="AY27" s="703"/>
      <c r="AZ27" s="703"/>
      <c r="BA27" s="703"/>
      <c r="BB27" s="703"/>
      <c r="BC27" s="703"/>
      <c r="BD27" s="703"/>
      <c r="BE27" s="703"/>
      <c r="BF27" s="703"/>
      <c r="BG27" s="703"/>
      <c r="BH27" s="703"/>
      <c r="BI27" s="703"/>
      <c r="BJ27" s="703"/>
      <c r="BK27" s="703"/>
      <c r="BL27" s="703"/>
      <c r="BM27" s="703"/>
      <c r="BN27" s="703"/>
      <c r="BO27" s="703"/>
      <c r="BP27" s="703"/>
      <c r="BQ27" s="703"/>
      <c r="BR27" s="703"/>
      <c r="BS27" s="703"/>
      <c r="BT27" s="703"/>
      <c r="BU27" s="703"/>
      <c r="BV27" s="703"/>
      <c r="BW27" s="703"/>
      <c r="BX27" s="703"/>
      <c r="BY27" s="703"/>
      <c r="BZ27" s="703"/>
      <c r="CA27" s="703"/>
      <c r="CB27" s="703"/>
      <c r="CC27" s="703"/>
      <c r="CD27" s="703"/>
      <c r="CE27" s="703"/>
      <c r="CF27" s="703"/>
      <c r="CG27" s="703"/>
      <c r="CH27" s="703"/>
      <c r="CI27" s="703"/>
      <c r="CJ27" s="703"/>
      <c r="CK27" s="703"/>
      <c r="CL27" s="703"/>
      <c r="CM27" s="703"/>
      <c r="CN27" s="703"/>
      <c r="CO27" s="703"/>
      <c r="CP27" s="703"/>
      <c r="CQ27" s="703"/>
      <c r="CR27" s="703"/>
      <c r="CS27" s="703"/>
      <c r="CT27" s="703"/>
      <c r="CU27" s="703"/>
      <c r="CV27" s="703"/>
      <c r="CW27" s="703"/>
      <c r="CX27" s="703"/>
      <c r="CY27" s="703"/>
      <c r="CZ27" s="703"/>
      <c r="DA27" s="703"/>
      <c r="DB27" s="703"/>
      <c r="DC27" s="703"/>
      <c r="DD27" s="703"/>
      <c r="DE27" s="703"/>
      <c r="DF27" s="703"/>
      <c r="DG27" s="703"/>
      <c r="DH27" s="703"/>
      <c r="DI27" s="703"/>
      <c r="DJ27" s="703"/>
      <c r="DK27" s="703"/>
      <c r="DL27" s="703"/>
      <c r="DM27" s="703"/>
      <c r="DN27" s="703"/>
      <c r="DO27" s="703"/>
      <c r="DP27" s="703"/>
      <c r="DQ27" s="703"/>
      <c r="DR27" s="703"/>
      <c r="DS27" s="703"/>
      <c r="DT27" s="703"/>
      <c r="DU27" s="703"/>
      <c r="DV27" s="703"/>
      <c r="DW27" s="703"/>
      <c r="DX27" s="703"/>
      <c r="DY27" s="703"/>
      <c r="DZ27" s="703"/>
      <c r="EA27" s="703"/>
      <c r="EB27" s="389"/>
      <c r="EC27" s="392" t="s">
        <v>65</v>
      </c>
    </row>
    <row r="28" spans="1:133" s="390" customFormat="1">
      <c r="A28" s="389"/>
      <c r="B28" s="389"/>
      <c r="C28" s="389"/>
      <c r="D28" s="389" t="s">
        <v>513</v>
      </c>
      <c r="E28" s="389"/>
      <c r="F28" s="389"/>
      <c r="G28" s="856">
        <f>Assumptions!$E$62</f>
        <v>7.4999999999999997E-3</v>
      </c>
      <c r="H28" s="389"/>
      <c r="I28" s="389">
        <f ca="1">I24*G28</f>
        <v>0</v>
      </c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  <c r="AM28" s="389"/>
      <c r="AN28" s="389"/>
      <c r="AO28" s="389"/>
      <c r="AP28" s="389"/>
      <c r="AQ28" s="389"/>
      <c r="AR28" s="389"/>
      <c r="AS28" s="389"/>
      <c r="AT28" s="389"/>
      <c r="AU28" s="389"/>
      <c r="AV28" s="389"/>
      <c r="AW28" s="389"/>
      <c r="AX28" s="389"/>
      <c r="AY28" s="389"/>
      <c r="AZ28" s="389"/>
      <c r="BA28" s="389"/>
      <c r="BB28" s="389"/>
      <c r="BC28" s="389"/>
      <c r="BD28" s="389"/>
      <c r="BE28" s="389"/>
      <c r="BF28" s="389"/>
      <c r="BG28" s="389"/>
      <c r="BH28" s="389"/>
      <c r="BI28" s="389"/>
      <c r="BJ28" s="389"/>
      <c r="BK28" s="389"/>
      <c r="BL28" s="389"/>
      <c r="BM28" s="389"/>
      <c r="BN28" s="389"/>
      <c r="BO28" s="389"/>
      <c r="BP28" s="389"/>
      <c r="BQ28" s="389"/>
      <c r="BR28" s="389"/>
      <c r="BS28" s="389"/>
      <c r="BT28" s="389"/>
      <c r="BU28" s="389"/>
      <c r="BV28" s="389"/>
      <c r="BW28" s="389"/>
      <c r="BX28" s="389"/>
      <c r="BY28" s="389"/>
      <c r="BZ28" s="389"/>
      <c r="CA28" s="389"/>
      <c r="CB28" s="389"/>
      <c r="CC28" s="389"/>
      <c r="CD28" s="389"/>
      <c r="CE28" s="389"/>
      <c r="CF28" s="389"/>
      <c r="CG28" s="389"/>
      <c r="CH28" s="389"/>
      <c r="CI28" s="389"/>
      <c r="CJ28" s="389"/>
      <c r="CK28" s="389"/>
      <c r="CL28" s="389"/>
      <c r="CM28" s="389"/>
      <c r="CN28" s="389"/>
      <c r="CO28" s="389"/>
      <c r="CP28" s="389"/>
      <c r="CQ28" s="389"/>
      <c r="CR28" s="389"/>
      <c r="CS28" s="389"/>
      <c r="CT28" s="389"/>
      <c r="CU28" s="389"/>
      <c r="CV28" s="389"/>
      <c r="CW28" s="389"/>
      <c r="CX28" s="389"/>
      <c r="CY28" s="389"/>
      <c r="CZ28" s="389"/>
      <c r="DA28" s="389"/>
      <c r="DB28" s="389"/>
      <c r="DC28" s="389"/>
      <c r="DD28" s="389"/>
      <c r="DE28" s="389"/>
      <c r="DF28" s="389"/>
      <c r="DG28" s="389"/>
      <c r="DH28" s="389"/>
      <c r="DI28" s="389"/>
      <c r="DJ28" s="389"/>
      <c r="DK28" s="389"/>
      <c r="DL28" s="389"/>
      <c r="DM28" s="389"/>
      <c r="DN28" s="389"/>
      <c r="DO28" s="389"/>
      <c r="DP28" s="389"/>
      <c r="DQ28" s="389"/>
      <c r="DR28" s="389"/>
      <c r="DS28" s="389"/>
      <c r="DT28" s="389"/>
      <c r="DU28" s="389"/>
      <c r="DV28" s="389"/>
      <c r="DW28" s="389"/>
      <c r="DX28" s="389"/>
      <c r="DY28" s="389"/>
      <c r="DZ28" s="389"/>
      <c r="EA28" s="389"/>
      <c r="EB28" s="389"/>
      <c r="EC28" s="392" t="s">
        <v>65</v>
      </c>
    </row>
    <row r="29" spans="1:133" s="390" customFormat="1">
      <c r="A29" s="389"/>
      <c r="B29" s="389"/>
      <c r="C29" s="389"/>
      <c r="D29" s="389" t="s">
        <v>80</v>
      </c>
      <c r="E29" s="389"/>
      <c r="F29" s="389"/>
      <c r="G29" s="856">
        <f>Assumptions!$E$63</f>
        <v>0</v>
      </c>
      <c r="H29" s="389"/>
      <c r="I29" s="703">
        <f t="shared" ref="I29" ca="1" si="28">SUM(K29:EA29)</f>
        <v>0</v>
      </c>
      <c r="J29" s="389"/>
      <c r="K29" s="389"/>
      <c r="L29" s="408">
        <f>L23*($G$29/12)</f>
        <v>0</v>
      </c>
      <c r="M29" s="408">
        <f t="shared" ref="M29:BX29" si="29">M23*($G$29/12)</f>
        <v>0</v>
      </c>
      <c r="N29" s="408">
        <f t="shared" ca="1" si="29"/>
        <v>0</v>
      </c>
      <c r="O29" s="408">
        <f t="shared" ca="1" si="29"/>
        <v>0</v>
      </c>
      <c r="P29" s="408">
        <f t="shared" ca="1" si="29"/>
        <v>0</v>
      </c>
      <c r="Q29" s="408">
        <f t="shared" ca="1" si="29"/>
        <v>0</v>
      </c>
      <c r="R29" s="408">
        <f t="shared" ca="1" si="29"/>
        <v>0</v>
      </c>
      <c r="S29" s="408">
        <f t="shared" ca="1" si="29"/>
        <v>0</v>
      </c>
      <c r="T29" s="408">
        <f t="shared" ca="1" si="29"/>
        <v>0</v>
      </c>
      <c r="U29" s="408">
        <f t="shared" ca="1" si="29"/>
        <v>0</v>
      </c>
      <c r="V29" s="408">
        <f t="shared" ca="1" si="29"/>
        <v>0</v>
      </c>
      <c r="W29" s="408">
        <f t="shared" ca="1" si="29"/>
        <v>0</v>
      </c>
      <c r="X29" s="408">
        <f t="shared" ca="1" si="29"/>
        <v>0</v>
      </c>
      <c r="Y29" s="408">
        <f t="shared" ca="1" si="29"/>
        <v>0</v>
      </c>
      <c r="Z29" s="408">
        <f t="shared" ca="1" si="29"/>
        <v>0</v>
      </c>
      <c r="AA29" s="408">
        <f t="shared" ca="1" si="29"/>
        <v>0</v>
      </c>
      <c r="AB29" s="408">
        <f t="shared" ca="1" si="29"/>
        <v>0</v>
      </c>
      <c r="AC29" s="408">
        <f t="shared" ca="1" si="29"/>
        <v>0</v>
      </c>
      <c r="AD29" s="408">
        <f t="shared" ca="1" si="29"/>
        <v>0</v>
      </c>
      <c r="AE29" s="408">
        <f t="shared" ca="1" si="29"/>
        <v>0</v>
      </c>
      <c r="AF29" s="408">
        <f t="shared" ca="1" si="29"/>
        <v>0</v>
      </c>
      <c r="AG29" s="408">
        <f t="shared" ca="1" si="29"/>
        <v>0</v>
      </c>
      <c r="AH29" s="408">
        <f t="shared" ca="1" si="29"/>
        <v>0</v>
      </c>
      <c r="AI29" s="408">
        <f t="shared" ca="1" si="29"/>
        <v>0</v>
      </c>
      <c r="AJ29" s="408">
        <f t="shared" ca="1" si="29"/>
        <v>0</v>
      </c>
      <c r="AK29" s="408">
        <f t="shared" ca="1" si="29"/>
        <v>0</v>
      </c>
      <c r="AL29" s="408">
        <f t="shared" ca="1" si="29"/>
        <v>0</v>
      </c>
      <c r="AM29" s="408">
        <f t="shared" ca="1" si="29"/>
        <v>0</v>
      </c>
      <c r="AN29" s="408">
        <f t="shared" ca="1" si="29"/>
        <v>0</v>
      </c>
      <c r="AO29" s="408">
        <f t="shared" ca="1" si="29"/>
        <v>0</v>
      </c>
      <c r="AP29" s="408">
        <f t="shared" ca="1" si="29"/>
        <v>0</v>
      </c>
      <c r="AQ29" s="408">
        <f t="shared" ca="1" si="29"/>
        <v>0</v>
      </c>
      <c r="AR29" s="408">
        <f t="shared" ca="1" si="29"/>
        <v>0</v>
      </c>
      <c r="AS29" s="408">
        <f t="shared" ca="1" si="29"/>
        <v>0</v>
      </c>
      <c r="AT29" s="408">
        <f t="shared" ca="1" si="29"/>
        <v>0</v>
      </c>
      <c r="AU29" s="408">
        <f t="shared" ca="1" si="29"/>
        <v>0</v>
      </c>
      <c r="AV29" s="408">
        <f t="shared" ca="1" si="29"/>
        <v>0</v>
      </c>
      <c r="AW29" s="408">
        <f t="shared" ca="1" si="29"/>
        <v>0</v>
      </c>
      <c r="AX29" s="408">
        <f t="shared" ca="1" si="29"/>
        <v>0</v>
      </c>
      <c r="AY29" s="408">
        <f t="shared" ca="1" si="29"/>
        <v>0</v>
      </c>
      <c r="AZ29" s="408">
        <f t="shared" ca="1" si="29"/>
        <v>0</v>
      </c>
      <c r="BA29" s="408">
        <f t="shared" ca="1" si="29"/>
        <v>0</v>
      </c>
      <c r="BB29" s="408">
        <f t="shared" ca="1" si="29"/>
        <v>0</v>
      </c>
      <c r="BC29" s="408">
        <f t="shared" ca="1" si="29"/>
        <v>0</v>
      </c>
      <c r="BD29" s="408">
        <f t="shared" ca="1" si="29"/>
        <v>0</v>
      </c>
      <c r="BE29" s="408">
        <f t="shared" ca="1" si="29"/>
        <v>0</v>
      </c>
      <c r="BF29" s="408">
        <f t="shared" ca="1" si="29"/>
        <v>0</v>
      </c>
      <c r="BG29" s="408">
        <f t="shared" ca="1" si="29"/>
        <v>0</v>
      </c>
      <c r="BH29" s="408">
        <f t="shared" ca="1" si="29"/>
        <v>0</v>
      </c>
      <c r="BI29" s="408">
        <f t="shared" ca="1" si="29"/>
        <v>0</v>
      </c>
      <c r="BJ29" s="408">
        <f t="shared" ca="1" si="29"/>
        <v>0</v>
      </c>
      <c r="BK29" s="408">
        <f t="shared" ca="1" si="29"/>
        <v>0</v>
      </c>
      <c r="BL29" s="408">
        <f t="shared" ca="1" si="29"/>
        <v>0</v>
      </c>
      <c r="BM29" s="408">
        <f t="shared" ca="1" si="29"/>
        <v>0</v>
      </c>
      <c r="BN29" s="408">
        <f t="shared" ca="1" si="29"/>
        <v>0</v>
      </c>
      <c r="BO29" s="408">
        <f t="shared" ca="1" si="29"/>
        <v>0</v>
      </c>
      <c r="BP29" s="408">
        <f t="shared" ca="1" si="29"/>
        <v>0</v>
      </c>
      <c r="BQ29" s="408">
        <f t="shared" ca="1" si="29"/>
        <v>0</v>
      </c>
      <c r="BR29" s="408">
        <f t="shared" ca="1" si="29"/>
        <v>0</v>
      </c>
      <c r="BS29" s="408">
        <f t="shared" ca="1" si="29"/>
        <v>0</v>
      </c>
      <c r="BT29" s="408">
        <f t="shared" ca="1" si="29"/>
        <v>0</v>
      </c>
      <c r="BU29" s="408">
        <f t="shared" ca="1" si="29"/>
        <v>0</v>
      </c>
      <c r="BV29" s="408">
        <f t="shared" ca="1" si="29"/>
        <v>0</v>
      </c>
      <c r="BW29" s="408">
        <f t="shared" ca="1" si="29"/>
        <v>0</v>
      </c>
      <c r="BX29" s="408">
        <f t="shared" ca="1" si="29"/>
        <v>0</v>
      </c>
      <c r="BY29" s="408">
        <f t="shared" ref="BY29:EA29" ca="1" si="30">BY23*($G$29/12)</f>
        <v>0</v>
      </c>
      <c r="BZ29" s="408">
        <f t="shared" ca="1" si="30"/>
        <v>0</v>
      </c>
      <c r="CA29" s="408">
        <f t="shared" ca="1" si="30"/>
        <v>0</v>
      </c>
      <c r="CB29" s="408">
        <f t="shared" ca="1" si="30"/>
        <v>0</v>
      </c>
      <c r="CC29" s="408">
        <f t="shared" ca="1" si="30"/>
        <v>0</v>
      </c>
      <c r="CD29" s="408">
        <f t="shared" ca="1" si="30"/>
        <v>0</v>
      </c>
      <c r="CE29" s="408">
        <f t="shared" ca="1" si="30"/>
        <v>0</v>
      </c>
      <c r="CF29" s="408">
        <f t="shared" ca="1" si="30"/>
        <v>0</v>
      </c>
      <c r="CG29" s="408">
        <f t="shared" ca="1" si="30"/>
        <v>0</v>
      </c>
      <c r="CH29" s="408">
        <f t="shared" ca="1" si="30"/>
        <v>0</v>
      </c>
      <c r="CI29" s="408">
        <f t="shared" ca="1" si="30"/>
        <v>0</v>
      </c>
      <c r="CJ29" s="408">
        <f t="shared" ca="1" si="30"/>
        <v>0</v>
      </c>
      <c r="CK29" s="408">
        <f t="shared" ca="1" si="30"/>
        <v>0</v>
      </c>
      <c r="CL29" s="408">
        <f t="shared" ca="1" si="30"/>
        <v>0</v>
      </c>
      <c r="CM29" s="408">
        <f t="shared" ca="1" si="30"/>
        <v>0</v>
      </c>
      <c r="CN29" s="408">
        <f t="shared" ca="1" si="30"/>
        <v>0</v>
      </c>
      <c r="CO29" s="408">
        <f t="shared" ca="1" si="30"/>
        <v>0</v>
      </c>
      <c r="CP29" s="408">
        <f t="shared" ca="1" si="30"/>
        <v>0</v>
      </c>
      <c r="CQ29" s="408">
        <f t="shared" ca="1" si="30"/>
        <v>0</v>
      </c>
      <c r="CR29" s="408">
        <f t="shared" ca="1" si="30"/>
        <v>0</v>
      </c>
      <c r="CS29" s="408">
        <f t="shared" ca="1" si="30"/>
        <v>0</v>
      </c>
      <c r="CT29" s="408">
        <f t="shared" ca="1" si="30"/>
        <v>0</v>
      </c>
      <c r="CU29" s="408">
        <f t="shared" ca="1" si="30"/>
        <v>0</v>
      </c>
      <c r="CV29" s="408">
        <f t="shared" ca="1" si="30"/>
        <v>0</v>
      </c>
      <c r="CW29" s="408">
        <f t="shared" ca="1" si="30"/>
        <v>0</v>
      </c>
      <c r="CX29" s="408">
        <f t="shared" ca="1" si="30"/>
        <v>0</v>
      </c>
      <c r="CY29" s="408">
        <f t="shared" ca="1" si="30"/>
        <v>0</v>
      </c>
      <c r="CZ29" s="408">
        <f t="shared" ca="1" si="30"/>
        <v>0</v>
      </c>
      <c r="DA29" s="408">
        <f t="shared" ca="1" si="30"/>
        <v>0</v>
      </c>
      <c r="DB29" s="408">
        <f t="shared" ca="1" si="30"/>
        <v>0</v>
      </c>
      <c r="DC29" s="408">
        <f t="shared" ca="1" si="30"/>
        <v>0</v>
      </c>
      <c r="DD29" s="408">
        <f t="shared" ca="1" si="30"/>
        <v>0</v>
      </c>
      <c r="DE29" s="408">
        <f t="shared" ca="1" si="30"/>
        <v>0</v>
      </c>
      <c r="DF29" s="408">
        <f t="shared" ca="1" si="30"/>
        <v>0</v>
      </c>
      <c r="DG29" s="408">
        <f t="shared" ca="1" si="30"/>
        <v>0</v>
      </c>
      <c r="DH29" s="408">
        <f t="shared" ca="1" si="30"/>
        <v>0</v>
      </c>
      <c r="DI29" s="408">
        <f t="shared" ca="1" si="30"/>
        <v>0</v>
      </c>
      <c r="DJ29" s="408">
        <f t="shared" ca="1" si="30"/>
        <v>0</v>
      </c>
      <c r="DK29" s="408">
        <f t="shared" ca="1" si="30"/>
        <v>0</v>
      </c>
      <c r="DL29" s="408">
        <f t="shared" ca="1" si="30"/>
        <v>0</v>
      </c>
      <c r="DM29" s="408">
        <f t="shared" ca="1" si="30"/>
        <v>0</v>
      </c>
      <c r="DN29" s="408">
        <f t="shared" ca="1" si="30"/>
        <v>0</v>
      </c>
      <c r="DO29" s="408">
        <f t="shared" ca="1" si="30"/>
        <v>0</v>
      </c>
      <c r="DP29" s="408">
        <f t="shared" ca="1" si="30"/>
        <v>0</v>
      </c>
      <c r="DQ29" s="408">
        <f t="shared" ca="1" si="30"/>
        <v>0</v>
      </c>
      <c r="DR29" s="408">
        <f t="shared" ca="1" si="30"/>
        <v>0</v>
      </c>
      <c r="DS29" s="408">
        <f t="shared" ca="1" si="30"/>
        <v>0</v>
      </c>
      <c r="DT29" s="408">
        <f t="shared" ca="1" si="30"/>
        <v>0</v>
      </c>
      <c r="DU29" s="408">
        <f t="shared" ca="1" si="30"/>
        <v>0</v>
      </c>
      <c r="DV29" s="408">
        <f t="shared" ca="1" si="30"/>
        <v>0</v>
      </c>
      <c r="DW29" s="408">
        <f t="shared" ca="1" si="30"/>
        <v>0</v>
      </c>
      <c r="DX29" s="408">
        <f t="shared" ca="1" si="30"/>
        <v>0</v>
      </c>
      <c r="DY29" s="408">
        <f t="shared" ca="1" si="30"/>
        <v>0</v>
      </c>
      <c r="DZ29" s="408">
        <f t="shared" ca="1" si="30"/>
        <v>0</v>
      </c>
      <c r="EA29" s="408">
        <f t="shared" ca="1" si="30"/>
        <v>0</v>
      </c>
      <c r="EB29" s="389"/>
      <c r="EC29" s="392" t="s">
        <v>65</v>
      </c>
    </row>
    <row r="30" spans="1:133" s="390" customForma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89"/>
      <c r="AQ30" s="389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/>
      <c r="BF30" s="389"/>
      <c r="BG30" s="389"/>
      <c r="BH30" s="389"/>
      <c r="BI30" s="389"/>
      <c r="BJ30" s="389"/>
      <c r="BK30" s="389"/>
      <c r="BL30" s="389"/>
      <c r="BM30" s="389"/>
      <c r="BN30" s="389"/>
      <c r="BO30" s="389"/>
      <c r="BP30" s="389"/>
      <c r="BQ30" s="389"/>
      <c r="BR30" s="389"/>
      <c r="BS30" s="389"/>
      <c r="BT30" s="389"/>
      <c r="BU30" s="389"/>
      <c r="BV30" s="389"/>
      <c r="BW30" s="389"/>
      <c r="BX30" s="389"/>
      <c r="BY30" s="389"/>
      <c r="BZ30" s="389"/>
      <c r="CA30" s="389"/>
      <c r="CB30" s="389"/>
      <c r="CC30" s="389"/>
      <c r="CD30" s="389"/>
      <c r="CE30" s="389"/>
      <c r="CF30" s="389"/>
      <c r="CG30" s="389"/>
      <c r="CH30" s="389"/>
      <c r="CI30" s="389"/>
      <c r="CJ30" s="389"/>
      <c r="CK30" s="389"/>
      <c r="CL30" s="389"/>
      <c r="CM30" s="389"/>
      <c r="CN30" s="389"/>
      <c r="CO30" s="389"/>
      <c r="CP30" s="389"/>
      <c r="CQ30" s="389"/>
      <c r="CR30" s="389"/>
      <c r="CS30" s="389"/>
      <c r="CT30" s="389"/>
      <c r="CU30" s="389"/>
      <c r="CV30" s="389"/>
      <c r="CW30" s="389"/>
      <c r="CX30" s="389"/>
      <c r="CY30" s="389"/>
      <c r="CZ30" s="389"/>
      <c r="DA30" s="389"/>
      <c r="DB30" s="389"/>
      <c r="DC30" s="389"/>
      <c r="DD30" s="389"/>
      <c r="DE30" s="389"/>
      <c r="DF30" s="389"/>
      <c r="DG30" s="389"/>
      <c r="DH30" s="389"/>
      <c r="DI30" s="389"/>
      <c r="DJ30" s="389"/>
      <c r="DK30" s="389"/>
      <c r="DL30" s="389"/>
      <c r="DM30" s="389"/>
      <c r="DN30" s="389"/>
      <c r="DO30" s="389"/>
      <c r="DP30" s="389"/>
      <c r="DQ30" s="389"/>
      <c r="DR30" s="389"/>
      <c r="DS30" s="389"/>
      <c r="DT30" s="389"/>
      <c r="DU30" s="389"/>
      <c r="DV30" s="389"/>
      <c r="DW30" s="389"/>
      <c r="DX30" s="389"/>
      <c r="DY30" s="389"/>
      <c r="DZ30" s="389"/>
      <c r="EA30" s="389"/>
      <c r="EB30" s="389"/>
      <c r="EC30" s="392" t="s">
        <v>65</v>
      </c>
    </row>
    <row r="31" spans="1:133" s="390" customForma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89"/>
      <c r="AQ31" s="389"/>
      <c r="AR31" s="389"/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/>
      <c r="BF31" s="389"/>
      <c r="BG31" s="389"/>
      <c r="BH31" s="389"/>
      <c r="BI31" s="389"/>
      <c r="BJ31" s="389"/>
      <c r="BK31" s="389"/>
      <c r="BL31" s="389"/>
      <c r="BM31" s="389"/>
      <c r="BN31" s="389"/>
      <c r="BO31" s="389"/>
      <c r="BP31" s="389"/>
      <c r="BQ31" s="389"/>
      <c r="BR31" s="389"/>
      <c r="BS31" s="389"/>
      <c r="BT31" s="389"/>
      <c r="BU31" s="389"/>
      <c r="BV31" s="389"/>
      <c r="BW31" s="389"/>
      <c r="BX31" s="389"/>
      <c r="BY31" s="389"/>
      <c r="BZ31" s="389"/>
      <c r="CA31" s="389"/>
      <c r="CB31" s="389"/>
      <c r="CC31" s="389"/>
      <c r="CD31" s="389"/>
      <c r="CE31" s="389"/>
      <c r="CF31" s="389"/>
      <c r="CG31" s="389"/>
      <c r="CH31" s="389"/>
      <c r="CI31" s="389"/>
      <c r="CJ31" s="389"/>
      <c r="CK31" s="389"/>
      <c r="CL31" s="389"/>
      <c r="CM31" s="389"/>
      <c r="CN31" s="389"/>
      <c r="CO31" s="389"/>
      <c r="CP31" s="389"/>
      <c r="CQ31" s="389"/>
      <c r="CR31" s="389"/>
      <c r="CS31" s="389"/>
      <c r="CT31" s="389"/>
      <c r="CU31" s="389"/>
      <c r="CV31" s="389"/>
      <c r="CW31" s="389"/>
      <c r="CX31" s="389"/>
      <c r="CY31" s="389"/>
      <c r="CZ31" s="389"/>
      <c r="DA31" s="389"/>
      <c r="DB31" s="389"/>
      <c r="DC31" s="389"/>
      <c r="DD31" s="389"/>
      <c r="DE31" s="389"/>
      <c r="DF31" s="389"/>
      <c r="DG31" s="389"/>
      <c r="DH31" s="389"/>
      <c r="DI31" s="389"/>
      <c r="DJ31" s="389"/>
      <c r="DK31" s="389"/>
      <c r="DL31" s="389"/>
      <c r="DM31" s="389"/>
      <c r="DN31" s="389"/>
      <c r="DO31" s="389"/>
      <c r="DP31" s="389"/>
      <c r="DQ31" s="389"/>
      <c r="DR31" s="389"/>
      <c r="DS31" s="389"/>
      <c r="DT31" s="389"/>
      <c r="DU31" s="389"/>
      <c r="DV31" s="389"/>
      <c r="DW31" s="389"/>
      <c r="DX31" s="389"/>
      <c r="DY31" s="389"/>
      <c r="DZ31" s="389"/>
      <c r="EA31" s="389"/>
      <c r="EB31" s="389"/>
      <c r="EC31" s="392" t="s">
        <v>65</v>
      </c>
    </row>
    <row r="32" spans="1:133" s="390" customForma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89"/>
      <c r="BA32" s="389"/>
      <c r="BB32" s="389"/>
      <c r="BC32" s="389"/>
      <c r="BD32" s="389"/>
      <c r="BE32" s="389"/>
      <c r="BF32" s="389"/>
      <c r="BG32" s="389"/>
      <c r="BH32" s="389"/>
      <c r="BI32" s="389"/>
      <c r="BJ32" s="389"/>
      <c r="BK32" s="389"/>
      <c r="BL32" s="389"/>
      <c r="BM32" s="389"/>
      <c r="BN32" s="389"/>
      <c r="BO32" s="389"/>
      <c r="BP32" s="389"/>
      <c r="BQ32" s="389"/>
      <c r="BR32" s="389"/>
      <c r="BS32" s="389"/>
      <c r="BT32" s="389"/>
      <c r="BU32" s="389"/>
      <c r="BV32" s="389"/>
      <c r="BW32" s="389"/>
      <c r="BX32" s="389"/>
      <c r="BY32" s="389"/>
      <c r="BZ32" s="389"/>
      <c r="CA32" s="389"/>
      <c r="CB32" s="389"/>
      <c r="CC32" s="389"/>
      <c r="CD32" s="389"/>
      <c r="CE32" s="389"/>
      <c r="CF32" s="389"/>
      <c r="CG32" s="389"/>
      <c r="CH32" s="389"/>
      <c r="CI32" s="389"/>
      <c r="CJ32" s="389"/>
      <c r="CK32" s="389"/>
      <c r="CL32" s="389"/>
      <c r="CM32" s="389"/>
      <c r="CN32" s="389"/>
      <c r="CO32" s="389"/>
      <c r="CP32" s="389"/>
      <c r="CQ32" s="389"/>
      <c r="CR32" s="389"/>
      <c r="CS32" s="389"/>
      <c r="CT32" s="389"/>
      <c r="CU32" s="389"/>
      <c r="CV32" s="389"/>
      <c r="CW32" s="389"/>
      <c r="CX32" s="389"/>
      <c r="CY32" s="389"/>
      <c r="CZ32" s="389"/>
      <c r="DA32" s="389"/>
      <c r="DB32" s="389"/>
      <c r="DC32" s="389"/>
      <c r="DD32" s="389"/>
      <c r="DE32" s="389"/>
      <c r="DF32" s="389"/>
      <c r="DG32" s="389"/>
      <c r="DH32" s="389"/>
      <c r="DI32" s="389"/>
      <c r="DJ32" s="389"/>
      <c r="DK32" s="389"/>
      <c r="DL32" s="389"/>
      <c r="DM32" s="389"/>
      <c r="DN32" s="389"/>
      <c r="DO32" s="389"/>
      <c r="DP32" s="389"/>
      <c r="DQ32" s="389"/>
      <c r="DR32" s="389"/>
      <c r="DS32" s="389"/>
      <c r="DT32" s="389"/>
      <c r="DU32" s="389"/>
      <c r="DV32" s="389"/>
      <c r="DW32" s="389"/>
      <c r="DX32" s="389"/>
      <c r="DY32" s="389"/>
      <c r="DZ32" s="389"/>
      <c r="EA32" s="389"/>
      <c r="EB32" s="389"/>
      <c r="EC32" s="392" t="s">
        <v>65</v>
      </c>
    </row>
    <row r="33" spans="1:133" s="390" customForma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89"/>
      <c r="AQ33" s="389"/>
      <c r="AR33" s="389"/>
      <c r="AS33" s="389"/>
      <c r="AT33" s="389"/>
      <c r="AU33" s="389"/>
      <c r="AV33" s="389"/>
      <c r="AW33" s="389"/>
      <c r="AX33" s="389"/>
      <c r="AY33" s="389"/>
      <c r="AZ33" s="389"/>
      <c r="BA33" s="389"/>
      <c r="BB33" s="389"/>
      <c r="BC33" s="389"/>
      <c r="BD33" s="389"/>
      <c r="BE33" s="389"/>
      <c r="BF33" s="389"/>
      <c r="BG33" s="389"/>
      <c r="BH33" s="389"/>
      <c r="BI33" s="389"/>
      <c r="BJ33" s="389"/>
      <c r="BK33" s="389"/>
      <c r="BL33" s="389"/>
      <c r="BM33" s="389"/>
      <c r="BN33" s="389"/>
      <c r="BO33" s="389"/>
      <c r="BP33" s="389"/>
      <c r="BQ33" s="389"/>
      <c r="BR33" s="389"/>
      <c r="BS33" s="389"/>
      <c r="BT33" s="389"/>
      <c r="BU33" s="389"/>
      <c r="BV33" s="389"/>
      <c r="BW33" s="389"/>
      <c r="BX33" s="389"/>
      <c r="BY33" s="389"/>
      <c r="BZ33" s="389"/>
      <c r="CA33" s="389"/>
      <c r="CB33" s="389"/>
      <c r="CC33" s="389"/>
      <c r="CD33" s="389"/>
      <c r="CE33" s="389"/>
      <c r="CF33" s="389"/>
      <c r="CG33" s="389"/>
      <c r="CH33" s="389"/>
      <c r="CI33" s="389"/>
      <c r="CJ33" s="389"/>
      <c r="CK33" s="389"/>
      <c r="CL33" s="389"/>
      <c r="CM33" s="389"/>
      <c r="CN33" s="389"/>
      <c r="CO33" s="389"/>
      <c r="CP33" s="389"/>
      <c r="CQ33" s="389"/>
      <c r="CR33" s="389"/>
      <c r="CS33" s="389"/>
      <c r="CT33" s="389"/>
      <c r="CU33" s="389"/>
      <c r="CV33" s="389"/>
      <c r="CW33" s="389"/>
      <c r="CX33" s="389"/>
      <c r="CY33" s="389"/>
      <c r="CZ33" s="389"/>
      <c r="DA33" s="389"/>
      <c r="DB33" s="389"/>
      <c r="DC33" s="389"/>
      <c r="DD33" s="389"/>
      <c r="DE33" s="389"/>
      <c r="DF33" s="389"/>
      <c r="DG33" s="389"/>
      <c r="DH33" s="389"/>
      <c r="DI33" s="389"/>
      <c r="DJ33" s="389"/>
      <c r="DK33" s="389"/>
      <c r="DL33" s="389"/>
      <c r="DM33" s="389"/>
      <c r="DN33" s="389"/>
      <c r="DO33" s="389"/>
      <c r="DP33" s="389"/>
      <c r="DQ33" s="389"/>
      <c r="DR33" s="389"/>
      <c r="DS33" s="389"/>
      <c r="DT33" s="389"/>
      <c r="DU33" s="389"/>
      <c r="DV33" s="389"/>
      <c r="DW33" s="389"/>
      <c r="DX33" s="389"/>
      <c r="DY33" s="389"/>
      <c r="DZ33" s="389"/>
      <c r="EA33" s="389"/>
      <c r="EB33" s="389"/>
      <c r="EC33" s="392" t="s">
        <v>65</v>
      </c>
    </row>
    <row r="34" spans="1:133" s="390" customForma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89"/>
      <c r="AQ34" s="389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  <c r="BF34" s="389"/>
      <c r="BG34" s="389"/>
      <c r="BH34" s="389"/>
      <c r="BI34" s="389"/>
      <c r="BJ34" s="389"/>
      <c r="BK34" s="389"/>
      <c r="BL34" s="389"/>
      <c r="BM34" s="389"/>
      <c r="BN34" s="389"/>
      <c r="BO34" s="389"/>
      <c r="BP34" s="389"/>
      <c r="BQ34" s="389"/>
      <c r="BR34" s="389"/>
      <c r="BS34" s="389"/>
      <c r="BT34" s="389"/>
      <c r="BU34" s="389"/>
      <c r="BV34" s="389"/>
      <c r="BW34" s="389"/>
      <c r="BX34" s="389"/>
      <c r="BY34" s="389"/>
      <c r="BZ34" s="389"/>
      <c r="CA34" s="389"/>
      <c r="CB34" s="389"/>
      <c r="CC34" s="389"/>
      <c r="CD34" s="389"/>
      <c r="CE34" s="389"/>
      <c r="CF34" s="389"/>
      <c r="CG34" s="389"/>
      <c r="CH34" s="389"/>
      <c r="CI34" s="389"/>
      <c r="CJ34" s="389"/>
      <c r="CK34" s="389"/>
      <c r="CL34" s="389"/>
      <c r="CM34" s="389"/>
      <c r="CN34" s="389"/>
      <c r="CO34" s="389"/>
      <c r="CP34" s="389"/>
      <c r="CQ34" s="389"/>
      <c r="CR34" s="389"/>
      <c r="CS34" s="389"/>
      <c r="CT34" s="389"/>
      <c r="CU34" s="389"/>
      <c r="CV34" s="389"/>
      <c r="CW34" s="389"/>
      <c r="CX34" s="389"/>
      <c r="CY34" s="389"/>
      <c r="CZ34" s="389"/>
      <c r="DA34" s="389"/>
      <c r="DB34" s="389"/>
      <c r="DC34" s="389"/>
      <c r="DD34" s="389"/>
      <c r="DE34" s="389"/>
      <c r="DF34" s="389"/>
      <c r="DG34" s="389"/>
      <c r="DH34" s="389"/>
      <c r="DI34" s="389"/>
      <c r="DJ34" s="389"/>
      <c r="DK34" s="389"/>
      <c r="DL34" s="389"/>
      <c r="DM34" s="389"/>
      <c r="DN34" s="389"/>
      <c r="DO34" s="389"/>
      <c r="DP34" s="389"/>
      <c r="DQ34" s="389"/>
      <c r="DR34" s="389"/>
      <c r="DS34" s="389"/>
      <c r="DT34" s="389"/>
      <c r="DU34" s="389"/>
      <c r="DV34" s="389"/>
      <c r="DW34" s="389"/>
      <c r="DX34" s="389"/>
      <c r="DY34" s="389"/>
      <c r="DZ34" s="389"/>
      <c r="EA34" s="389"/>
      <c r="EB34" s="389"/>
      <c r="EC34" s="392" t="s">
        <v>65</v>
      </c>
    </row>
    <row r="35" spans="1:133" s="390" customForma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89"/>
      <c r="BA35" s="389"/>
      <c r="BB35" s="389"/>
      <c r="BC35" s="389"/>
      <c r="BD35" s="389"/>
      <c r="BE35" s="389"/>
      <c r="BF35" s="389"/>
      <c r="BG35" s="389"/>
      <c r="BH35" s="389"/>
      <c r="BI35" s="389"/>
      <c r="BJ35" s="389"/>
      <c r="BK35" s="389"/>
      <c r="BL35" s="389"/>
      <c r="BM35" s="389"/>
      <c r="BN35" s="389"/>
      <c r="BO35" s="389"/>
      <c r="BP35" s="389"/>
      <c r="BQ35" s="389"/>
      <c r="BR35" s="389"/>
      <c r="BS35" s="389"/>
      <c r="BT35" s="389"/>
      <c r="BU35" s="389"/>
      <c r="BV35" s="389"/>
      <c r="BW35" s="389"/>
      <c r="BX35" s="389"/>
      <c r="BY35" s="389"/>
      <c r="BZ35" s="389"/>
      <c r="CA35" s="389"/>
      <c r="CB35" s="389"/>
      <c r="CC35" s="389"/>
      <c r="CD35" s="389"/>
      <c r="CE35" s="389"/>
      <c r="CF35" s="389"/>
      <c r="CG35" s="389"/>
      <c r="CH35" s="389"/>
      <c r="CI35" s="389"/>
      <c r="CJ35" s="389"/>
      <c r="CK35" s="389"/>
      <c r="CL35" s="389"/>
      <c r="CM35" s="389"/>
      <c r="CN35" s="389"/>
      <c r="CO35" s="389"/>
      <c r="CP35" s="389"/>
      <c r="CQ35" s="389"/>
      <c r="CR35" s="389"/>
      <c r="CS35" s="389"/>
      <c r="CT35" s="389"/>
      <c r="CU35" s="389"/>
      <c r="CV35" s="389"/>
      <c r="CW35" s="389"/>
      <c r="CX35" s="389"/>
      <c r="CY35" s="389"/>
      <c r="CZ35" s="389"/>
      <c r="DA35" s="389"/>
      <c r="DB35" s="389"/>
      <c r="DC35" s="389"/>
      <c r="DD35" s="389"/>
      <c r="DE35" s="389"/>
      <c r="DF35" s="389"/>
      <c r="DG35" s="389"/>
      <c r="DH35" s="389"/>
      <c r="DI35" s="389"/>
      <c r="DJ35" s="389"/>
      <c r="DK35" s="389"/>
      <c r="DL35" s="389"/>
      <c r="DM35" s="389"/>
      <c r="DN35" s="389"/>
      <c r="DO35" s="389"/>
      <c r="DP35" s="389"/>
      <c r="DQ35" s="389"/>
      <c r="DR35" s="389"/>
      <c r="DS35" s="389"/>
      <c r="DT35" s="389"/>
      <c r="DU35" s="389"/>
      <c r="DV35" s="389"/>
      <c r="DW35" s="389"/>
      <c r="DX35" s="389"/>
      <c r="DY35" s="389"/>
      <c r="DZ35" s="389"/>
      <c r="EA35" s="389"/>
      <c r="EB35" s="389"/>
      <c r="EC35" s="392" t="s">
        <v>65</v>
      </c>
    </row>
    <row r="36" spans="1:133" s="390" customForma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89"/>
      <c r="AS36" s="389"/>
      <c r="AT36" s="389"/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89"/>
      <c r="BH36" s="389"/>
      <c r="BI36" s="389"/>
      <c r="BJ36" s="389"/>
      <c r="BK36" s="389"/>
      <c r="BL36" s="389"/>
      <c r="BM36" s="389"/>
      <c r="BN36" s="389"/>
      <c r="BO36" s="389"/>
      <c r="BP36" s="389"/>
      <c r="BQ36" s="389"/>
      <c r="BR36" s="389"/>
      <c r="BS36" s="389"/>
      <c r="BT36" s="389"/>
      <c r="BU36" s="389"/>
      <c r="BV36" s="389"/>
      <c r="BW36" s="389"/>
      <c r="BX36" s="389"/>
      <c r="BY36" s="389"/>
      <c r="BZ36" s="389"/>
      <c r="CA36" s="389"/>
      <c r="CB36" s="389"/>
      <c r="CC36" s="389"/>
      <c r="CD36" s="389"/>
      <c r="CE36" s="389"/>
      <c r="CF36" s="389"/>
      <c r="CG36" s="389"/>
      <c r="CH36" s="389"/>
      <c r="CI36" s="389"/>
      <c r="CJ36" s="389"/>
      <c r="CK36" s="389"/>
      <c r="CL36" s="389"/>
      <c r="CM36" s="389"/>
      <c r="CN36" s="389"/>
      <c r="CO36" s="389"/>
      <c r="CP36" s="389"/>
      <c r="CQ36" s="389"/>
      <c r="CR36" s="389"/>
      <c r="CS36" s="389"/>
      <c r="CT36" s="389"/>
      <c r="CU36" s="389"/>
      <c r="CV36" s="389"/>
      <c r="CW36" s="389"/>
      <c r="CX36" s="389"/>
      <c r="CY36" s="389"/>
      <c r="CZ36" s="389"/>
      <c r="DA36" s="389"/>
      <c r="DB36" s="389"/>
      <c r="DC36" s="389"/>
      <c r="DD36" s="389"/>
      <c r="DE36" s="389"/>
      <c r="DF36" s="389"/>
      <c r="DG36" s="389"/>
      <c r="DH36" s="389"/>
      <c r="DI36" s="389"/>
      <c r="DJ36" s="389"/>
      <c r="DK36" s="389"/>
      <c r="DL36" s="389"/>
      <c r="DM36" s="389"/>
      <c r="DN36" s="389"/>
      <c r="DO36" s="389"/>
      <c r="DP36" s="389"/>
      <c r="DQ36" s="389"/>
      <c r="DR36" s="389"/>
      <c r="DS36" s="389"/>
      <c r="DT36" s="389"/>
      <c r="DU36" s="389"/>
      <c r="DV36" s="389"/>
      <c r="DW36" s="389"/>
      <c r="DX36" s="389"/>
      <c r="DY36" s="389"/>
      <c r="DZ36" s="389"/>
      <c r="EA36" s="389"/>
      <c r="EB36" s="389"/>
      <c r="EC36" s="392" t="s">
        <v>65</v>
      </c>
    </row>
    <row r="37" spans="1:133" s="390" customForma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  <c r="BN37" s="389"/>
      <c r="BO37" s="389"/>
      <c r="BP37" s="389"/>
      <c r="BQ37" s="389"/>
      <c r="BR37" s="389"/>
      <c r="BS37" s="389"/>
      <c r="BT37" s="389"/>
      <c r="BU37" s="389"/>
      <c r="BV37" s="389"/>
      <c r="BW37" s="389"/>
      <c r="BX37" s="389"/>
      <c r="BY37" s="389"/>
      <c r="BZ37" s="389"/>
      <c r="CA37" s="389"/>
      <c r="CB37" s="389"/>
      <c r="CC37" s="389"/>
      <c r="CD37" s="389"/>
      <c r="CE37" s="389"/>
      <c r="CF37" s="389"/>
      <c r="CG37" s="389"/>
      <c r="CH37" s="389"/>
      <c r="CI37" s="389"/>
      <c r="CJ37" s="389"/>
      <c r="CK37" s="389"/>
      <c r="CL37" s="389"/>
      <c r="CM37" s="389"/>
      <c r="CN37" s="389"/>
      <c r="CO37" s="389"/>
      <c r="CP37" s="389"/>
      <c r="CQ37" s="389"/>
      <c r="CR37" s="389"/>
      <c r="CS37" s="389"/>
      <c r="CT37" s="389"/>
      <c r="CU37" s="389"/>
      <c r="CV37" s="389"/>
      <c r="CW37" s="389"/>
      <c r="CX37" s="389"/>
      <c r="CY37" s="389"/>
      <c r="CZ37" s="389"/>
      <c r="DA37" s="389"/>
      <c r="DB37" s="389"/>
      <c r="DC37" s="389"/>
      <c r="DD37" s="389"/>
      <c r="DE37" s="389"/>
      <c r="DF37" s="389"/>
      <c r="DG37" s="389"/>
      <c r="DH37" s="389"/>
      <c r="DI37" s="389"/>
      <c r="DJ37" s="389"/>
      <c r="DK37" s="389"/>
      <c r="DL37" s="389"/>
      <c r="DM37" s="389"/>
      <c r="DN37" s="389"/>
      <c r="DO37" s="389"/>
      <c r="DP37" s="389"/>
      <c r="DQ37" s="389"/>
      <c r="DR37" s="389"/>
      <c r="DS37" s="389"/>
      <c r="DT37" s="389"/>
      <c r="DU37" s="389"/>
      <c r="DV37" s="389"/>
      <c r="DW37" s="389"/>
      <c r="DX37" s="389"/>
      <c r="DY37" s="389"/>
      <c r="DZ37" s="389"/>
      <c r="EA37" s="389"/>
      <c r="EB37" s="389"/>
      <c r="EC37" s="392" t="s">
        <v>65</v>
      </c>
    </row>
    <row r="38" spans="1:133" s="390" customForma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M38" s="389"/>
      <c r="AN38" s="389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  <c r="BN38" s="389"/>
      <c r="BO38" s="389"/>
      <c r="BP38" s="389"/>
      <c r="BQ38" s="389"/>
      <c r="BR38" s="389"/>
      <c r="BS38" s="389"/>
      <c r="BT38" s="389"/>
      <c r="BU38" s="389"/>
      <c r="BV38" s="389"/>
      <c r="BW38" s="389"/>
      <c r="BX38" s="389"/>
      <c r="BY38" s="389"/>
      <c r="BZ38" s="389"/>
      <c r="CA38" s="389"/>
      <c r="CB38" s="389"/>
      <c r="CC38" s="389"/>
      <c r="CD38" s="389"/>
      <c r="CE38" s="389"/>
      <c r="CF38" s="389"/>
      <c r="CG38" s="389"/>
      <c r="CH38" s="389"/>
      <c r="CI38" s="389"/>
      <c r="CJ38" s="389"/>
      <c r="CK38" s="389"/>
      <c r="CL38" s="389"/>
      <c r="CM38" s="389"/>
      <c r="CN38" s="389"/>
      <c r="CO38" s="389"/>
      <c r="CP38" s="389"/>
      <c r="CQ38" s="389"/>
      <c r="CR38" s="389"/>
      <c r="CS38" s="389"/>
      <c r="CT38" s="389"/>
      <c r="CU38" s="389"/>
      <c r="CV38" s="389"/>
      <c r="CW38" s="389"/>
      <c r="CX38" s="389"/>
      <c r="CY38" s="389"/>
      <c r="CZ38" s="389"/>
      <c r="DA38" s="389"/>
      <c r="DB38" s="389"/>
      <c r="DC38" s="389"/>
      <c r="DD38" s="389"/>
      <c r="DE38" s="389"/>
      <c r="DF38" s="389"/>
      <c r="DG38" s="389"/>
      <c r="DH38" s="389"/>
      <c r="DI38" s="389"/>
      <c r="DJ38" s="389"/>
      <c r="DK38" s="389"/>
      <c r="DL38" s="389"/>
      <c r="DM38" s="389"/>
      <c r="DN38" s="389"/>
      <c r="DO38" s="389"/>
      <c r="DP38" s="389"/>
      <c r="DQ38" s="389"/>
      <c r="DR38" s="389"/>
      <c r="DS38" s="389"/>
      <c r="DT38" s="389"/>
      <c r="DU38" s="389"/>
      <c r="DV38" s="389"/>
      <c r="DW38" s="389"/>
      <c r="DX38" s="389"/>
      <c r="DY38" s="389"/>
      <c r="DZ38" s="389"/>
      <c r="EA38" s="389"/>
      <c r="EB38" s="389"/>
      <c r="EC38" s="392" t="s">
        <v>65</v>
      </c>
    </row>
    <row r="39" spans="1:133" s="390" customForma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9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  <c r="BN39" s="389"/>
      <c r="BO39" s="389"/>
      <c r="BP39" s="389"/>
      <c r="BQ39" s="389"/>
      <c r="BR39" s="389"/>
      <c r="BS39" s="389"/>
      <c r="BT39" s="389"/>
      <c r="BU39" s="389"/>
      <c r="BV39" s="389"/>
      <c r="BW39" s="389"/>
      <c r="BX39" s="389"/>
      <c r="BY39" s="389"/>
      <c r="BZ39" s="389"/>
      <c r="CA39" s="389"/>
      <c r="CB39" s="389"/>
      <c r="CC39" s="389"/>
      <c r="CD39" s="389"/>
      <c r="CE39" s="389"/>
      <c r="CF39" s="389"/>
      <c r="CG39" s="389"/>
      <c r="CH39" s="389"/>
      <c r="CI39" s="389"/>
      <c r="CJ39" s="389"/>
      <c r="CK39" s="389"/>
      <c r="CL39" s="389"/>
      <c r="CM39" s="389"/>
      <c r="CN39" s="389"/>
      <c r="CO39" s="389"/>
      <c r="CP39" s="389"/>
      <c r="CQ39" s="389"/>
      <c r="CR39" s="389"/>
      <c r="CS39" s="389"/>
      <c r="CT39" s="389"/>
      <c r="CU39" s="389"/>
      <c r="CV39" s="389"/>
      <c r="CW39" s="389"/>
      <c r="CX39" s="389"/>
      <c r="CY39" s="389"/>
      <c r="CZ39" s="389"/>
      <c r="DA39" s="389"/>
      <c r="DB39" s="389"/>
      <c r="DC39" s="389"/>
      <c r="DD39" s="389"/>
      <c r="DE39" s="389"/>
      <c r="DF39" s="389"/>
      <c r="DG39" s="389"/>
      <c r="DH39" s="389"/>
      <c r="DI39" s="389"/>
      <c r="DJ39" s="389"/>
      <c r="DK39" s="389"/>
      <c r="DL39" s="389"/>
      <c r="DM39" s="389"/>
      <c r="DN39" s="389"/>
      <c r="DO39" s="389"/>
      <c r="DP39" s="389"/>
      <c r="DQ39" s="389"/>
      <c r="DR39" s="389"/>
      <c r="DS39" s="389"/>
      <c r="DT39" s="389"/>
      <c r="DU39" s="389"/>
      <c r="DV39" s="389"/>
      <c r="DW39" s="389"/>
      <c r="DX39" s="389"/>
      <c r="DY39" s="389"/>
      <c r="DZ39" s="389"/>
      <c r="EA39" s="389"/>
      <c r="EB39" s="389"/>
      <c r="EC39" s="392" t="s">
        <v>65</v>
      </c>
    </row>
    <row r="40" spans="1:133">
      <c r="EC40" s="392" t="s">
        <v>65</v>
      </c>
    </row>
    <row r="41" spans="1:133">
      <c r="EC41" s="392" t="s">
        <v>65</v>
      </c>
    </row>
    <row r="42" spans="1:133">
      <c r="EC42" s="392" t="s">
        <v>65</v>
      </c>
    </row>
    <row r="43" spans="1:133">
      <c r="EC43" s="392" t="s">
        <v>65</v>
      </c>
    </row>
    <row r="44" spans="1:133">
      <c r="EC44" s="392" t="s">
        <v>65</v>
      </c>
    </row>
    <row r="45" spans="1:133">
      <c r="EC45" s="392" t="s">
        <v>65</v>
      </c>
    </row>
    <row r="46" spans="1:133">
      <c r="EC46" s="392" t="s">
        <v>65</v>
      </c>
    </row>
    <row r="47" spans="1:133">
      <c r="EC47" s="392" t="s">
        <v>65</v>
      </c>
    </row>
    <row r="48" spans="1:133">
      <c r="EC48" s="392" t="s">
        <v>65</v>
      </c>
    </row>
    <row r="49" spans="133:133">
      <c r="EC49" s="392" t="s">
        <v>65</v>
      </c>
    </row>
    <row r="50" spans="133:133">
      <c r="EC50" s="392" t="s">
        <v>65</v>
      </c>
    </row>
    <row r="51" spans="133:133">
      <c r="EC51" s="392" t="s">
        <v>65</v>
      </c>
    </row>
    <row r="52" spans="133:133">
      <c r="EC52" s="392" t="s">
        <v>65</v>
      </c>
    </row>
    <row r="53" spans="133:133">
      <c r="EC53" s="392" t="s">
        <v>65</v>
      </c>
    </row>
    <row r="54" spans="133:133">
      <c r="EC54" s="392" t="s">
        <v>65</v>
      </c>
    </row>
    <row r="55" spans="133:133">
      <c r="EC55" s="392" t="s">
        <v>65</v>
      </c>
    </row>
    <row r="56" spans="133:133">
      <c r="EC56" s="392" t="s">
        <v>65</v>
      </c>
    </row>
    <row r="57" spans="133:133">
      <c r="EC57" s="392" t="s">
        <v>65</v>
      </c>
    </row>
    <row r="58" spans="133:133">
      <c r="EC58" s="392" t="s">
        <v>65</v>
      </c>
    </row>
    <row r="59" spans="133:133">
      <c r="EC59" s="392" t="s">
        <v>65</v>
      </c>
    </row>
    <row r="60" spans="133:133">
      <c r="EC60" s="392" t="s">
        <v>65</v>
      </c>
    </row>
    <row r="61" spans="133:133">
      <c r="EC61" s="392" t="s">
        <v>65</v>
      </c>
    </row>
    <row r="62" spans="133:133">
      <c r="EC62" s="392" t="s">
        <v>65</v>
      </c>
    </row>
    <row r="63" spans="133:133">
      <c r="EC63" s="392" t="s">
        <v>65</v>
      </c>
    </row>
    <row r="64" spans="133:133">
      <c r="EC64" s="392" t="s">
        <v>65</v>
      </c>
    </row>
    <row r="65" spans="133:133">
      <c r="EC65" s="392" t="s">
        <v>65</v>
      </c>
    </row>
    <row r="66" spans="133:133">
      <c r="EC66" s="392" t="s">
        <v>65</v>
      </c>
    </row>
    <row r="67" spans="133:133">
      <c r="EC67" s="392" t="s">
        <v>65</v>
      </c>
    </row>
    <row r="68" spans="133:133">
      <c r="EC68" s="392" t="s">
        <v>65</v>
      </c>
    </row>
    <row r="69" spans="133:133">
      <c r="EC69" s="392" t="s">
        <v>65</v>
      </c>
    </row>
    <row r="70" spans="133:133">
      <c r="EC70" s="392" t="s">
        <v>65</v>
      </c>
    </row>
    <row r="71" spans="133:133">
      <c r="EC71" s="392" t="s">
        <v>65</v>
      </c>
    </row>
    <row r="72" spans="133:133">
      <c r="EC72" s="392" t="s">
        <v>65</v>
      </c>
    </row>
    <row r="73" spans="133:133">
      <c r="EC73" s="392" t="s">
        <v>65</v>
      </c>
    </row>
    <row r="74" spans="133:133">
      <c r="EC74" s="392" t="s">
        <v>65</v>
      </c>
    </row>
    <row r="75" spans="133:133">
      <c r="EC75" s="392" t="s">
        <v>65</v>
      </c>
    </row>
    <row r="76" spans="133:133">
      <c r="EC76" s="392" t="s">
        <v>65</v>
      </c>
    </row>
    <row r="77" spans="133:133">
      <c r="EC77" s="392" t="s">
        <v>65</v>
      </c>
    </row>
    <row r="78" spans="133:133">
      <c r="EC78" s="392" t="s">
        <v>65</v>
      </c>
    </row>
    <row r="79" spans="133:133">
      <c r="EC79" s="392" t="s">
        <v>65</v>
      </c>
    </row>
    <row r="80" spans="133:133">
      <c r="EC80" s="392" t="s">
        <v>65</v>
      </c>
    </row>
    <row r="81" spans="133:133">
      <c r="EC81" s="392" t="s">
        <v>65</v>
      </c>
    </row>
    <row r="82" spans="133:133">
      <c r="EC82" s="392" t="s">
        <v>65</v>
      </c>
    </row>
    <row r="83" spans="133:133">
      <c r="EC83" s="392" t="s">
        <v>65</v>
      </c>
    </row>
    <row r="84" spans="133:133">
      <c r="EC84" s="392" t="s">
        <v>65</v>
      </c>
    </row>
    <row r="85" spans="133:133">
      <c r="EC85" s="392" t="s">
        <v>65</v>
      </c>
    </row>
    <row r="86" spans="133:133">
      <c r="EC86" s="392" t="s">
        <v>65</v>
      </c>
    </row>
    <row r="87" spans="133:133">
      <c r="EC87" s="392" t="s">
        <v>65</v>
      </c>
    </row>
    <row r="88" spans="133:133">
      <c r="EC88" s="392" t="s">
        <v>65</v>
      </c>
    </row>
    <row r="89" spans="133:133">
      <c r="EC89" s="392" t="s">
        <v>65</v>
      </c>
    </row>
    <row r="90" spans="133:133">
      <c r="EC90" s="392" t="s">
        <v>65</v>
      </c>
    </row>
    <row r="91" spans="133:133">
      <c r="EC91" s="392" t="s">
        <v>65</v>
      </c>
    </row>
    <row r="92" spans="133:133">
      <c r="EC92" s="392" t="s">
        <v>65</v>
      </c>
    </row>
    <row r="93" spans="133:133">
      <c r="EC93" s="392" t="s">
        <v>65</v>
      </c>
    </row>
  </sheetData>
  <pageMargins left="0.7" right="0.7" top="0.75" bottom="0.75" header="0.3" footer="0.3"/>
  <pageSetup scale="1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"/>
  <sheetViews>
    <sheetView workbookViewId="0"/>
  </sheetViews>
  <sheetFormatPr defaultColWidth="9.140625" defaultRowHeight="15"/>
  <cols>
    <col min="1" max="16384" width="9.140625" style="8"/>
  </cols>
  <sheetData>
    <row r="1" spans="1:1" ht="51">
      <c r="A1" s="9" t="str">
        <f ca="1">+MID(CELL("filename",$A$1),FIND("]",CELL("filename",$A$1))+1,255)</f>
        <v>Slides ---&gt;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5:S184"/>
  <sheetViews>
    <sheetView showGridLines="0" zoomScale="70" zoomScaleNormal="70" zoomScaleSheetLayoutView="70" workbookViewId="0">
      <selection activeCell="L21" sqref="L21"/>
    </sheetView>
  </sheetViews>
  <sheetFormatPr defaultColWidth="9.140625" defaultRowHeight="14.25" outlineLevelRow="1"/>
  <cols>
    <col min="1" max="1" width="32.42578125" style="58" customWidth="1"/>
    <col min="2" max="2" width="43.28515625" style="58" customWidth="1"/>
    <col min="3" max="3" width="6.42578125" style="58" customWidth="1"/>
    <col min="4" max="4" width="22.42578125" style="58" bestFit="1" customWidth="1"/>
    <col min="5" max="6" width="11.42578125" style="58" customWidth="1"/>
    <col min="7" max="7" width="12.85546875" style="58" bestFit="1" customWidth="1"/>
    <col min="8" max="8" width="11.42578125" style="58" customWidth="1"/>
    <col min="9" max="9" width="8.85546875" style="390"/>
    <col min="10" max="10" width="23" style="390" customWidth="1"/>
    <col min="11" max="11" width="10" style="390" bestFit="1" customWidth="1"/>
    <col min="12" max="12" width="13.42578125" style="390" bestFit="1" customWidth="1"/>
    <col min="13" max="13" width="26.42578125" style="390" customWidth="1"/>
    <col min="14" max="14" width="0.85546875" style="388" customWidth="1"/>
    <col min="15" max="16" width="9.140625" style="388"/>
    <col min="17" max="18" width="21.140625" style="388" customWidth="1"/>
    <col min="19" max="16384" width="9.140625" style="388"/>
  </cols>
  <sheetData>
    <row r="5" spans="1:13" ht="15">
      <c r="A5" s="486" t="s">
        <v>321</v>
      </c>
      <c r="B5" s="326"/>
      <c r="C5" s="326"/>
      <c r="D5" s="326"/>
      <c r="E5" s="326"/>
      <c r="F5" s="326"/>
      <c r="G5" s="326"/>
      <c r="H5" s="326"/>
      <c r="I5" s="487"/>
      <c r="J5" s="487"/>
      <c r="K5" s="487"/>
      <c r="L5" s="487"/>
      <c r="M5" s="487"/>
    </row>
    <row r="6" spans="1:13" ht="15">
      <c r="A6" s="60"/>
      <c r="B6" s="488"/>
      <c r="C6" s="488"/>
      <c r="D6" s="488"/>
      <c r="E6" s="488"/>
      <c r="F6" s="488"/>
      <c r="G6" s="488"/>
      <c r="H6" s="488"/>
      <c r="I6" s="489"/>
    </row>
    <row r="7" spans="1:13" ht="15">
      <c r="A7" s="490" t="s">
        <v>256</v>
      </c>
      <c r="B7" s="491"/>
      <c r="C7" s="491"/>
      <c r="D7" s="491"/>
      <c r="E7" s="491"/>
      <c r="F7" s="491"/>
      <c r="G7" s="491"/>
      <c r="H7" s="491"/>
      <c r="I7" s="489"/>
      <c r="K7" s="492"/>
      <c r="L7" s="492"/>
    </row>
    <row r="8" spans="1:13" ht="15">
      <c r="A8" s="60"/>
      <c r="B8" s="488"/>
      <c r="C8" s="488"/>
      <c r="D8" s="488"/>
      <c r="E8" s="488"/>
      <c r="F8" s="488"/>
      <c r="G8" s="488"/>
      <c r="H8" s="488"/>
      <c r="I8" s="489"/>
      <c r="K8" s="492"/>
      <c r="L8" s="492"/>
    </row>
    <row r="9" spans="1:13" ht="18">
      <c r="A9" s="608" t="s">
        <v>595</v>
      </c>
      <c r="B9" s="609"/>
      <c r="C9" s="608"/>
      <c r="D9" s="608"/>
      <c r="E9" s="608"/>
      <c r="F9" s="608"/>
      <c r="G9" s="608"/>
      <c r="H9" s="608"/>
      <c r="I9" s="610"/>
      <c r="J9" s="487"/>
      <c r="K9" s="487"/>
      <c r="L9" s="487"/>
      <c r="M9" s="487"/>
    </row>
    <row r="10" spans="1:13" ht="18">
      <c r="A10" s="493"/>
      <c r="B10" s="494"/>
      <c r="C10" s="493"/>
      <c r="D10" s="493"/>
      <c r="E10" s="493"/>
      <c r="F10" s="493"/>
      <c r="G10" s="493"/>
      <c r="H10" s="493"/>
      <c r="I10" s="495"/>
    </row>
    <row r="11" spans="1:13" ht="15">
      <c r="A11" s="496"/>
      <c r="B11" s="497"/>
      <c r="C11" s="496"/>
      <c r="D11" s="498" t="s">
        <v>197</v>
      </c>
      <c r="E11" s="499" t="s">
        <v>212</v>
      </c>
      <c r="F11" s="499" t="s">
        <v>198</v>
      </c>
      <c r="G11" s="499" t="s">
        <v>199</v>
      </c>
      <c r="H11" s="499" t="s">
        <v>56</v>
      </c>
      <c r="I11" s="500"/>
    </row>
    <row r="12" spans="1:13" ht="16.5">
      <c r="A12" s="501" t="s">
        <v>211</v>
      </c>
      <c r="B12" s="973">
        <v>44932</v>
      </c>
      <c r="C12" s="502"/>
      <c r="D12" s="503" t="s">
        <v>226</v>
      </c>
      <c r="E12" s="503">
        <v>15</v>
      </c>
      <c r="F12" s="503">
        <v>529</v>
      </c>
      <c r="G12" s="503">
        <v>1638</v>
      </c>
      <c r="H12" s="503">
        <v>3.0964083175803401</v>
      </c>
      <c r="I12" s="500"/>
      <c r="K12" s="504" t="s">
        <v>97</v>
      </c>
      <c r="L12" s="504" t="s">
        <v>210</v>
      </c>
      <c r="M12" s="504" t="s">
        <v>139</v>
      </c>
    </row>
    <row r="13" spans="1:13" ht="15.75">
      <c r="A13" s="501" t="s">
        <v>200</v>
      </c>
      <c r="B13" s="974"/>
      <c r="C13" s="502"/>
      <c r="D13" s="577" t="s">
        <v>165</v>
      </c>
      <c r="E13" s="578">
        <v>5</v>
      </c>
      <c r="F13" s="578">
        <v>428</v>
      </c>
      <c r="G13" s="579">
        <v>1550</v>
      </c>
      <c r="H13" s="506">
        <f>G13/F13</f>
        <v>3.6214953271028039</v>
      </c>
      <c r="I13" s="500"/>
      <c r="J13" s="581" t="s">
        <v>165</v>
      </c>
      <c r="K13" s="507">
        <f t="shared" ref="K13" si="0">E13*F13</f>
        <v>2140</v>
      </c>
      <c r="L13" s="508">
        <f t="shared" ref="L13" si="1">G13*E13</f>
        <v>7750</v>
      </c>
      <c r="M13" s="582" t="s">
        <v>595</v>
      </c>
    </row>
    <row r="14" spans="1:13" ht="15.75">
      <c r="A14" s="501" t="s">
        <v>201</v>
      </c>
      <c r="B14" s="975"/>
      <c r="C14" s="502"/>
      <c r="D14" s="577" t="s">
        <v>165</v>
      </c>
      <c r="E14" s="578">
        <v>61</v>
      </c>
      <c r="F14" s="578">
        <v>474</v>
      </c>
      <c r="G14" s="579">
        <v>1639</v>
      </c>
      <c r="H14" s="506">
        <f t="shared" ref="H14:H35" si="2">G14/F14</f>
        <v>3.4578059071729959</v>
      </c>
      <c r="I14" s="500"/>
      <c r="J14" s="581" t="s">
        <v>165</v>
      </c>
      <c r="K14" s="507">
        <f t="shared" ref="K14:K35" si="3">E14*F14</f>
        <v>28914</v>
      </c>
      <c r="L14" s="508">
        <f t="shared" ref="L14:L35" si="4">G14*E14</f>
        <v>99979</v>
      </c>
      <c r="M14" s="582" t="s">
        <v>595</v>
      </c>
    </row>
    <row r="15" spans="1:13" ht="15.75">
      <c r="A15" s="501" t="s">
        <v>202</v>
      </c>
      <c r="B15" s="974"/>
      <c r="C15" s="502"/>
      <c r="D15" s="577" t="s">
        <v>165</v>
      </c>
      <c r="E15" s="578">
        <v>4</v>
      </c>
      <c r="F15" s="578">
        <v>517</v>
      </c>
      <c r="G15" s="579">
        <v>1626</v>
      </c>
      <c r="H15" s="506">
        <f t="shared" si="2"/>
        <v>3.1450676982591874</v>
      </c>
      <c r="I15" s="500"/>
      <c r="J15" s="581" t="s">
        <v>165</v>
      </c>
      <c r="K15" s="507">
        <f t="shared" si="3"/>
        <v>2068</v>
      </c>
      <c r="L15" s="508">
        <f t="shared" si="4"/>
        <v>6504</v>
      </c>
      <c r="M15" s="582" t="s">
        <v>595</v>
      </c>
    </row>
    <row r="16" spans="1:13" ht="15.75">
      <c r="A16" s="502"/>
      <c r="B16" s="974"/>
      <c r="C16" s="502"/>
      <c r="D16" s="577" t="s">
        <v>165</v>
      </c>
      <c r="E16" s="578">
        <v>2</v>
      </c>
      <c r="F16" s="578">
        <v>558</v>
      </c>
      <c r="G16" s="579">
        <v>1671</v>
      </c>
      <c r="H16" s="506">
        <f t="shared" si="2"/>
        <v>2.9946236559139785</v>
      </c>
      <c r="I16" s="500"/>
      <c r="J16" s="581" t="s">
        <v>165</v>
      </c>
      <c r="K16" s="507">
        <f t="shared" si="3"/>
        <v>1116</v>
      </c>
      <c r="L16" s="508">
        <f t="shared" si="4"/>
        <v>3342</v>
      </c>
      <c r="M16" s="582" t="s">
        <v>595</v>
      </c>
    </row>
    <row r="17" spans="1:19" ht="15.75">
      <c r="A17" s="501" t="s">
        <v>213</v>
      </c>
      <c r="B17" s="976">
        <f>1-5.6%</f>
        <v>0.94399999999999995</v>
      </c>
      <c r="C17" s="502"/>
      <c r="D17" s="577" t="s">
        <v>314</v>
      </c>
      <c r="E17" s="578">
        <v>19</v>
      </c>
      <c r="F17" s="578">
        <v>642</v>
      </c>
      <c r="G17" s="579">
        <v>1778</v>
      </c>
      <c r="H17" s="506">
        <f t="shared" si="2"/>
        <v>2.7694704049844239</v>
      </c>
      <c r="I17" s="500"/>
      <c r="J17" s="581" t="s">
        <v>166</v>
      </c>
      <c r="K17" s="507">
        <f t="shared" si="3"/>
        <v>12198</v>
      </c>
      <c r="L17" s="508">
        <f t="shared" si="4"/>
        <v>33782</v>
      </c>
      <c r="M17" s="582" t="s">
        <v>595</v>
      </c>
    </row>
    <row r="18" spans="1:19" ht="15.75">
      <c r="A18" s="501"/>
      <c r="B18" s="976"/>
      <c r="C18" s="502"/>
      <c r="D18" s="577" t="s">
        <v>314</v>
      </c>
      <c r="E18" s="578">
        <v>41</v>
      </c>
      <c r="F18" s="578">
        <v>670</v>
      </c>
      <c r="G18" s="579">
        <v>1803</v>
      </c>
      <c r="H18" s="506">
        <f t="shared" si="2"/>
        <v>2.6910447761194032</v>
      </c>
      <c r="I18" s="500"/>
      <c r="J18" s="581" t="s">
        <v>166</v>
      </c>
      <c r="K18" s="507">
        <f t="shared" si="3"/>
        <v>27470</v>
      </c>
      <c r="L18" s="508">
        <f t="shared" si="4"/>
        <v>73923</v>
      </c>
      <c r="M18" s="582" t="s">
        <v>595</v>
      </c>
    </row>
    <row r="19" spans="1:19" ht="15.75">
      <c r="A19" s="502"/>
      <c r="B19" s="974"/>
      <c r="C19" s="502"/>
      <c r="D19" s="577" t="s">
        <v>314</v>
      </c>
      <c r="E19" s="578">
        <v>17</v>
      </c>
      <c r="F19" s="578">
        <v>688</v>
      </c>
      <c r="G19" s="579">
        <v>1885</v>
      </c>
      <c r="H19" s="506">
        <f t="shared" si="2"/>
        <v>2.7398255813953489</v>
      </c>
      <c r="I19" s="500"/>
      <c r="J19" s="581" t="s">
        <v>166</v>
      </c>
      <c r="K19" s="507">
        <f t="shared" si="3"/>
        <v>11696</v>
      </c>
      <c r="L19" s="508">
        <f t="shared" si="4"/>
        <v>32045</v>
      </c>
      <c r="M19" s="582" t="s">
        <v>595</v>
      </c>
    </row>
    <row r="20" spans="1:19" ht="15.75">
      <c r="A20" s="501"/>
      <c r="B20" s="974"/>
      <c r="C20" s="502"/>
      <c r="D20" s="577" t="s">
        <v>314</v>
      </c>
      <c r="E20" s="578">
        <v>1</v>
      </c>
      <c r="F20" s="578">
        <v>715</v>
      </c>
      <c r="G20" s="579">
        <v>1795</v>
      </c>
      <c r="H20" s="506">
        <f t="shared" si="2"/>
        <v>2.5104895104895104</v>
      </c>
      <c r="I20" s="500"/>
      <c r="J20" s="581" t="s">
        <v>166</v>
      </c>
      <c r="K20" s="507">
        <f t="shared" si="3"/>
        <v>715</v>
      </c>
      <c r="L20" s="508">
        <f t="shared" si="4"/>
        <v>1795</v>
      </c>
      <c r="M20" s="582" t="s">
        <v>595</v>
      </c>
    </row>
    <row r="21" spans="1:19" ht="15.75">
      <c r="A21" s="501" t="s">
        <v>227</v>
      </c>
      <c r="B21" s="974"/>
      <c r="C21" s="502"/>
      <c r="D21" s="577" t="s">
        <v>314</v>
      </c>
      <c r="E21" s="578">
        <v>12</v>
      </c>
      <c r="F21" s="578">
        <v>724</v>
      </c>
      <c r="G21" s="579">
        <v>2379</v>
      </c>
      <c r="H21" s="506">
        <f t="shared" si="2"/>
        <v>3.2859116022099446</v>
      </c>
      <c r="I21" s="500"/>
      <c r="J21" s="581" t="s">
        <v>166</v>
      </c>
      <c r="K21" s="507">
        <f t="shared" si="3"/>
        <v>8688</v>
      </c>
      <c r="L21" s="508">
        <f t="shared" si="4"/>
        <v>28548</v>
      </c>
      <c r="M21" s="582" t="s">
        <v>595</v>
      </c>
    </row>
    <row r="22" spans="1:19" ht="15.75">
      <c r="A22" s="502"/>
      <c r="B22" s="974"/>
      <c r="C22" s="502"/>
      <c r="D22" s="577" t="s">
        <v>314</v>
      </c>
      <c r="E22" s="578">
        <v>1</v>
      </c>
      <c r="F22" s="578">
        <v>728</v>
      </c>
      <c r="G22" s="579">
        <v>2118</v>
      </c>
      <c r="H22" s="506">
        <f t="shared" si="2"/>
        <v>2.9093406593406592</v>
      </c>
      <c r="I22" s="500"/>
      <c r="J22" s="581" t="s">
        <v>166</v>
      </c>
      <c r="K22" s="507">
        <f t="shared" si="3"/>
        <v>728</v>
      </c>
      <c r="L22" s="508">
        <f t="shared" si="4"/>
        <v>2118</v>
      </c>
      <c r="M22" s="582" t="s">
        <v>595</v>
      </c>
    </row>
    <row r="23" spans="1:19" ht="15.75">
      <c r="A23" s="501" t="s">
        <v>215</v>
      </c>
      <c r="B23" s="977"/>
      <c r="C23" s="502"/>
      <c r="D23" s="577" t="s">
        <v>314</v>
      </c>
      <c r="E23" s="578">
        <v>4</v>
      </c>
      <c r="F23" s="578">
        <v>743</v>
      </c>
      <c r="G23" s="579">
        <v>1987</v>
      </c>
      <c r="H23" s="506">
        <f t="shared" si="2"/>
        <v>2.6742934051144012</v>
      </c>
      <c r="I23" s="500"/>
      <c r="J23" s="581" t="s">
        <v>166</v>
      </c>
      <c r="K23" s="507">
        <f t="shared" si="3"/>
        <v>2972</v>
      </c>
      <c r="L23" s="508">
        <f t="shared" si="4"/>
        <v>7948</v>
      </c>
      <c r="M23" s="582" t="s">
        <v>595</v>
      </c>
    </row>
    <row r="24" spans="1:19" ht="15.75">
      <c r="A24" s="501" t="s">
        <v>204</v>
      </c>
      <c r="B24" s="977"/>
      <c r="C24" s="502"/>
      <c r="D24" s="577" t="s">
        <v>314</v>
      </c>
      <c r="E24" s="578">
        <v>4</v>
      </c>
      <c r="F24" s="578">
        <v>782</v>
      </c>
      <c r="G24" s="579">
        <v>2026</v>
      </c>
      <c r="H24" s="506">
        <f t="shared" si="2"/>
        <v>2.5907928388746804</v>
      </c>
      <c r="I24" s="500"/>
      <c r="J24" s="581" t="s">
        <v>166</v>
      </c>
      <c r="K24" s="507">
        <f t="shared" si="3"/>
        <v>3128</v>
      </c>
      <c r="L24" s="508">
        <f t="shared" si="4"/>
        <v>8104</v>
      </c>
      <c r="M24" s="582" t="s">
        <v>595</v>
      </c>
    </row>
    <row r="25" spans="1:19" ht="15.75">
      <c r="A25" s="501" t="s">
        <v>205</v>
      </c>
      <c r="B25" s="977"/>
      <c r="C25" s="502"/>
      <c r="D25" s="577" t="s">
        <v>314</v>
      </c>
      <c r="E25" s="578">
        <v>3</v>
      </c>
      <c r="F25" s="578">
        <v>826</v>
      </c>
      <c r="G25" s="579">
        <v>1984</v>
      </c>
      <c r="H25" s="506">
        <f t="shared" si="2"/>
        <v>2.4019370460048428</v>
      </c>
      <c r="I25" s="500"/>
      <c r="J25" s="581" t="s">
        <v>166</v>
      </c>
      <c r="K25" s="507">
        <f t="shared" si="3"/>
        <v>2478</v>
      </c>
      <c r="L25" s="508">
        <f t="shared" si="4"/>
        <v>5952</v>
      </c>
      <c r="M25" s="582" t="s">
        <v>595</v>
      </c>
    </row>
    <row r="26" spans="1:19" ht="15.75">
      <c r="A26" s="501" t="s">
        <v>216</v>
      </c>
      <c r="B26" s="974"/>
      <c r="C26" s="502"/>
      <c r="D26" s="577" t="s">
        <v>314</v>
      </c>
      <c r="E26" s="578">
        <v>8</v>
      </c>
      <c r="F26" s="578">
        <v>870</v>
      </c>
      <c r="G26" s="579">
        <v>2039</v>
      </c>
      <c r="H26" s="506">
        <f t="shared" si="2"/>
        <v>2.3436781609195401</v>
      </c>
      <c r="I26" s="500"/>
      <c r="J26" s="581" t="s">
        <v>166</v>
      </c>
      <c r="K26" s="507">
        <f t="shared" si="3"/>
        <v>6960</v>
      </c>
      <c r="L26" s="508">
        <f t="shared" si="4"/>
        <v>16312</v>
      </c>
      <c r="M26" s="582" t="s">
        <v>595</v>
      </c>
      <c r="Q26" s="392"/>
      <c r="R26" s="392"/>
      <c r="S26" s="392"/>
    </row>
    <row r="27" spans="1:19" ht="15.75">
      <c r="A27" s="501" t="s">
        <v>206</v>
      </c>
      <c r="B27" s="978"/>
      <c r="C27" s="502"/>
      <c r="D27" s="577" t="s">
        <v>314</v>
      </c>
      <c r="E27" s="578">
        <v>17</v>
      </c>
      <c r="F27" s="578">
        <v>810</v>
      </c>
      <c r="G27" s="579">
        <v>2133</v>
      </c>
      <c r="H27" s="506">
        <f t="shared" si="2"/>
        <v>2.6333333333333333</v>
      </c>
      <c r="I27" s="500"/>
      <c r="J27" s="581" t="s">
        <v>166</v>
      </c>
      <c r="K27" s="507">
        <f t="shared" si="3"/>
        <v>13770</v>
      </c>
      <c r="L27" s="508">
        <f t="shared" si="4"/>
        <v>36261</v>
      </c>
      <c r="M27" s="582" t="s">
        <v>595</v>
      </c>
      <c r="Q27" s="392"/>
      <c r="R27" s="392"/>
    </row>
    <row r="28" spans="1:19" ht="15">
      <c r="A28" s="501" t="s">
        <v>207</v>
      </c>
      <c r="B28" s="978"/>
      <c r="C28" s="502"/>
      <c r="D28" s="577" t="s">
        <v>314</v>
      </c>
      <c r="E28" s="578">
        <v>2</v>
      </c>
      <c r="F28" s="578">
        <v>900</v>
      </c>
      <c r="G28" s="580">
        <v>2361</v>
      </c>
      <c r="H28" s="506">
        <f t="shared" si="2"/>
        <v>2.6233333333333335</v>
      </c>
      <c r="I28" s="500"/>
      <c r="J28" s="581" t="s">
        <v>166</v>
      </c>
      <c r="K28" s="507">
        <f t="shared" si="3"/>
        <v>1800</v>
      </c>
      <c r="L28" s="508">
        <f t="shared" si="4"/>
        <v>4722</v>
      </c>
      <c r="M28" s="582" t="s">
        <v>595</v>
      </c>
      <c r="Q28" s="392"/>
      <c r="R28" s="392"/>
    </row>
    <row r="29" spans="1:19" ht="15">
      <c r="A29" s="502"/>
      <c r="B29" s="974"/>
      <c r="C29" s="502"/>
      <c r="D29" s="577" t="s">
        <v>315</v>
      </c>
      <c r="E29" s="578">
        <v>4</v>
      </c>
      <c r="F29" s="578">
        <v>939</v>
      </c>
      <c r="G29" s="580">
        <v>2437</v>
      </c>
      <c r="H29" s="506">
        <f t="shared" si="2"/>
        <v>2.5953141640042601</v>
      </c>
      <c r="I29" s="500"/>
      <c r="J29" s="581" t="s">
        <v>167</v>
      </c>
      <c r="K29" s="507">
        <f t="shared" si="3"/>
        <v>3756</v>
      </c>
      <c r="L29" s="508">
        <f t="shared" si="4"/>
        <v>9748</v>
      </c>
      <c r="M29" s="582" t="s">
        <v>595</v>
      </c>
      <c r="Q29" s="392"/>
      <c r="R29" s="392"/>
    </row>
    <row r="30" spans="1:19" ht="15">
      <c r="A30" s="494" t="s">
        <v>228</v>
      </c>
      <c r="B30" s="979"/>
      <c r="C30" s="496"/>
      <c r="D30" s="577" t="s">
        <v>315</v>
      </c>
      <c r="E30" s="578">
        <v>27</v>
      </c>
      <c r="F30" s="578">
        <v>1006</v>
      </c>
      <c r="G30" s="580">
        <v>2296</v>
      </c>
      <c r="H30" s="506">
        <f t="shared" si="2"/>
        <v>2.2823061630218686</v>
      </c>
      <c r="I30" s="500"/>
      <c r="J30" s="581" t="s">
        <v>167</v>
      </c>
      <c r="K30" s="507">
        <f t="shared" si="3"/>
        <v>27162</v>
      </c>
      <c r="L30" s="508">
        <f t="shared" si="4"/>
        <v>61992</v>
      </c>
      <c r="M30" s="582" t="s">
        <v>595</v>
      </c>
      <c r="Q30" s="392"/>
      <c r="R30" s="392"/>
    </row>
    <row r="31" spans="1:19" ht="15">
      <c r="A31" s="494"/>
      <c r="B31" s="979"/>
      <c r="C31" s="496"/>
      <c r="D31" s="577" t="s">
        <v>315</v>
      </c>
      <c r="E31" s="578">
        <v>4</v>
      </c>
      <c r="F31" s="578">
        <v>1039</v>
      </c>
      <c r="G31" s="580">
        <v>2319</v>
      </c>
      <c r="H31" s="506">
        <f t="shared" si="2"/>
        <v>2.231953801732435</v>
      </c>
      <c r="I31" s="500"/>
      <c r="J31" s="581" t="s">
        <v>167</v>
      </c>
      <c r="K31" s="507">
        <f t="shared" si="3"/>
        <v>4156</v>
      </c>
      <c r="L31" s="508">
        <f t="shared" si="4"/>
        <v>9276</v>
      </c>
      <c r="M31" s="582" t="s">
        <v>595</v>
      </c>
      <c r="Q31" s="392"/>
      <c r="R31" s="392"/>
    </row>
    <row r="32" spans="1:19" ht="15">
      <c r="A32" s="494"/>
      <c r="B32" s="979"/>
      <c r="C32" s="496"/>
      <c r="D32" s="577" t="s">
        <v>315</v>
      </c>
      <c r="E32" s="578">
        <v>8</v>
      </c>
      <c r="F32" s="578">
        <v>1131</v>
      </c>
      <c r="G32" s="580">
        <v>2565</v>
      </c>
      <c r="H32" s="506">
        <f t="shared" si="2"/>
        <v>2.2679045092838197</v>
      </c>
      <c r="I32" s="500"/>
      <c r="J32" s="581" t="s">
        <v>167</v>
      </c>
      <c r="K32" s="507">
        <f t="shared" si="3"/>
        <v>9048</v>
      </c>
      <c r="L32" s="508">
        <f t="shared" si="4"/>
        <v>20520</v>
      </c>
      <c r="M32" s="582" t="s">
        <v>595</v>
      </c>
      <c r="Q32" s="392"/>
      <c r="R32" s="392"/>
    </row>
    <row r="33" spans="1:18" ht="15">
      <c r="A33" s="494"/>
      <c r="B33" s="979"/>
      <c r="C33" s="496"/>
      <c r="D33" s="577" t="s">
        <v>315</v>
      </c>
      <c r="E33" s="578">
        <v>3</v>
      </c>
      <c r="F33" s="578">
        <v>1135</v>
      </c>
      <c r="G33" s="580">
        <v>2425</v>
      </c>
      <c r="H33" s="506">
        <f t="shared" si="2"/>
        <v>2.1365638766519823</v>
      </c>
      <c r="I33" s="500"/>
      <c r="J33" s="581" t="s">
        <v>167</v>
      </c>
      <c r="K33" s="507">
        <f t="shared" si="3"/>
        <v>3405</v>
      </c>
      <c r="L33" s="508">
        <f t="shared" si="4"/>
        <v>7275</v>
      </c>
      <c r="M33" s="582" t="s">
        <v>595</v>
      </c>
      <c r="Q33" s="392"/>
      <c r="R33" s="392"/>
    </row>
    <row r="34" spans="1:18" ht="15">
      <c r="A34" s="494"/>
      <c r="B34" s="979"/>
      <c r="C34" s="496"/>
      <c r="D34" s="577" t="s">
        <v>315</v>
      </c>
      <c r="E34" s="578">
        <v>12</v>
      </c>
      <c r="F34" s="578">
        <v>1174</v>
      </c>
      <c r="G34" s="580">
        <v>2542</v>
      </c>
      <c r="H34" s="506">
        <f t="shared" si="2"/>
        <v>2.1652470187393527</v>
      </c>
      <c r="I34" s="500"/>
      <c r="J34" s="581" t="s">
        <v>167</v>
      </c>
      <c r="K34" s="507">
        <f t="shared" si="3"/>
        <v>14088</v>
      </c>
      <c r="L34" s="508">
        <f t="shared" si="4"/>
        <v>30504</v>
      </c>
      <c r="M34" s="582" t="s">
        <v>595</v>
      </c>
      <c r="Q34" s="392"/>
      <c r="R34" s="392"/>
    </row>
    <row r="35" spans="1:18" ht="15">
      <c r="A35" s="494"/>
      <c r="B35" s="979"/>
      <c r="C35" s="496"/>
      <c r="D35" s="577" t="s">
        <v>315</v>
      </c>
      <c r="E35" s="578">
        <v>12</v>
      </c>
      <c r="F35" s="578">
        <v>1294</v>
      </c>
      <c r="G35" s="580">
        <v>2731</v>
      </c>
      <c r="H35" s="506">
        <f t="shared" si="2"/>
        <v>2.1105100463678514</v>
      </c>
      <c r="I35" s="500"/>
      <c r="J35" s="581" t="s">
        <v>167</v>
      </c>
      <c r="K35" s="507">
        <f t="shared" si="3"/>
        <v>15528</v>
      </c>
      <c r="L35" s="508">
        <f t="shared" si="4"/>
        <v>32772</v>
      </c>
      <c r="M35" s="582" t="s">
        <v>595</v>
      </c>
      <c r="Q35" s="392"/>
      <c r="R35" s="392"/>
    </row>
    <row r="36" spans="1:18" ht="15">
      <c r="A36" s="494"/>
      <c r="B36" s="979"/>
      <c r="C36" s="496"/>
      <c r="D36" s="577"/>
      <c r="E36" s="578"/>
      <c r="F36" s="578"/>
      <c r="G36" s="580"/>
      <c r="H36" s="506"/>
      <c r="I36" s="500"/>
      <c r="J36" s="1042"/>
      <c r="K36" s="507"/>
      <c r="L36" s="508"/>
      <c r="M36" s="583"/>
      <c r="Q36" s="392"/>
      <c r="R36" s="392"/>
    </row>
    <row r="37" spans="1:18" ht="15">
      <c r="A37" s="494"/>
      <c r="B37" s="979"/>
      <c r="C37" s="496"/>
      <c r="D37" s="577"/>
      <c r="E37" s="578"/>
      <c r="F37" s="578"/>
      <c r="G37" s="580"/>
      <c r="H37" s="506"/>
      <c r="I37" s="500"/>
      <c r="J37" s="1042"/>
      <c r="K37" s="507"/>
      <c r="L37" s="508"/>
      <c r="M37" s="583"/>
      <c r="Q37" s="392"/>
      <c r="R37" s="392"/>
    </row>
    <row r="38" spans="1:18" ht="15">
      <c r="A38" s="494"/>
      <c r="B38" s="979"/>
      <c r="C38" s="496"/>
      <c r="D38" s="577"/>
      <c r="E38" s="578"/>
      <c r="F38" s="578"/>
      <c r="G38" s="580"/>
      <c r="H38" s="506"/>
      <c r="I38" s="500"/>
      <c r="J38" s="1042"/>
      <c r="K38" s="507"/>
      <c r="L38" s="508"/>
      <c r="M38" s="583"/>
      <c r="Q38" s="392"/>
      <c r="R38" s="392"/>
    </row>
    <row r="39" spans="1:18" ht="15">
      <c r="B39" s="73"/>
      <c r="D39" s="498" t="s">
        <v>209</v>
      </c>
      <c r="E39" s="1043">
        <f>SUM(E13:E38)</f>
        <v>271</v>
      </c>
      <c r="F39" s="512">
        <f>SUMPRODUCT(E13:E38,F13:F38)/SUM(E13:E38)</f>
        <v>752.70848708487085</v>
      </c>
      <c r="G39" s="512">
        <f>SUMPRODUCT(E13:E38,G13:G38)/SUM(E13:E38)</f>
        <v>1996.9446494464944</v>
      </c>
      <c r="H39" s="512">
        <f>G39/F39</f>
        <v>2.6530120009412501</v>
      </c>
      <c r="Q39" s="392"/>
      <c r="R39" s="392"/>
    </row>
    <row r="40" spans="1:18" ht="15">
      <c r="B40" s="73"/>
      <c r="D40" s="611"/>
      <c r="E40" s="503"/>
      <c r="F40" s="612"/>
      <c r="G40" s="613"/>
      <c r="H40" s="1301"/>
      <c r="Q40" s="390"/>
      <c r="R40" s="390"/>
    </row>
    <row r="41" spans="1:18" ht="15">
      <c r="A41" s="608" t="s">
        <v>596</v>
      </c>
      <c r="B41" s="609"/>
      <c r="C41" s="608"/>
      <c r="D41" s="608"/>
      <c r="E41" s="608"/>
      <c r="F41" s="608"/>
      <c r="G41" s="608"/>
      <c r="H41" s="608"/>
      <c r="I41" s="614"/>
      <c r="J41" s="487"/>
      <c r="K41" s="487"/>
      <c r="L41" s="487"/>
      <c r="M41" s="487"/>
      <c r="Q41" s="392"/>
      <c r="R41" s="392"/>
    </row>
    <row r="42" spans="1:18">
      <c r="A42" s="496"/>
      <c r="B42" s="513"/>
      <c r="C42" s="496"/>
      <c r="D42" s="514"/>
      <c r="E42" s="515"/>
      <c r="F42" s="515"/>
      <c r="G42" s="511"/>
      <c r="H42" s="511"/>
      <c r="I42" s="500"/>
    </row>
    <row r="43" spans="1:18" ht="16.5">
      <c r="A43" s="494" t="s">
        <v>211</v>
      </c>
      <c r="B43" s="973">
        <v>44932</v>
      </c>
      <c r="C43" s="496"/>
      <c r="D43" s="516" t="s">
        <v>197</v>
      </c>
      <c r="E43" s="517" t="s">
        <v>212</v>
      </c>
      <c r="F43" s="517" t="s">
        <v>198</v>
      </c>
      <c r="G43" s="518" t="s">
        <v>199</v>
      </c>
      <c r="H43" s="518" t="s">
        <v>56</v>
      </c>
      <c r="I43" s="500"/>
      <c r="K43" s="504" t="s">
        <v>97</v>
      </c>
      <c r="L43" s="504" t="s">
        <v>210</v>
      </c>
      <c r="M43" s="504" t="s">
        <v>139</v>
      </c>
    </row>
    <row r="44" spans="1:18" ht="15">
      <c r="A44" s="494" t="s">
        <v>200</v>
      </c>
      <c r="B44" s="980"/>
      <c r="C44" s="496"/>
      <c r="D44" s="577" t="s">
        <v>165</v>
      </c>
      <c r="E44" s="578">
        <v>33</v>
      </c>
      <c r="F44" s="578">
        <v>541</v>
      </c>
      <c r="G44" s="580">
        <v>1391</v>
      </c>
      <c r="H44" s="519">
        <f>+G44/F44</f>
        <v>2.5711645101663585</v>
      </c>
      <c r="I44" s="500"/>
      <c r="J44" s="581" t="s">
        <v>165</v>
      </c>
      <c r="K44" s="430">
        <f t="shared" ref="K44" si="5">F44*E44</f>
        <v>17853</v>
      </c>
      <c r="L44" s="508">
        <f t="shared" ref="L44" si="6">G44*E44</f>
        <v>45903</v>
      </c>
      <c r="M44" s="589" t="s">
        <v>596</v>
      </c>
    </row>
    <row r="45" spans="1:18" ht="15">
      <c r="A45" s="494" t="s">
        <v>201</v>
      </c>
      <c r="B45" s="980"/>
      <c r="C45" s="496"/>
      <c r="D45" s="577" t="s">
        <v>165</v>
      </c>
      <c r="E45" s="578">
        <v>36</v>
      </c>
      <c r="F45" s="578">
        <v>552</v>
      </c>
      <c r="G45" s="580">
        <v>1449</v>
      </c>
      <c r="H45" s="519">
        <f t="shared" ref="H45:H52" si="7">+G45/F45</f>
        <v>2.625</v>
      </c>
      <c r="I45" s="500"/>
      <c r="J45" s="581" t="s">
        <v>165</v>
      </c>
      <c r="K45" s="430">
        <f t="shared" ref="K45:K52" si="8">F45*E45</f>
        <v>19872</v>
      </c>
      <c r="L45" s="508">
        <f t="shared" ref="L45:L52" si="9">G45*E45</f>
        <v>52164</v>
      </c>
      <c r="M45" s="589" t="s">
        <v>596</v>
      </c>
    </row>
    <row r="46" spans="1:18" ht="15">
      <c r="A46" s="494" t="s">
        <v>202</v>
      </c>
      <c r="B46" s="979"/>
      <c r="C46" s="496"/>
      <c r="D46" s="577" t="s">
        <v>314</v>
      </c>
      <c r="E46" s="578">
        <v>52</v>
      </c>
      <c r="F46" s="578">
        <v>652</v>
      </c>
      <c r="G46" s="580">
        <v>1695</v>
      </c>
      <c r="H46" s="519">
        <f t="shared" si="7"/>
        <v>2.5996932515337425</v>
      </c>
      <c r="I46" s="500"/>
      <c r="J46" s="581" t="s">
        <v>166</v>
      </c>
      <c r="K46" s="430">
        <f t="shared" si="8"/>
        <v>33904</v>
      </c>
      <c r="L46" s="508">
        <f t="shared" si="9"/>
        <v>88140</v>
      </c>
      <c r="M46" s="589" t="s">
        <v>596</v>
      </c>
    </row>
    <row r="47" spans="1:18" ht="15">
      <c r="A47" s="494"/>
      <c r="B47" s="974"/>
      <c r="C47" s="496"/>
      <c r="D47" s="577" t="s">
        <v>314</v>
      </c>
      <c r="E47" s="578">
        <v>97</v>
      </c>
      <c r="F47" s="578">
        <v>701</v>
      </c>
      <c r="G47" s="580">
        <v>1742</v>
      </c>
      <c r="H47" s="519">
        <f t="shared" si="7"/>
        <v>2.485021398002853</v>
      </c>
      <c r="I47" s="500"/>
      <c r="J47" s="581" t="s">
        <v>166</v>
      </c>
      <c r="K47" s="430">
        <f t="shared" si="8"/>
        <v>67997</v>
      </c>
      <c r="L47" s="508">
        <f t="shared" si="9"/>
        <v>168974</v>
      </c>
      <c r="M47" s="589" t="s">
        <v>596</v>
      </c>
    </row>
    <row r="48" spans="1:18" ht="15">
      <c r="A48" s="494" t="s">
        <v>213</v>
      </c>
      <c r="B48" s="981">
        <f>1-6.9%</f>
        <v>0.93100000000000005</v>
      </c>
      <c r="C48" s="496"/>
      <c r="D48" s="577" t="s">
        <v>314</v>
      </c>
      <c r="E48" s="578">
        <v>4</v>
      </c>
      <c r="F48" s="578">
        <v>748</v>
      </c>
      <c r="G48" s="580">
        <v>2003</v>
      </c>
      <c r="H48" s="519">
        <f t="shared" si="7"/>
        <v>2.677807486631016</v>
      </c>
      <c r="I48" s="500"/>
      <c r="J48" s="581" t="s">
        <v>166</v>
      </c>
      <c r="K48" s="430">
        <f t="shared" si="8"/>
        <v>2992</v>
      </c>
      <c r="L48" s="508">
        <f t="shared" si="9"/>
        <v>8012</v>
      </c>
      <c r="M48" s="589" t="s">
        <v>596</v>
      </c>
    </row>
    <row r="49" spans="1:15" ht="15">
      <c r="A49" s="494"/>
      <c r="B49" s="981"/>
      <c r="C49" s="496"/>
      <c r="D49" s="577" t="s">
        <v>315</v>
      </c>
      <c r="E49" s="578">
        <v>43</v>
      </c>
      <c r="F49" s="578">
        <v>961</v>
      </c>
      <c r="G49" s="580">
        <v>2315</v>
      </c>
      <c r="H49" s="519">
        <f t="shared" si="7"/>
        <v>2.4089490114464098</v>
      </c>
      <c r="I49" s="500"/>
      <c r="J49" s="581" t="s">
        <v>167</v>
      </c>
      <c r="K49" s="430">
        <f t="shared" si="8"/>
        <v>41323</v>
      </c>
      <c r="L49" s="508">
        <f t="shared" si="9"/>
        <v>99545</v>
      </c>
      <c r="M49" s="589" t="s">
        <v>596</v>
      </c>
    </row>
    <row r="50" spans="1:15" ht="15">
      <c r="A50" s="494"/>
      <c r="B50" s="981"/>
      <c r="C50" s="496"/>
      <c r="D50" s="577" t="s">
        <v>315</v>
      </c>
      <c r="E50" s="578">
        <v>39</v>
      </c>
      <c r="F50" s="578">
        <v>1021</v>
      </c>
      <c r="G50" s="580">
        <v>2408</v>
      </c>
      <c r="H50" s="519">
        <f t="shared" si="7"/>
        <v>2.3584720861900097</v>
      </c>
      <c r="I50" s="500"/>
      <c r="J50" s="581" t="s">
        <v>167</v>
      </c>
      <c r="K50" s="430">
        <f t="shared" si="8"/>
        <v>39819</v>
      </c>
      <c r="L50" s="508">
        <f t="shared" si="9"/>
        <v>93912</v>
      </c>
      <c r="M50" s="589" t="s">
        <v>596</v>
      </c>
    </row>
    <row r="51" spans="1:15" ht="15">
      <c r="A51" s="494" t="s">
        <v>203</v>
      </c>
      <c r="B51" s="982"/>
      <c r="C51" s="496"/>
      <c r="D51" s="577" t="s">
        <v>315</v>
      </c>
      <c r="E51" s="578">
        <v>3</v>
      </c>
      <c r="F51" s="578">
        <v>1135</v>
      </c>
      <c r="G51" s="580">
        <v>2356</v>
      </c>
      <c r="H51" s="519">
        <f t="shared" si="7"/>
        <v>2.0757709251101319</v>
      </c>
      <c r="I51" s="500"/>
      <c r="J51" s="581" t="s">
        <v>167</v>
      </c>
      <c r="K51" s="430">
        <f t="shared" si="8"/>
        <v>3405</v>
      </c>
      <c r="L51" s="508">
        <f t="shared" si="9"/>
        <v>7068</v>
      </c>
      <c r="M51" s="589" t="s">
        <v>596</v>
      </c>
    </row>
    <row r="52" spans="1:15" ht="15">
      <c r="A52" s="494" t="s">
        <v>218</v>
      </c>
      <c r="B52" s="982"/>
      <c r="C52" s="496"/>
      <c r="D52" s="577" t="s">
        <v>315</v>
      </c>
      <c r="E52" s="578">
        <v>14</v>
      </c>
      <c r="F52" s="578">
        <v>1149</v>
      </c>
      <c r="G52" s="580">
        <v>2322</v>
      </c>
      <c r="H52" s="519">
        <f t="shared" si="7"/>
        <v>2.0208877284595301</v>
      </c>
      <c r="I52" s="500"/>
      <c r="J52" s="581" t="s">
        <v>167</v>
      </c>
      <c r="K52" s="430">
        <f t="shared" si="8"/>
        <v>16086</v>
      </c>
      <c r="L52" s="508">
        <f t="shared" si="9"/>
        <v>32508</v>
      </c>
      <c r="M52" s="589" t="s">
        <v>596</v>
      </c>
    </row>
    <row r="53" spans="1:15" ht="15">
      <c r="A53" s="494" t="s">
        <v>219</v>
      </c>
      <c r="B53" s="982"/>
      <c r="C53" s="521"/>
      <c r="D53" s="577"/>
      <c r="E53" s="578"/>
      <c r="F53" s="578"/>
      <c r="G53" s="580"/>
      <c r="H53" s="519"/>
      <c r="I53" s="500"/>
      <c r="J53" s="581"/>
      <c r="K53" s="430"/>
      <c r="L53" s="508"/>
      <c r="M53" s="589"/>
      <c r="N53" s="522"/>
      <c r="O53" s="522"/>
    </row>
    <row r="54" spans="1:15" ht="15">
      <c r="A54" s="502"/>
      <c r="B54" s="974"/>
      <c r="C54" s="496"/>
      <c r="D54" s="577"/>
      <c r="E54" s="578"/>
      <c r="F54" s="578"/>
      <c r="G54" s="580"/>
      <c r="H54" s="519"/>
      <c r="I54" s="500"/>
      <c r="J54" s="581"/>
      <c r="K54" s="430"/>
      <c r="L54" s="508"/>
      <c r="M54" s="589"/>
    </row>
    <row r="55" spans="1:15" ht="15">
      <c r="A55" s="494" t="s">
        <v>215</v>
      </c>
      <c r="B55" s="980"/>
      <c r="C55" s="496"/>
      <c r="D55" s="577"/>
      <c r="E55" s="578"/>
      <c r="F55" s="578"/>
      <c r="G55" s="580"/>
      <c r="H55" s="519"/>
      <c r="I55" s="500"/>
      <c r="J55" s="581"/>
      <c r="K55" s="430"/>
      <c r="L55" s="508"/>
      <c r="M55" s="589"/>
    </row>
    <row r="56" spans="1:15" ht="15">
      <c r="A56" s="494" t="s">
        <v>204</v>
      </c>
      <c r="B56" s="980"/>
      <c r="C56" s="496"/>
      <c r="D56" s="577"/>
      <c r="E56" s="578"/>
      <c r="F56" s="578"/>
      <c r="G56" s="580"/>
      <c r="H56" s="519"/>
      <c r="I56" s="500"/>
      <c r="J56" s="581"/>
      <c r="K56" s="430"/>
      <c r="L56" s="508"/>
      <c r="M56" s="589"/>
    </row>
    <row r="57" spans="1:15" ht="15">
      <c r="A57" s="494" t="s">
        <v>205</v>
      </c>
      <c r="B57" s="983"/>
      <c r="C57" s="496"/>
      <c r="D57" s="577"/>
      <c r="E57" s="578"/>
      <c r="F57" s="578"/>
      <c r="G57" s="580"/>
      <c r="H57" s="519"/>
      <c r="I57" s="500"/>
      <c r="J57" s="581"/>
      <c r="K57" s="430"/>
      <c r="L57" s="508"/>
      <c r="M57" s="589"/>
    </row>
    <row r="58" spans="1:15" ht="15">
      <c r="A58" s="494" t="s">
        <v>216</v>
      </c>
      <c r="B58" s="980"/>
      <c r="C58" s="496"/>
      <c r="D58" s="577"/>
      <c r="E58" s="578"/>
      <c r="F58" s="578"/>
      <c r="G58" s="580"/>
      <c r="H58" s="519"/>
      <c r="I58" s="500"/>
      <c r="J58" s="581"/>
      <c r="K58" s="430"/>
      <c r="L58" s="508"/>
      <c r="M58" s="589"/>
    </row>
    <row r="59" spans="1:15" ht="15">
      <c r="A59" s="494" t="s">
        <v>206</v>
      </c>
      <c r="B59" s="980"/>
      <c r="C59" s="496"/>
      <c r="D59" s="577"/>
      <c r="E59" s="578"/>
      <c r="F59" s="578"/>
      <c r="G59" s="580"/>
      <c r="H59" s="519"/>
      <c r="I59" s="500"/>
      <c r="J59" s="581"/>
      <c r="K59" s="430"/>
      <c r="L59" s="508"/>
      <c r="M59" s="589"/>
    </row>
    <row r="60" spans="1:15" ht="15">
      <c r="A60" s="494" t="s">
        <v>207</v>
      </c>
      <c r="B60" s="980"/>
      <c r="C60" s="496"/>
      <c r="D60" s="577"/>
      <c r="E60" s="578"/>
      <c r="F60" s="578"/>
      <c r="G60" s="580"/>
      <c r="H60" s="519"/>
      <c r="I60" s="500"/>
      <c r="J60" s="581"/>
      <c r="K60" s="430"/>
      <c r="L60" s="508"/>
      <c r="M60" s="589"/>
    </row>
    <row r="61" spans="1:15" ht="15">
      <c r="A61" s="496"/>
      <c r="B61" s="979"/>
      <c r="C61" s="496"/>
      <c r="D61" s="577"/>
      <c r="E61" s="578"/>
      <c r="F61" s="578"/>
      <c r="G61" s="580"/>
      <c r="H61" s="519"/>
      <c r="I61" s="500"/>
      <c r="J61" s="581"/>
      <c r="K61" s="430"/>
      <c r="L61" s="508"/>
      <c r="M61" s="589"/>
    </row>
    <row r="62" spans="1:15" ht="15">
      <c r="A62" s="494" t="s">
        <v>208</v>
      </c>
      <c r="B62" s="984"/>
      <c r="C62" s="511"/>
      <c r="D62" s="577"/>
      <c r="E62" s="578"/>
      <c r="F62" s="578"/>
      <c r="G62" s="580"/>
      <c r="H62" s="519"/>
      <c r="I62" s="500"/>
      <c r="J62" s="581"/>
      <c r="K62" s="430"/>
      <c r="L62" s="508"/>
      <c r="M62" s="589"/>
    </row>
    <row r="63" spans="1:15" ht="15">
      <c r="A63" s="494"/>
      <c r="B63" s="510"/>
      <c r="C63" s="511"/>
      <c r="D63" s="577"/>
      <c r="E63" s="578"/>
      <c r="F63" s="578"/>
      <c r="G63" s="580"/>
      <c r="H63" s="519"/>
      <c r="I63" s="500"/>
      <c r="J63" s="581"/>
      <c r="K63" s="430"/>
      <c r="L63" s="508"/>
      <c r="M63" s="589"/>
    </row>
    <row r="64" spans="1:15">
      <c r="A64" s="496"/>
      <c r="B64" s="502"/>
      <c r="C64" s="511"/>
      <c r="D64" s="577"/>
      <c r="E64" s="578"/>
      <c r="F64" s="578"/>
      <c r="G64" s="580"/>
      <c r="H64" s="519"/>
      <c r="I64" s="500"/>
      <c r="J64" s="581"/>
      <c r="K64" s="430"/>
      <c r="L64" s="508"/>
      <c r="M64" s="589"/>
    </row>
    <row r="65" spans="1:13" hidden="1">
      <c r="A65" s="496"/>
      <c r="B65" s="502"/>
      <c r="C65" s="511"/>
      <c r="D65" s="523"/>
      <c r="E65" s="524"/>
      <c r="F65" s="525"/>
      <c r="G65" s="526"/>
      <c r="H65" s="519"/>
      <c r="I65" s="500"/>
      <c r="K65" s="430"/>
      <c r="L65" s="508"/>
      <c r="M65" s="520"/>
    </row>
    <row r="66" spans="1:13" hidden="1">
      <c r="A66" s="502"/>
      <c r="B66" s="509" t="s">
        <v>325</v>
      </c>
      <c r="C66" s="496"/>
      <c r="D66" s="523"/>
      <c r="E66" s="524"/>
      <c r="F66" s="525"/>
      <c r="G66" s="526"/>
      <c r="H66" s="519"/>
      <c r="I66" s="500"/>
      <c r="K66" s="430"/>
      <c r="L66" s="508"/>
      <c r="M66" s="520"/>
    </row>
    <row r="67" spans="1:13" hidden="1">
      <c r="A67" s="496"/>
      <c r="B67" s="527"/>
      <c r="C67" s="496"/>
      <c r="D67" s="523"/>
      <c r="E67" s="524"/>
      <c r="F67" s="525"/>
      <c r="G67" s="526"/>
      <c r="H67" s="519"/>
      <c r="I67" s="500"/>
      <c r="K67" s="430"/>
      <c r="L67" s="508"/>
      <c r="M67" s="520"/>
    </row>
    <row r="68" spans="1:13" hidden="1">
      <c r="A68" s="496"/>
      <c r="B68" s="497"/>
      <c r="C68" s="496"/>
      <c r="D68" s="523"/>
      <c r="E68" s="528"/>
      <c r="F68" s="525"/>
      <c r="G68" s="526"/>
      <c r="H68" s="519"/>
      <c r="I68" s="500"/>
      <c r="K68" s="430"/>
      <c r="L68" s="508"/>
      <c r="M68" s="520"/>
    </row>
    <row r="69" spans="1:13" hidden="1">
      <c r="A69" s="496"/>
      <c r="B69" s="511"/>
      <c r="C69" s="496"/>
      <c r="D69" s="523"/>
      <c r="E69" s="528"/>
      <c r="F69" s="525"/>
      <c r="G69" s="526"/>
      <c r="H69" s="519"/>
      <c r="I69" s="500"/>
      <c r="K69" s="430"/>
      <c r="L69" s="508"/>
      <c r="M69" s="520"/>
    </row>
    <row r="70" spans="1:13" hidden="1">
      <c r="A70" s="496"/>
      <c r="B70" s="511"/>
      <c r="C70" s="496"/>
      <c r="D70" s="523"/>
      <c r="E70" s="528"/>
      <c r="F70" s="525"/>
      <c r="G70" s="526"/>
      <c r="H70" s="519"/>
      <c r="I70" s="500"/>
      <c r="K70" s="430"/>
      <c r="L70" s="508"/>
      <c r="M70" s="520"/>
    </row>
    <row r="71" spans="1:13" ht="15">
      <c r="A71" s="496"/>
      <c r="B71" s="511"/>
      <c r="C71" s="496"/>
      <c r="D71" s="516" t="s">
        <v>209</v>
      </c>
      <c r="E71" s="529">
        <f>SUM(E44:E64)</f>
        <v>321</v>
      </c>
      <c r="F71" s="529">
        <f>SUMPRODUCT(E44:E64,F44:F64)/SUM(E44:E64)</f>
        <v>757.79127725856699</v>
      </c>
      <c r="G71" s="530">
        <f>SUMPRODUCT(E44:E64,G44:G64)/SUM(E44:E64)</f>
        <v>1857.4018691588785</v>
      </c>
      <c r="H71" s="512">
        <f>G71/F71</f>
        <v>2.4510731713333143</v>
      </c>
      <c r="I71" s="500"/>
    </row>
    <row r="72" spans="1:13">
      <c r="A72" s="84"/>
      <c r="B72" s="85"/>
      <c r="C72" s="84"/>
      <c r="D72" s="84"/>
      <c r="E72" s="531"/>
      <c r="F72" s="84"/>
      <c r="G72" s="84"/>
      <c r="H72" s="84"/>
      <c r="K72" s="430"/>
      <c r="L72" s="508"/>
      <c r="M72" s="520"/>
    </row>
    <row r="73" spans="1:13" ht="15">
      <c r="A73" s="615" t="s">
        <v>597</v>
      </c>
      <c r="B73" s="616"/>
      <c r="C73" s="617"/>
      <c r="D73" s="617"/>
      <c r="E73" s="617"/>
      <c r="F73" s="617"/>
      <c r="G73" s="617"/>
      <c r="H73" s="617"/>
      <c r="I73" s="614"/>
      <c r="J73" s="487"/>
      <c r="K73" s="487"/>
      <c r="L73" s="487"/>
      <c r="M73" s="487"/>
    </row>
    <row r="74" spans="1:13">
      <c r="A74" s="496"/>
      <c r="B74" s="513"/>
      <c r="C74" s="496"/>
      <c r="D74" s="514"/>
      <c r="E74" s="515"/>
      <c r="F74" s="515"/>
      <c r="G74" s="511"/>
      <c r="H74" s="511"/>
      <c r="I74" s="500"/>
    </row>
    <row r="75" spans="1:13" ht="16.5">
      <c r="A75" s="494" t="s">
        <v>211</v>
      </c>
      <c r="B75" s="973">
        <v>44932</v>
      </c>
      <c r="C75" s="496"/>
      <c r="D75" s="516" t="s">
        <v>197</v>
      </c>
      <c r="E75" s="517" t="s">
        <v>212</v>
      </c>
      <c r="F75" s="517" t="s">
        <v>198</v>
      </c>
      <c r="G75" s="518" t="s">
        <v>199</v>
      </c>
      <c r="H75" s="518" t="s">
        <v>56</v>
      </c>
      <c r="I75" s="500"/>
      <c r="K75" s="504" t="s">
        <v>97</v>
      </c>
      <c r="L75" s="504" t="s">
        <v>210</v>
      </c>
      <c r="M75" s="504" t="s">
        <v>139</v>
      </c>
    </row>
    <row r="76" spans="1:13" ht="15">
      <c r="A76" s="494" t="s">
        <v>200</v>
      </c>
      <c r="B76" s="980"/>
      <c r="C76" s="496"/>
      <c r="D76" s="577" t="s">
        <v>165</v>
      </c>
      <c r="E76" s="578">
        <v>16</v>
      </c>
      <c r="F76" s="578">
        <v>506</v>
      </c>
      <c r="G76" s="1306">
        <v>1620</v>
      </c>
      <c r="H76" s="506">
        <f>G76/F76</f>
        <v>3.2015810276679844</v>
      </c>
      <c r="I76" s="500"/>
      <c r="J76" s="581" t="s">
        <v>165</v>
      </c>
      <c r="K76" s="430">
        <f t="shared" ref="K76" si="10">F76*E76</f>
        <v>8096</v>
      </c>
      <c r="L76" s="508">
        <f t="shared" ref="L76" si="11">G76*E76</f>
        <v>25920</v>
      </c>
      <c r="M76" s="593" t="s">
        <v>597</v>
      </c>
    </row>
    <row r="77" spans="1:13" ht="15">
      <c r="A77" s="494" t="s">
        <v>201</v>
      </c>
      <c r="B77" s="985"/>
      <c r="C77" s="496"/>
      <c r="D77" s="577" t="s">
        <v>314</v>
      </c>
      <c r="E77" s="578">
        <v>15</v>
      </c>
      <c r="F77" s="578">
        <v>557</v>
      </c>
      <c r="G77" s="1306">
        <v>1800</v>
      </c>
      <c r="H77" s="506">
        <f t="shared" ref="H77:H97" si="12">G77/F77</f>
        <v>3.2315978456014363</v>
      </c>
      <c r="I77" s="500"/>
      <c r="J77" s="581" t="s">
        <v>166</v>
      </c>
      <c r="K77" s="430">
        <f t="shared" ref="K77:K97" si="13">F77*E77</f>
        <v>8355</v>
      </c>
      <c r="L77" s="508">
        <f t="shared" ref="L77:L97" si="14">G77*E77</f>
        <v>27000</v>
      </c>
      <c r="M77" s="593" t="s">
        <v>597</v>
      </c>
    </row>
    <row r="78" spans="1:13" ht="15">
      <c r="A78" s="494" t="s">
        <v>202</v>
      </c>
      <c r="B78" s="979"/>
      <c r="C78" s="496"/>
      <c r="D78" s="577" t="s">
        <v>314</v>
      </c>
      <c r="E78" s="578">
        <v>2</v>
      </c>
      <c r="F78" s="578">
        <v>567</v>
      </c>
      <c r="G78" s="1306">
        <v>1882</v>
      </c>
      <c r="H78" s="506">
        <f t="shared" si="12"/>
        <v>3.3192239858906527</v>
      </c>
      <c r="I78" s="500"/>
      <c r="J78" s="581" t="s">
        <v>166</v>
      </c>
      <c r="K78" s="430">
        <f t="shared" si="13"/>
        <v>1134</v>
      </c>
      <c r="L78" s="508">
        <f t="shared" si="14"/>
        <v>3764</v>
      </c>
      <c r="M78" s="593" t="s">
        <v>597</v>
      </c>
    </row>
    <row r="79" spans="1:13" ht="15">
      <c r="A79" s="494"/>
      <c r="B79" s="974"/>
      <c r="C79" s="496"/>
      <c r="D79" s="577" t="s">
        <v>314</v>
      </c>
      <c r="E79" s="578">
        <v>15</v>
      </c>
      <c r="F79" s="578">
        <v>597</v>
      </c>
      <c r="G79" s="1306">
        <v>2258</v>
      </c>
      <c r="H79" s="506">
        <f t="shared" si="12"/>
        <v>3.7822445561139029</v>
      </c>
      <c r="I79" s="500"/>
      <c r="J79" s="581" t="s">
        <v>166</v>
      </c>
      <c r="K79" s="430">
        <f t="shared" si="13"/>
        <v>8955</v>
      </c>
      <c r="L79" s="508">
        <f t="shared" si="14"/>
        <v>33870</v>
      </c>
      <c r="M79" s="593" t="s">
        <v>597</v>
      </c>
    </row>
    <row r="80" spans="1:13" ht="15">
      <c r="A80" s="494" t="s">
        <v>213</v>
      </c>
      <c r="B80" s="981">
        <f>1-6.3%</f>
        <v>0.93700000000000006</v>
      </c>
      <c r="C80" s="496"/>
      <c r="D80" s="577" t="s">
        <v>314</v>
      </c>
      <c r="E80" s="578">
        <v>15</v>
      </c>
      <c r="F80" s="578">
        <v>613</v>
      </c>
      <c r="G80" s="1306">
        <v>1929</v>
      </c>
      <c r="H80" s="506">
        <f t="shared" si="12"/>
        <v>3.1468189233278956</v>
      </c>
      <c r="I80" s="500"/>
      <c r="J80" s="581" t="s">
        <v>166</v>
      </c>
      <c r="K80" s="430">
        <f t="shared" si="13"/>
        <v>9195</v>
      </c>
      <c r="L80" s="508">
        <f t="shared" si="14"/>
        <v>28935</v>
      </c>
      <c r="M80" s="593" t="s">
        <v>597</v>
      </c>
    </row>
    <row r="81" spans="1:13" ht="15">
      <c r="A81" s="494"/>
      <c r="B81" s="981"/>
      <c r="C81" s="496"/>
      <c r="D81" s="577" t="s">
        <v>314</v>
      </c>
      <c r="E81" s="578">
        <v>32</v>
      </c>
      <c r="F81" s="578">
        <v>637</v>
      </c>
      <c r="G81" s="1306">
        <v>2046</v>
      </c>
      <c r="H81" s="506">
        <f t="shared" si="12"/>
        <v>3.2119309262166404</v>
      </c>
      <c r="I81" s="500"/>
      <c r="J81" s="581" t="s">
        <v>166</v>
      </c>
      <c r="K81" s="430">
        <f t="shared" si="13"/>
        <v>20384</v>
      </c>
      <c r="L81" s="508">
        <f t="shared" si="14"/>
        <v>65472</v>
      </c>
      <c r="M81" s="593" t="s">
        <v>597</v>
      </c>
    </row>
    <row r="82" spans="1:13" ht="15">
      <c r="A82" s="494"/>
      <c r="B82" s="981"/>
      <c r="C82" s="496"/>
      <c r="D82" s="577" t="s">
        <v>314</v>
      </c>
      <c r="E82" s="578">
        <v>16</v>
      </c>
      <c r="F82" s="578">
        <v>673</v>
      </c>
      <c r="G82" s="1306">
        <v>1912</v>
      </c>
      <c r="H82" s="506">
        <f t="shared" si="12"/>
        <v>2.8410104011887074</v>
      </c>
      <c r="I82" s="500"/>
      <c r="J82" s="581" t="s">
        <v>166</v>
      </c>
      <c r="K82" s="430">
        <f t="shared" si="13"/>
        <v>10768</v>
      </c>
      <c r="L82" s="508">
        <f t="shared" si="14"/>
        <v>30592</v>
      </c>
      <c r="M82" s="593" t="s">
        <v>597</v>
      </c>
    </row>
    <row r="83" spans="1:13" ht="15">
      <c r="A83" s="494" t="s">
        <v>203</v>
      </c>
      <c r="B83" s="982"/>
      <c r="C83" s="496"/>
      <c r="D83" s="577" t="s">
        <v>314</v>
      </c>
      <c r="E83" s="578">
        <v>17</v>
      </c>
      <c r="F83" s="578">
        <v>696</v>
      </c>
      <c r="G83" s="1306">
        <v>1848</v>
      </c>
      <c r="H83" s="506">
        <f t="shared" si="12"/>
        <v>2.6551724137931036</v>
      </c>
      <c r="I83" s="500"/>
      <c r="J83" s="581" t="s">
        <v>166</v>
      </c>
      <c r="K83" s="430">
        <f t="shared" si="13"/>
        <v>11832</v>
      </c>
      <c r="L83" s="508">
        <f t="shared" si="14"/>
        <v>31416</v>
      </c>
      <c r="M83" s="593" t="s">
        <v>597</v>
      </c>
    </row>
    <row r="84" spans="1:13" ht="15">
      <c r="A84" s="494" t="s">
        <v>218</v>
      </c>
      <c r="B84" s="982"/>
      <c r="C84" s="496"/>
      <c r="D84" s="577" t="s">
        <v>314</v>
      </c>
      <c r="E84" s="578">
        <v>16</v>
      </c>
      <c r="F84" s="578">
        <v>738</v>
      </c>
      <c r="G84" s="1306">
        <v>1994</v>
      </c>
      <c r="H84" s="506">
        <f t="shared" si="12"/>
        <v>2.7018970189701896</v>
      </c>
      <c r="I84" s="500"/>
      <c r="J84" s="581" t="s">
        <v>166</v>
      </c>
      <c r="K84" s="430">
        <f t="shared" si="13"/>
        <v>11808</v>
      </c>
      <c r="L84" s="508">
        <f t="shared" si="14"/>
        <v>31904</v>
      </c>
      <c r="M84" s="593" t="s">
        <v>597</v>
      </c>
    </row>
    <row r="85" spans="1:13" ht="15">
      <c r="A85" s="494" t="s">
        <v>219</v>
      </c>
      <c r="B85" s="982"/>
      <c r="C85" s="521"/>
      <c r="D85" s="577" t="s">
        <v>314</v>
      </c>
      <c r="E85" s="578">
        <v>16</v>
      </c>
      <c r="F85" s="578">
        <v>867</v>
      </c>
      <c r="G85" s="1306">
        <v>2581</v>
      </c>
      <c r="H85" s="506">
        <f t="shared" si="12"/>
        <v>2.9769319492502881</v>
      </c>
      <c r="I85" s="500"/>
      <c r="J85" s="581" t="s">
        <v>166</v>
      </c>
      <c r="K85" s="430">
        <f t="shared" si="13"/>
        <v>13872</v>
      </c>
      <c r="L85" s="508">
        <f t="shared" si="14"/>
        <v>41296</v>
      </c>
      <c r="M85" s="593" t="s">
        <v>597</v>
      </c>
    </row>
    <row r="86" spans="1:13" ht="15">
      <c r="A86" s="502"/>
      <c r="B86" s="974"/>
      <c r="C86" s="496"/>
      <c r="D86" s="577" t="s">
        <v>314</v>
      </c>
      <c r="E86" s="578">
        <v>16</v>
      </c>
      <c r="F86" s="578">
        <v>872</v>
      </c>
      <c r="G86" s="1306">
        <v>2119</v>
      </c>
      <c r="H86" s="506">
        <f t="shared" si="12"/>
        <v>2.4300458715596331</v>
      </c>
      <c r="I86" s="500"/>
      <c r="J86" s="581" t="s">
        <v>167</v>
      </c>
      <c r="K86" s="430">
        <f t="shared" si="13"/>
        <v>13952</v>
      </c>
      <c r="L86" s="508">
        <f t="shared" si="14"/>
        <v>33904</v>
      </c>
      <c r="M86" s="593" t="s">
        <v>597</v>
      </c>
    </row>
    <row r="87" spans="1:13" ht="15">
      <c r="A87" s="494" t="s">
        <v>215</v>
      </c>
      <c r="B87" s="980"/>
      <c r="C87" s="496"/>
      <c r="D87" s="577" t="s">
        <v>315</v>
      </c>
      <c r="E87" s="578">
        <v>6</v>
      </c>
      <c r="F87" s="578">
        <v>1003</v>
      </c>
      <c r="G87" s="1306">
        <v>3125</v>
      </c>
      <c r="H87" s="506">
        <f t="shared" si="12"/>
        <v>3.1156530408773677</v>
      </c>
      <c r="I87" s="500"/>
      <c r="J87" s="581" t="s">
        <v>167</v>
      </c>
      <c r="K87" s="430">
        <f t="shared" si="13"/>
        <v>6018</v>
      </c>
      <c r="L87" s="508">
        <f t="shared" si="14"/>
        <v>18750</v>
      </c>
      <c r="M87" s="593" t="s">
        <v>597</v>
      </c>
    </row>
    <row r="88" spans="1:13" ht="15">
      <c r="A88" s="494" t="s">
        <v>204</v>
      </c>
      <c r="B88" s="980"/>
      <c r="C88" s="496"/>
      <c r="D88" s="577" t="s">
        <v>315</v>
      </c>
      <c r="E88" s="578">
        <v>6</v>
      </c>
      <c r="F88" s="578">
        <v>1066</v>
      </c>
      <c r="G88" s="1306">
        <v>2889</v>
      </c>
      <c r="H88" s="506">
        <f t="shared" si="12"/>
        <v>2.7101313320825517</v>
      </c>
      <c r="I88" s="500"/>
      <c r="J88" s="581" t="s">
        <v>167</v>
      </c>
      <c r="K88" s="430">
        <f t="shared" si="13"/>
        <v>6396</v>
      </c>
      <c r="L88" s="508">
        <f t="shared" si="14"/>
        <v>17334</v>
      </c>
      <c r="M88" s="593" t="s">
        <v>597</v>
      </c>
    </row>
    <row r="89" spans="1:13" ht="15">
      <c r="A89" s="494" t="s">
        <v>205</v>
      </c>
      <c r="B89" s="986"/>
      <c r="C89" s="496"/>
      <c r="D89" s="577" t="s">
        <v>315</v>
      </c>
      <c r="E89" s="578">
        <v>6</v>
      </c>
      <c r="F89" s="578">
        <v>1117</v>
      </c>
      <c r="G89" s="1306">
        <v>2864</v>
      </c>
      <c r="H89" s="506">
        <f t="shared" si="12"/>
        <v>2.5640107430617727</v>
      </c>
      <c r="I89" s="500"/>
      <c r="J89" s="581" t="s">
        <v>167</v>
      </c>
      <c r="K89" s="430">
        <f t="shared" si="13"/>
        <v>6702</v>
      </c>
      <c r="L89" s="508">
        <f t="shared" si="14"/>
        <v>17184</v>
      </c>
      <c r="M89" s="593" t="s">
        <v>597</v>
      </c>
    </row>
    <row r="90" spans="1:13" ht="15">
      <c r="A90" s="494" t="s">
        <v>216</v>
      </c>
      <c r="B90" s="987"/>
      <c r="C90" s="496"/>
      <c r="D90" s="577" t="s">
        <v>315</v>
      </c>
      <c r="E90" s="578">
        <v>7</v>
      </c>
      <c r="F90" s="578">
        <v>1363</v>
      </c>
      <c r="G90" s="1306">
        <v>4429</v>
      </c>
      <c r="H90" s="506">
        <f t="shared" si="12"/>
        <v>3.2494497432134994</v>
      </c>
      <c r="I90" s="500"/>
      <c r="J90" s="581" t="s">
        <v>167</v>
      </c>
      <c r="K90" s="430">
        <f t="shared" si="13"/>
        <v>9541</v>
      </c>
      <c r="L90" s="508">
        <f t="shared" si="14"/>
        <v>31003</v>
      </c>
      <c r="M90" s="593" t="s">
        <v>597</v>
      </c>
    </row>
    <row r="91" spans="1:13" ht="15">
      <c r="A91" s="494" t="s">
        <v>206</v>
      </c>
      <c r="B91" s="980"/>
      <c r="C91" s="496"/>
      <c r="D91" s="577" t="s">
        <v>315</v>
      </c>
      <c r="E91" s="578">
        <v>8</v>
      </c>
      <c r="F91" s="578">
        <v>1439</v>
      </c>
      <c r="G91" s="1306">
        <v>4554</v>
      </c>
      <c r="H91" s="506">
        <f t="shared" si="12"/>
        <v>3.1646977067407924</v>
      </c>
      <c r="I91" s="500"/>
      <c r="J91" s="581" t="s">
        <v>167</v>
      </c>
      <c r="K91" s="430">
        <f t="shared" si="13"/>
        <v>11512</v>
      </c>
      <c r="L91" s="508">
        <f t="shared" si="14"/>
        <v>36432</v>
      </c>
      <c r="M91" s="593" t="s">
        <v>597</v>
      </c>
    </row>
    <row r="92" spans="1:13" ht="15">
      <c r="A92" s="494" t="s">
        <v>207</v>
      </c>
      <c r="B92" s="980"/>
      <c r="C92" s="496"/>
      <c r="D92" s="577" t="s">
        <v>315</v>
      </c>
      <c r="E92" s="578">
        <v>7</v>
      </c>
      <c r="F92" s="578">
        <v>1547</v>
      </c>
      <c r="G92" s="1306">
        <v>4152</v>
      </c>
      <c r="H92" s="506">
        <f t="shared" si="12"/>
        <v>2.6839043309631543</v>
      </c>
      <c r="I92" s="500"/>
      <c r="J92" s="581" t="s">
        <v>167</v>
      </c>
      <c r="K92" s="430">
        <f t="shared" si="13"/>
        <v>10829</v>
      </c>
      <c r="L92" s="508">
        <f t="shared" si="14"/>
        <v>29064</v>
      </c>
      <c r="M92" s="593" t="s">
        <v>597</v>
      </c>
    </row>
    <row r="93" spans="1:13" ht="15">
      <c r="A93" s="494"/>
      <c r="B93" s="980"/>
      <c r="C93" s="496"/>
      <c r="D93" s="577" t="s">
        <v>315</v>
      </c>
      <c r="E93" s="578">
        <v>1</v>
      </c>
      <c r="F93" s="578">
        <v>1605</v>
      </c>
      <c r="G93" s="1306">
        <v>5062</v>
      </c>
      <c r="H93" s="506">
        <f t="shared" si="12"/>
        <v>3.153894080996885</v>
      </c>
      <c r="I93" s="500"/>
      <c r="J93" s="581" t="s">
        <v>167</v>
      </c>
      <c r="K93" s="430">
        <f t="shared" ref="K93:K95" si="15">F93*E93</f>
        <v>1605</v>
      </c>
      <c r="L93" s="508">
        <f t="shared" ref="L93:L95" si="16">G93*E93</f>
        <v>5062</v>
      </c>
      <c r="M93" s="593" t="s">
        <v>597</v>
      </c>
    </row>
    <row r="94" spans="1:13" ht="15">
      <c r="A94" s="494"/>
      <c r="B94" s="980"/>
      <c r="C94" s="496"/>
      <c r="D94" s="577" t="s">
        <v>315</v>
      </c>
      <c r="E94" s="578">
        <v>1</v>
      </c>
      <c r="F94" s="578">
        <v>1630</v>
      </c>
      <c r="G94" s="1306">
        <v>4632</v>
      </c>
      <c r="H94" s="506">
        <f t="shared" si="12"/>
        <v>2.841717791411043</v>
      </c>
      <c r="I94" s="500"/>
      <c r="J94" s="581" t="s">
        <v>167</v>
      </c>
      <c r="K94" s="430">
        <f t="shared" si="15"/>
        <v>1630</v>
      </c>
      <c r="L94" s="508">
        <f t="shared" si="16"/>
        <v>4632</v>
      </c>
      <c r="M94" s="593" t="s">
        <v>597</v>
      </c>
    </row>
    <row r="95" spans="1:13" ht="15">
      <c r="A95" s="494"/>
      <c r="B95" s="980"/>
      <c r="C95" s="496"/>
      <c r="D95" s="577" t="s">
        <v>315</v>
      </c>
      <c r="E95" s="578">
        <v>7</v>
      </c>
      <c r="F95" s="578">
        <v>1667</v>
      </c>
      <c r="G95" s="1306">
        <v>5577</v>
      </c>
      <c r="H95" s="506">
        <f t="shared" si="12"/>
        <v>3.3455308938212358</v>
      </c>
      <c r="I95" s="500"/>
      <c r="J95" s="581" t="s">
        <v>167</v>
      </c>
      <c r="K95" s="430">
        <f t="shared" si="15"/>
        <v>11669</v>
      </c>
      <c r="L95" s="508">
        <f t="shared" si="16"/>
        <v>39039</v>
      </c>
      <c r="M95" s="593" t="s">
        <v>597</v>
      </c>
    </row>
    <row r="96" spans="1:13" ht="15">
      <c r="A96" s="496"/>
      <c r="B96" s="979"/>
      <c r="C96" s="496"/>
      <c r="D96" s="577" t="s">
        <v>315</v>
      </c>
      <c r="E96" s="578">
        <v>7</v>
      </c>
      <c r="F96" s="578">
        <v>1605</v>
      </c>
      <c r="G96" s="1306">
        <v>6071</v>
      </c>
      <c r="H96" s="506">
        <f t="shared" si="12"/>
        <v>3.7825545171339563</v>
      </c>
      <c r="I96" s="500"/>
      <c r="J96" s="581" t="s">
        <v>167</v>
      </c>
      <c r="K96" s="430">
        <f t="shared" si="13"/>
        <v>11235</v>
      </c>
      <c r="L96" s="508">
        <f t="shared" si="14"/>
        <v>42497</v>
      </c>
      <c r="M96" s="593" t="s">
        <v>597</v>
      </c>
    </row>
    <row r="97" spans="1:16" ht="15">
      <c r="A97" s="494" t="s">
        <v>208</v>
      </c>
      <c r="B97" s="988"/>
      <c r="C97" s="511"/>
      <c r="D97" s="577" t="s">
        <v>315</v>
      </c>
      <c r="E97" s="578">
        <v>6</v>
      </c>
      <c r="F97" s="578">
        <v>1630</v>
      </c>
      <c r="G97" s="1306">
        <v>4880</v>
      </c>
      <c r="H97" s="506">
        <f t="shared" si="12"/>
        <v>2.9938650306748467</v>
      </c>
      <c r="I97" s="500"/>
      <c r="J97" s="581" t="s">
        <v>167</v>
      </c>
      <c r="K97" s="430">
        <f t="shared" si="13"/>
        <v>9780</v>
      </c>
      <c r="L97" s="508">
        <f t="shared" si="14"/>
        <v>29280</v>
      </c>
      <c r="M97" s="593" t="s">
        <v>597</v>
      </c>
    </row>
    <row r="98" spans="1:16">
      <c r="A98" s="496"/>
      <c r="B98" s="502"/>
      <c r="C98" s="511"/>
      <c r="D98" s="590"/>
      <c r="E98" s="590"/>
      <c r="F98" s="591"/>
      <c r="G98" s="592"/>
      <c r="H98" s="519"/>
      <c r="I98" s="500"/>
      <c r="J98" s="581"/>
      <c r="K98" s="430"/>
      <c r="L98" s="508"/>
      <c r="M98" s="589"/>
    </row>
    <row r="99" spans="1:16">
      <c r="A99" s="496"/>
      <c r="B99" s="502"/>
      <c r="C99" s="511"/>
      <c r="D99" s="590"/>
      <c r="E99" s="590"/>
      <c r="F99" s="591"/>
      <c r="G99" s="592"/>
      <c r="H99" s="519"/>
      <c r="I99" s="500"/>
      <c r="K99" s="430"/>
      <c r="L99" s="508"/>
      <c r="M99" s="520"/>
    </row>
    <row r="100" spans="1:16" ht="15">
      <c r="A100" s="496"/>
      <c r="B100" s="511"/>
      <c r="C100" s="496"/>
      <c r="D100" s="516" t="s">
        <v>209</v>
      </c>
      <c r="E100" s="529">
        <f>SUM(E76:E98)</f>
        <v>238</v>
      </c>
      <c r="F100" s="529">
        <f>SUMPRODUCT(E76:E98,F76:F98)/SUM(E76:E98)</f>
        <v>862.47058823529414</v>
      </c>
      <c r="G100" s="530">
        <f>SUMPRODUCT(E76:E98,G76:G98)/SUM(E76:E98)</f>
        <v>2623.3193277310925</v>
      </c>
      <c r="H100" s="512">
        <f>G100/F100</f>
        <v>3.0416333768536741</v>
      </c>
      <c r="I100" s="500"/>
    </row>
    <row r="101" spans="1:16">
      <c r="A101" s="388"/>
      <c r="B101" s="388"/>
    </row>
    <row r="102" spans="1:16" ht="15">
      <c r="A102" s="618"/>
      <c r="B102" s="616"/>
      <c r="C102" s="617"/>
      <c r="D102" s="617"/>
      <c r="E102" s="617"/>
      <c r="F102" s="617"/>
      <c r="G102" s="617"/>
      <c r="H102" s="617"/>
      <c r="I102" s="614"/>
      <c r="J102" s="487"/>
      <c r="K102" s="487"/>
      <c r="L102" s="487"/>
      <c r="M102" s="487"/>
    </row>
    <row r="103" spans="1:16">
      <c r="A103" s="496"/>
      <c r="B103" s="513"/>
      <c r="C103" s="496"/>
      <c r="D103" s="514"/>
      <c r="E103" s="515"/>
      <c r="F103" s="515"/>
      <c r="G103" s="511"/>
      <c r="H103" s="511"/>
      <c r="I103" s="500"/>
    </row>
    <row r="104" spans="1:16" ht="16.5" hidden="1" outlineLevel="1">
      <c r="A104" s="494"/>
      <c r="B104" s="973"/>
      <c r="C104" s="496"/>
      <c r="D104" s="516"/>
      <c r="E104" s="517"/>
      <c r="F104" s="517"/>
      <c r="G104" s="518"/>
      <c r="H104" s="518"/>
      <c r="I104" s="500"/>
      <c r="J104" s="581"/>
      <c r="K104" s="504"/>
      <c r="L104" s="504"/>
      <c r="M104" s="504"/>
    </row>
    <row r="105" spans="1:16" ht="15" hidden="1" outlineLevel="1">
      <c r="A105" s="494"/>
      <c r="B105" s="980"/>
      <c r="C105" s="496"/>
      <c r="D105" s="577"/>
      <c r="E105" s="599"/>
      <c r="F105" s="578"/>
      <c r="G105" s="580"/>
      <c r="H105" s="506"/>
      <c r="I105" s="500"/>
      <c r="J105" s="581"/>
      <c r="K105" s="430"/>
      <c r="L105" s="508"/>
      <c r="M105" s="593"/>
    </row>
    <row r="106" spans="1:16" ht="15" hidden="1" outlineLevel="1">
      <c r="A106" s="494"/>
      <c r="B106" s="980"/>
      <c r="C106" s="496"/>
      <c r="D106" s="577"/>
      <c r="E106" s="599"/>
      <c r="F106" s="578"/>
      <c r="G106" s="580"/>
      <c r="H106" s="506"/>
      <c r="I106" s="500"/>
      <c r="J106" s="581"/>
      <c r="K106" s="430"/>
      <c r="L106" s="508"/>
      <c r="M106" s="593"/>
    </row>
    <row r="107" spans="1:16" ht="15" hidden="1" outlineLevel="1">
      <c r="A107" s="494"/>
      <c r="B107" s="979"/>
      <c r="C107" s="496"/>
      <c r="D107" s="577"/>
      <c r="E107" s="599"/>
      <c r="F107" s="578"/>
      <c r="G107" s="580"/>
      <c r="H107" s="506"/>
      <c r="I107" s="500"/>
      <c r="J107" s="581"/>
      <c r="K107" s="430"/>
      <c r="L107" s="508"/>
      <c r="M107" s="593"/>
    </row>
    <row r="108" spans="1:16" ht="15" hidden="1" outlineLevel="1">
      <c r="A108" s="494"/>
      <c r="B108" s="974"/>
      <c r="C108" s="496"/>
      <c r="D108" s="577"/>
      <c r="E108" s="599"/>
      <c r="F108" s="578"/>
      <c r="G108" s="580"/>
      <c r="H108" s="506"/>
      <c r="I108" s="500"/>
      <c r="J108" s="581"/>
      <c r="K108" s="430"/>
      <c r="L108" s="508"/>
      <c r="M108" s="593"/>
    </row>
    <row r="109" spans="1:16" ht="15" hidden="1" outlineLevel="1">
      <c r="A109" s="494"/>
      <c r="B109" s="981"/>
      <c r="C109" s="496"/>
      <c r="D109" s="577"/>
      <c r="E109" s="599"/>
      <c r="F109" s="578"/>
      <c r="G109" s="580"/>
      <c r="H109" s="506"/>
      <c r="I109" s="509"/>
      <c r="J109" s="581"/>
      <c r="K109" s="430"/>
      <c r="L109" s="508"/>
      <c r="M109" s="593"/>
      <c r="N109" s="509"/>
      <c r="O109" s="509"/>
      <c r="P109" s="509"/>
    </row>
    <row r="110" spans="1:16" ht="15" hidden="1" outlineLevel="1">
      <c r="A110" s="494"/>
      <c r="B110" s="981"/>
      <c r="C110" s="496"/>
      <c r="D110" s="577"/>
      <c r="E110" s="599"/>
      <c r="F110" s="578"/>
      <c r="G110" s="580"/>
      <c r="H110" s="506"/>
      <c r="I110" s="509"/>
      <c r="J110" s="581"/>
      <c r="K110" s="430"/>
      <c r="L110" s="508"/>
      <c r="M110" s="593"/>
      <c r="N110" s="509"/>
      <c r="O110" s="509"/>
      <c r="P110" s="509"/>
    </row>
    <row r="111" spans="1:16" ht="15" hidden="1" outlineLevel="1">
      <c r="A111" s="494"/>
      <c r="B111" s="981"/>
      <c r="C111" s="496"/>
      <c r="D111" s="577"/>
      <c r="E111" s="599"/>
      <c r="F111" s="578"/>
      <c r="G111" s="580"/>
      <c r="H111" s="506"/>
      <c r="I111" s="509"/>
      <c r="J111" s="581"/>
      <c r="K111" s="430"/>
      <c r="L111" s="508"/>
      <c r="M111" s="593"/>
      <c r="N111" s="509"/>
      <c r="O111" s="509"/>
      <c r="P111" s="509"/>
    </row>
    <row r="112" spans="1:16" ht="15" hidden="1" outlineLevel="1">
      <c r="A112" s="494"/>
      <c r="B112" s="982"/>
      <c r="C112" s="496"/>
      <c r="D112" s="577"/>
      <c r="E112" s="599"/>
      <c r="F112" s="578"/>
      <c r="G112" s="580"/>
      <c r="H112" s="506"/>
      <c r="I112" s="509"/>
      <c r="J112" s="581"/>
      <c r="K112" s="430"/>
      <c r="L112" s="508"/>
      <c r="M112" s="593"/>
      <c r="N112" s="509"/>
      <c r="O112" s="509"/>
      <c r="P112" s="509"/>
    </row>
    <row r="113" spans="1:16" ht="15" hidden="1" outlineLevel="1">
      <c r="A113" s="494"/>
      <c r="B113" s="982"/>
      <c r="C113" s="496"/>
      <c r="D113" s="577"/>
      <c r="E113" s="599"/>
      <c r="F113" s="578"/>
      <c r="G113" s="580"/>
      <c r="H113" s="506"/>
      <c r="I113" s="509"/>
      <c r="J113" s="581"/>
      <c r="K113" s="430"/>
      <c r="L113" s="508"/>
      <c r="M113" s="593"/>
      <c r="N113" s="509"/>
      <c r="O113" s="509"/>
      <c r="P113" s="509"/>
    </row>
    <row r="114" spans="1:16" ht="15" hidden="1" outlineLevel="1">
      <c r="A114" s="494"/>
      <c r="B114" s="982"/>
      <c r="C114" s="521"/>
      <c r="D114" s="577"/>
      <c r="E114" s="599"/>
      <c r="F114" s="578"/>
      <c r="G114" s="580"/>
      <c r="H114" s="506"/>
      <c r="I114" s="509"/>
      <c r="J114" s="581"/>
      <c r="K114" s="430"/>
      <c r="L114" s="508"/>
      <c r="M114" s="593"/>
      <c r="N114" s="509"/>
      <c r="O114" s="509"/>
      <c r="P114" s="509"/>
    </row>
    <row r="115" spans="1:16" ht="15" hidden="1" outlineLevel="1">
      <c r="A115" s="502"/>
      <c r="B115" s="974"/>
      <c r="C115" s="496"/>
      <c r="D115" s="577"/>
      <c r="E115" s="599"/>
      <c r="F115" s="578"/>
      <c r="G115" s="580"/>
      <c r="H115" s="506"/>
      <c r="I115" s="509"/>
      <c r="J115" s="581"/>
      <c r="K115" s="430"/>
      <c r="L115" s="508"/>
      <c r="M115" s="593"/>
      <c r="N115" s="509"/>
      <c r="O115" s="509"/>
      <c r="P115" s="509"/>
    </row>
    <row r="116" spans="1:16" ht="15" hidden="1" outlineLevel="1">
      <c r="A116" s="494"/>
      <c r="B116" s="980"/>
      <c r="C116" s="496"/>
      <c r="D116" s="577"/>
      <c r="E116" s="599"/>
      <c r="F116" s="578"/>
      <c r="G116" s="580"/>
      <c r="H116" s="506"/>
      <c r="I116" s="509"/>
      <c r="J116" s="581"/>
      <c r="K116" s="430"/>
      <c r="L116" s="508"/>
      <c r="M116" s="593"/>
      <c r="N116" s="509"/>
      <c r="O116" s="509"/>
      <c r="P116" s="509"/>
    </row>
    <row r="117" spans="1:16" ht="15" hidden="1" outlineLevel="1">
      <c r="A117" s="494"/>
      <c r="B117" s="980"/>
      <c r="C117" s="496"/>
      <c r="D117" s="577"/>
      <c r="E117" s="599"/>
      <c r="F117" s="578"/>
      <c r="G117" s="580"/>
      <c r="H117" s="506"/>
      <c r="I117" s="509"/>
      <c r="J117" s="581"/>
      <c r="K117" s="430"/>
      <c r="L117" s="508"/>
      <c r="M117" s="593"/>
      <c r="N117" s="509"/>
      <c r="O117" s="509"/>
      <c r="P117" s="509"/>
    </row>
    <row r="118" spans="1:16" ht="15" hidden="1" outlineLevel="1">
      <c r="A118" s="494"/>
      <c r="B118" s="983"/>
      <c r="C118" s="496"/>
      <c r="D118" s="577"/>
      <c r="E118" s="599"/>
      <c r="F118" s="578"/>
      <c r="G118" s="580"/>
      <c r="H118" s="506"/>
      <c r="I118" s="509"/>
      <c r="J118" s="581"/>
      <c r="K118" s="430"/>
      <c r="L118" s="508"/>
      <c r="M118" s="593"/>
      <c r="N118" s="509"/>
      <c r="O118" s="509"/>
      <c r="P118" s="509"/>
    </row>
    <row r="119" spans="1:16" ht="15" hidden="1" outlineLevel="1">
      <c r="A119" s="494"/>
      <c r="B119" s="980"/>
      <c r="C119" s="496"/>
      <c r="D119" s="577"/>
      <c r="E119" s="599"/>
      <c r="F119" s="578"/>
      <c r="G119" s="580"/>
      <c r="H119" s="506"/>
      <c r="I119" s="509"/>
      <c r="J119" s="581"/>
      <c r="K119" s="430"/>
      <c r="L119" s="508"/>
      <c r="M119" s="593"/>
      <c r="N119" s="509"/>
      <c r="O119" s="509"/>
      <c r="P119" s="509"/>
    </row>
    <row r="120" spans="1:16" ht="15" hidden="1" outlineLevel="1">
      <c r="A120" s="494"/>
      <c r="B120" s="980"/>
      <c r="C120" s="496"/>
      <c r="D120" s="577"/>
      <c r="E120" s="599"/>
      <c r="F120" s="578"/>
      <c r="G120" s="580"/>
      <c r="H120" s="506"/>
      <c r="I120" s="509"/>
      <c r="J120" s="581"/>
      <c r="K120" s="430"/>
      <c r="L120" s="508"/>
      <c r="M120" s="593"/>
      <c r="N120" s="509"/>
      <c r="O120" s="509"/>
      <c r="P120" s="509"/>
    </row>
    <row r="121" spans="1:16" ht="16.5" hidden="1" customHeight="1" outlineLevel="1">
      <c r="A121" s="494"/>
      <c r="B121" s="980"/>
      <c r="C121" s="497"/>
      <c r="D121" s="577"/>
      <c r="E121" s="599"/>
      <c r="F121" s="578"/>
      <c r="G121" s="580"/>
      <c r="H121" s="506"/>
      <c r="I121" s="509"/>
      <c r="J121" s="581"/>
      <c r="K121" s="430"/>
      <c r="L121" s="508"/>
      <c r="M121" s="593"/>
      <c r="N121" s="497"/>
      <c r="O121" s="497"/>
      <c r="P121" s="497"/>
    </row>
    <row r="122" spans="1:16" ht="15" hidden="1" outlineLevel="1">
      <c r="A122" s="496"/>
      <c r="B122" s="509"/>
      <c r="C122" s="509"/>
      <c r="D122" s="596"/>
      <c r="E122" s="600"/>
      <c r="F122" s="596"/>
      <c r="G122" s="596"/>
      <c r="H122" s="506"/>
      <c r="I122" s="509"/>
      <c r="J122" s="581"/>
      <c r="K122" s="430"/>
      <c r="L122" s="508"/>
      <c r="M122" s="593"/>
      <c r="N122" s="509"/>
      <c r="O122" s="509"/>
      <c r="P122" s="509"/>
    </row>
    <row r="123" spans="1:16" ht="15" hidden="1" outlineLevel="1">
      <c r="A123" s="494"/>
      <c r="B123" s="510"/>
      <c r="C123" s="510"/>
      <c r="D123" s="597"/>
      <c r="E123" s="601"/>
      <c r="F123" s="597"/>
      <c r="G123" s="597"/>
      <c r="H123" s="506"/>
      <c r="I123" s="510"/>
      <c r="J123" s="581"/>
      <c r="K123" s="430"/>
      <c r="L123" s="508"/>
      <c r="M123" s="593"/>
      <c r="N123" s="510"/>
      <c r="O123" s="510"/>
      <c r="P123" s="510"/>
    </row>
    <row r="124" spans="1:16" ht="15" hidden="1" outlineLevel="1">
      <c r="A124" s="496"/>
      <c r="B124" s="502"/>
      <c r="C124" s="502"/>
      <c r="D124" s="598"/>
      <c r="E124" s="601"/>
      <c r="F124" s="598"/>
      <c r="G124" s="598"/>
      <c r="H124" s="506"/>
      <c r="I124" s="502"/>
      <c r="J124" s="581"/>
      <c r="K124" s="430"/>
      <c r="L124" s="508"/>
      <c r="M124" s="593"/>
      <c r="N124" s="502"/>
      <c r="O124" s="502"/>
      <c r="P124" s="502"/>
    </row>
    <row r="125" spans="1:16" ht="15" hidden="1" outlineLevel="1">
      <c r="A125" s="496"/>
      <c r="B125" s="502"/>
      <c r="C125" s="502"/>
      <c r="D125" s="598"/>
      <c r="E125" s="601"/>
      <c r="F125" s="598"/>
      <c r="G125" s="598"/>
      <c r="H125" s="502"/>
      <c r="I125" s="502"/>
      <c r="J125" s="502"/>
      <c r="K125" s="430"/>
      <c r="L125" s="508"/>
      <c r="M125" s="593"/>
      <c r="N125" s="502"/>
      <c r="O125" s="502"/>
      <c r="P125" s="502"/>
    </row>
    <row r="126" spans="1:16" ht="15" hidden="1" outlineLevel="1">
      <c r="A126" s="496"/>
      <c r="B126" s="502"/>
      <c r="C126" s="502"/>
      <c r="D126" s="516" t="s">
        <v>209</v>
      </c>
      <c r="E126" s="529">
        <f>SUM(E105:E125)</f>
        <v>0</v>
      </c>
      <c r="F126" s="529" t="e">
        <f>SUMPRODUCT(E105:E125,F105:F125)/SUM(E105:E125)</f>
        <v>#DIV/0!</v>
      </c>
      <c r="G126" s="530" t="e">
        <f>SUMPRODUCT(E105:E125,G105:G125)/SUM(E105:E125)</f>
        <v>#DIV/0!</v>
      </c>
      <c r="H126" s="512" t="e">
        <f>G126/F126</f>
        <v>#DIV/0!</v>
      </c>
      <c r="I126" s="502"/>
      <c r="J126" s="502"/>
      <c r="K126" s="502"/>
      <c r="L126" s="502"/>
      <c r="M126" s="502"/>
      <c r="N126" s="502"/>
      <c r="O126" s="502"/>
      <c r="P126" s="502"/>
    </row>
    <row r="127" spans="1:16" hidden="1" outlineLevel="1">
      <c r="A127" s="502"/>
      <c r="B127" s="509"/>
      <c r="C127" s="509"/>
      <c r="D127" s="509"/>
      <c r="E127" s="509"/>
      <c r="F127" s="509"/>
      <c r="G127" s="509"/>
      <c r="H127" s="509"/>
      <c r="I127" s="509"/>
      <c r="J127" s="509"/>
      <c r="K127" s="509"/>
      <c r="L127" s="509"/>
      <c r="M127" s="509"/>
      <c r="N127" s="509"/>
      <c r="O127" s="509"/>
      <c r="P127" s="509"/>
    </row>
    <row r="128" spans="1:16" hidden="1" outlineLevel="1">
      <c r="A128" s="1171" t="s">
        <v>686</v>
      </c>
      <c r="B128" s="616"/>
      <c r="C128" s="617"/>
      <c r="D128" s="617"/>
      <c r="E128" s="617"/>
      <c r="F128" s="617"/>
      <c r="G128" s="617"/>
      <c r="H128" s="617"/>
      <c r="I128" s="614"/>
      <c r="J128" s="487"/>
      <c r="K128" s="487"/>
      <c r="L128" s="487"/>
      <c r="M128" s="487"/>
      <c r="N128" s="527"/>
      <c r="O128" s="527"/>
      <c r="P128" s="527"/>
    </row>
    <row r="129" spans="1:16" collapsed="1">
      <c r="A129" s="496"/>
      <c r="B129" s="513"/>
      <c r="C129" s="496"/>
      <c r="D129" s="514"/>
      <c r="E129" s="515"/>
      <c r="F129" s="515"/>
      <c r="G129" s="511"/>
      <c r="H129" s="511"/>
      <c r="I129" s="500"/>
      <c r="N129" s="497"/>
      <c r="O129" s="497"/>
      <c r="P129" s="497"/>
    </row>
    <row r="130" spans="1:16" ht="16.5">
      <c r="A130" s="494" t="s">
        <v>211</v>
      </c>
      <c r="B130" s="973">
        <v>44932</v>
      </c>
      <c r="C130" s="496"/>
      <c r="D130" s="516" t="s">
        <v>197</v>
      </c>
      <c r="E130" s="517" t="s">
        <v>212</v>
      </c>
      <c r="F130" s="517" t="s">
        <v>198</v>
      </c>
      <c r="G130" s="518" t="s">
        <v>199</v>
      </c>
      <c r="H130" s="518" t="s">
        <v>56</v>
      </c>
      <c r="I130" s="500"/>
      <c r="K130" s="504" t="s">
        <v>97</v>
      </c>
      <c r="L130" s="504" t="s">
        <v>210</v>
      </c>
      <c r="M130" s="504" t="s">
        <v>139</v>
      </c>
      <c r="N130" s="511"/>
      <c r="O130" s="511"/>
      <c r="P130" s="511"/>
    </row>
    <row r="131" spans="1:16" ht="15">
      <c r="A131" s="494" t="s">
        <v>200</v>
      </c>
      <c r="B131" s="497"/>
      <c r="C131" s="496"/>
      <c r="D131" s="577" t="s">
        <v>165</v>
      </c>
      <c r="E131" s="599">
        <v>23</v>
      </c>
      <c r="F131" s="578">
        <v>493</v>
      </c>
      <c r="G131" s="580">
        <v>1343</v>
      </c>
      <c r="H131" s="506">
        <f t="shared" ref="H131:H147" si="17">G131/F131</f>
        <v>2.7241379310344827</v>
      </c>
      <c r="I131" s="500"/>
      <c r="J131" s="581" t="s">
        <v>165</v>
      </c>
      <c r="K131" s="430">
        <f t="shared" ref="K131:K141" si="18">F131*E131</f>
        <v>11339</v>
      </c>
      <c r="L131" s="508">
        <f t="shared" ref="L131:L141" si="19">G131*E131</f>
        <v>30889</v>
      </c>
      <c r="M131" s="593" t="s">
        <v>686</v>
      </c>
      <c r="N131" s="511"/>
      <c r="O131" s="511"/>
      <c r="P131" s="511"/>
    </row>
    <row r="132" spans="1:16" ht="15">
      <c r="A132" s="494" t="s">
        <v>201</v>
      </c>
      <c r="B132" s="497"/>
      <c r="C132" s="496"/>
      <c r="D132" s="577" t="s">
        <v>165</v>
      </c>
      <c r="E132" s="599">
        <v>26</v>
      </c>
      <c r="F132" s="578">
        <v>550</v>
      </c>
      <c r="G132" s="580">
        <v>1624</v>
      </c>
      <c r="H132" s="506">
        <f t="shared" si="17"/>
        <v>2.9527272727272726</v>
      </c>
      <c r="I132" s="500"/>
      <c r="J132" s="581" t="s">
        <v>165</v>
      </c>
      <c r="K132" s="430">
        <f t="shared" si="18"/>
        <v>14300</v>
      </c>
      <c r="L132" s="508">
        <f t="shared" si="19"/>
        <v>42224</v>
      </c>
      <c r="M132" s="593" t="s">
        <v>686</v>
      </c>
      <c r="N132" s="511"/>
      <c r="O132" s="511"/>
      <c r="P132" s="511"/>
    </row>
    <row r="133" spans="1:16" ht="15">
      <c r="A133" s="494" t="s">
        <v>202</v>
      </c>
      <c r="B133" s="509"/>
      <c r="C133" s="496"/>
      <c r="D133" s="577" t="s">
        <v>165</v>
      </c>
      <c r="E133" s="599">
        <v>30</v>
      </c>
      <c r="F133" s="578">
        <v>578</v>
      </c>
      <c r="G133" s="580">
        <v>1510</v>
      </c>
      <c r="H133" s="506">
        <f t="shared" si="17"/>
        <v>2.6124567474048441</v>
      </c>
      <c r="I133" s="500"/>
      <c r="J133" s="581" t="s">
        <v>165</v>
      </c>
      <c r="K133" s="430">
        <f t="shared" si="18"/>
        <v>17340</v>
      </c>
      <c r="L133" s="508">
        <f t="shared" si="19"/>
        <v>45300</v>
      </c>
      <c r="M133" s="593" t="s">
        <v>686</v>
      </c>
      <c r="N133" s="58"/>
      <c r="O133" s="58"/>
      <c r="P133" s="58"/>
    </row>
    <row r="134" spans="1:16" ht="15">
      <c r="A134" s="494"/>
      <c r="B134" s="505"/>
      <c r="C134" s="496"/>
      <c r="D134" s="577" t="s">
        <v>314</v>
      </c>
      <c r="E134" s="599">
        <v>5</v>
      </c>
      <c r="F134" s="578">
        <v>597</v>
      </c>
      <c r="G134" s="580">
        <v>1696</v>
      </c>
      <c r="H134" s="506">
        <f t="shared" si="17"/>
        <v>2.8408710217755444</v>
      </c>
      <c r="I134" s="500"/>
      <c r="J134" s="581" t="s">
        <v>166</v>
      </c>
      <c r="K134" s="430">
        <f t="shared" si="18"/>
        <v>2985</v>
      </c>
      <c r="L134" s="508">
        <f t="shared" si="19"/>
        <v>8480</v>
      </c>
      <c r="M134" s="593" t="s">
        <v>686</v>
      </c>
    </row>
    <row r="135" spans="1:16" ht="15">
      <c r="A135" s="494" t="s">
        <v>213</v>
      </c>
      <c r="B135" s="532">
        <f>1-12.7%</f>
        <v>0.873</v>
      </c>
      <c r="C135" s="496"/>
      <c r="D135" s="577" t="s">
        <v>314</v>
      </c>
      <c r="E135" s="599">
        <v>6</v>
      </c>
      <c r="F135" s="578">
        <v>672</v>
      </c>
      <c r="G135" s="580">
        <v>1793</v>
      </c>
      <c r="H135" s="506">
        <f t="shared" si="17"/>
        <v>2.6681547619047619</v>
      </c>
      <c r="I135" s="509"/>
      <c r="J135" s="581" t="s">
        <v>166</v>
      </c>
      <c r="K135" s="430">
        <f t="shared" si="18"/>
        <v>4032</v>
      </c>
      <c r="L135" s="508">
        <f t="shared" si="19"/>
        <v>10758</v>
      </c>
      <c r="M135" s="593" t="s">
        <v>686</v>
      </c>
    </row>
    <row r="136" spans="1:16" ht="15">
      <c r="A136" s="494" t="s">
        <v>214</v>
      </c>
      <c r="B136" s="532"/>
      <c r="C136" s="496"/>
      <c r="D136" s="577" t="s">
        <v>314</v>
      </c>
      <c r="E136" s="599">
        <v>69</v>
      </c>
      <c r="F136" s="578">
        <v>699</v>
      </c>
      <c r="G136" s="580">
        <v>1827</v>
      </c>
      <c r="H136" s="506">
        <f t="shared" si="17"/>
        <v>2.6137339055793993</v>
      </c>
      <c r="I136" s="509"/>
      <c r="J136" s="581" t="s">
        <v>166</v>
      </c>
      <c r="K136" s="430">
        <f t="shared" si="18"/>
        <v>48231</v>
      </c>
      <c r="L136" s="508">
        <f t="shared" si="19"/>
        <v>126063</v>
      </c>
      <c r="M136" s="593" t="s">
        <v>686</v>
      </c>
    </row>
    <row r="137" spans="1:16" ht="15">
      <c r="A137" s="494"/>
      <c r="B137" s="532"/>
      <c r="C137" s="496"/>
      <c r="D137" s="577" t="s">
        <v>314</v>
      </c>
      <c r="E137" s="599">
        <v>44</v>
      </c>
      <c r="F137" s="578">
        <v>767</v>
      </c>
      <c r="G137" s="580">
        <v>2011</v>
      </c>
      <c r="H137" s="506">
        <f t="shared" si="17"/>
        <v>2.6219035202086052</v>
      </c>
      <c r="I137" s="509"/>
      <c r="J137" s="581" t="s">
        <v>166</v>
      </c>
      <c r="K137" s="430">
        <f t="shared" si="18"/>
        <v>33748</v>
      </c>
      <c r="L137" s="508">
        <f t="shared" si="19"/>
        <v>88484</v>
      </c>
      <c r="M137" s="593" t="s">
        <v>686</v>
      </c>
    </row>
    <row r="138" spans="1:16" ht="15">
      <c r="A138" s="494" t="s">
        <v>203</v>
      </c>
      <c r="B138" s="533"/>
      <c r="C138" s="496"/>
      <c r="D138" s="577" t="s">
        <v>314</v>
      </c>
      <c r="E138" s="599">
        <v>39</v>
      </c>
      <c r="F138" s="578">
        <v>813</v>
      </c>
      <c r="G138" s="580">
        <v>2095</v>
      </c>
      <c r="H138" s="506">
        <f t="shared" si="17"/>
        <v>2.5768757687576875</v>
      </c>
      <c r="I138" s="509"/>
      <c r="J138" s="581" t="s">
        <v>166</v>
      </c>
      <c r="K138" s="430">
        <f t="shared" si="18"/>
        <v>31707</v>
      </c>
      <c r="L138" s="508">
        <f t="shared" si="19"/>
        <v>81705</v>
      </c>
      <c r="M138" s="593" t="s">
        <v>686</v>
      </c>
    </row>
    <row r="139" spans="1:16" ht="15">
      <c r="A139" s="494" t="s">
        <v>227</v>
      </c>
      <c r="B139" s="533"/>
      <c r="C139" s="496"/>
      <c r="D139" s="577" t="s">
        <v>314</v>
      </c>
      <c r="E139" s="599">
        <v>2</v>
      </c>
      <c r="F139" s="578">
        <v>898</v>
      </c>
      <c r="G139" s="580">
        <v>2270</v>
      </c>
      <c r="H139" s="506">
        <f t="shared" si="17"/>
        <v>2.5278396436525612</v>
      </c>
      <c r="I139" s="509"/>
      <c r="J139" s="581" t="s">
        <v>166</v>
      </c>
      <c r="K139" s="430">
        <f t="shared" si="18"/>
        <v>1796</v>
      </c>
      <c r="L139" s="508">
        <f t="shared" si="19"/>
        <v>4540</v>
      </c>
      <c r="M139" s="593" t="s">
        <v>686</v>
      </c>
    </row>
    <row r="140" spans="1:16" ht="15">
      <c r="A140" s="494"/>
      <c r="B140" s="533"/>
      <c r="C140" s="521"/>
      <c r="D140" s="577" t="s">
        <v>314</v>
      </c>
      <c r="E140" s="599">
        <v>3</v>
      </c>
      <c r="F140" s="578">
        <v>921</v>
      </c>
      <c r="G140" s="580">
        <v>2328</v>
      </c>
      <c r="H140" s="506">
        <f t="shared" si="17"/>
        <v>2.5276872964169379</v>
      </c>
      <c r="I140" s="509"/>
      <c r="J140" s="581" t="s">
        <v>166</v>
      </c>
      <c r="K140" s="430">
        <f t="shared" si="18"/>
        <v>2763</v>
      </c>
      <c r="L140" s="508">
        <f t="shared" si="19"/>
        <v>6984</v>
      </c>
      <c r="M140" s="593" t="s">
        <v>686</v>
      </c>
    </row>
    <row r="141" spans="1:16" ht="15">
      <c r="A141" s="502"/>
      <c r="B141" s="505"/>
      <c r="C141" s="496"/>
      <c r="D141" s="577" t="s">
        <v>315</v>
      </c>
      <c r="E141" s="599">
        <v>6</v>
      </c>
      <c r="F141" s="578">
        <v>1041</v>
      </c>
      <c r="G141" s="580">
        <v>2562</v>
      </c>
      <c r="H141" s="506">
        <f t="shared" si="17"/>
        <v>2.4610951008645534</v>
      </c>
      <c r="I141" s="509"/>
      <c r="J141" s="581" t="s">
        <v>167</v>
      </c>
      <c r="K141" s="430">
        <f t="shared" si="18"/>
        <v>6246</v>
      </c>
      <c r="L141" s="508">
        <f t="shared" si="19"/>
        <v>15372</v>
      </c>
      <c r="M141" s="593" t="s">
        <v>686</v>
      </c>
    </row>
    <row r="142" spans="1:16" ht="15">
      <c r="A142" s="494" t="s">
        <v>215</v>
      </c>
      <c r="B142" s="497"/>
      <c r="C142" s="496"/>
      <c r="D142" s="577" t="s">
        <v>315</v>
      </c>
      <c r="E142" s="599">
        <v>5</v>
      </c>
      <c r="F142" s="578">
        <v>1051</v>
      </c>
      <c r="G142" s="580">
        <v>2776</v>
      </c>
      <c r="H142" s="506">
        <f t="shared" si="17"/>
        <v>2.6412940057088488</v>
      </c>
      <c r="I142" s="509"/>
      <c r="J142" s="581" t="s">
        <v>167</v>
      </c>
      <c r="K142" s="430">
        <f t="shared" ref="K142:K147" si="20">F142*E142</f>
        <v>5255</v>
      </c>
      <c r="L142" s="508">
        <f t="shared" ref="L142:L147" si="21">G142*E142</f>
        <v>13880</v>
      </c>
      <c r="M142" s="593" t="s">
        <v>686</v>
      </c>
    </row>
    <row r="143" spans="1:16" ht="15">
      <c r="A143" s="494" t="s">
        <v>204</v>
      </c>
      <c r="B143" s="497"/>
      <c r="C143" s="496"/>
      <c r="D143" s="577" t="s">
        <v>315</v>
      </c>
      <c r="E143" s="599">
        <v>6</v>
      </c>
      <c r="F143" s="578">
        <v>1159</v>
      </c>
      <c r="G143" s="580">
        <v>2893</v>
      </c>
      <c r="H143" s="506">
        <f t="shared" si="17"/>
        <v>2.4961173425366696</v>
      </c>
      <c r="I143" s="509"/>
      <c r="J143" s="581" t="s">
        <v>167</v>
      </c>
      <c r="K143" s="430">
        <f t="shared" si="20"/>
        <v>6954</v>
      </c>
      <c r="L143" s="508">
        <f t="shared" si="21"/>
        <v>17358</v>
      </c>
      <c r="M143" s="593" t="s">
        <v>686</v>
      </c>
    </row>
    <row r="144" spans="1:16" ht="15">
      <c r="A144" s="494" t="s">
        <v>205</v>
      </c>
      <c r="B144" s="534"/>
      <c r="C144" s="496"/>
      <c r="D144" s="577" t="s">
        <v>315</v>
      </c>
      <c r="E144" s="599">
        <v>22</v>
      </c>
      <c r="F144" s="578">
        <v>1169</v>
      </c>
      <c r="G144" s="580">
        <v>2903</v>
      </c>
      <c r="H144" s="506">
        <f t="shared" si="17"/>
        <v>2.4833190761334474</v>
      </c>
      <c r="I144" s="509"/>
      <c r="J144" s="581" t="s">
        <v>167</v>
      </c>
      <c r="K144" s="430">
        <f t="shared" si="20"/>
        <v>25718</v>
      </c>
      <c r="L144" s="508">
        <f t="shared" si="21"/>
        <v>63866</v>
      </c>
      <c r="M144" s="593" t="s">
        <v>686</v>
      </c>
    </row>
    <row r="145" spans="1:16" ht="15">
      <c r="A145" s="494" t="s">
        <v>216</v>
      </c>
      <c r="B145" s="497"/>
      <c r="C145" s="496"/>
      <c r="D145" s="577" t="s">
        <v>315</v>
      </c>
      <c r="E145" s="599">
        <v>18</v>
      </c>
      <c r="F145" s="578">
        <v>1200</v>
      </c>
      <c r="G145" s="580">
        <v>2990</v>
      </c>
      <c r="H145" s="506">
        <f t="shared" si="17"/>
        <v>2.4916666666666667</v>
      </c>
      <c r="I145" s="509"/>
      <c r="J145" s="581" t="s">
        <v>167</v>
      </c>
      <c r="K145" s="430">
        <f t="shared" si="20"/>
        <v>21600</v>
      </c>
      <c r="L145" s="508">
        <f t="shared" si="21"/>
        <v>53820</v>
      </c>
      <c r="M145" s="593" t="s">
        <v>686</v>
      </c>
    </row>
    <row r="146" spans="1:16" ht="15">
      <c r="A146" s="494" t="s">
        <v>206</v>
      </c>
      <c r="B146" s="497"/>
      <c r="C146" s="496"/>
      <c r="D146" s="577" t="s">
        <v>315</v>
      </c>
      <c r="E146" s="599">
        <v>3</v>
      </c>
      <c r="F146" s="578">
        <v>1228</v>
      </c>
      <c r="G146" s="580">
        <v>2970</v>
      </c>
      <c r="H146" s="506">
        <f t="shared" si="17"/>
        <v>2.4185667752442996</v>
      </c>
      <c r="I146" s="509"/>
      <c r="J146" s="581" t="s">
        <v>167</v>
      </c>
      <c r="K146" s="430">
        <f t="shared" si="20"/>
        <v>3684</v>
      </c>
      <c r="L146" s="508">
        <f t="shared" si="21"/>
        <v>8910</v>
      </c>
      <c r="M146" s="593" t="s">
        <v>686</v>
      </c>
    </row>
    <row r="147" spans="1:16" ht="15">
      <c r="A147" s="494" t="s">
        <v>207</v>
      </c>
      <c r="B147" s="497"/>
      <c r="C147" s="497"/>
      <c r="D147" s="577" t="s">
        <v>315</v>
      </c>
      <c r="E147" s="599">
        <v>3</v>
      </c>
      <c r="F147" s="578">
        <v>1405</v>
      </c>
      <c r="G147" s="580">
        <v>3550</v>
      </c>
      <c r="H147" s="506">
        <f t="shared" si="17"/>
        <v>2.5266903914590748</v>
      </c>
      <c r="I147" s="509"/>
      <c r="J147" s="581" t="s">
        <v>167</v>
      </c>
      <c r="K147" s="430">
        <f t="shared" si="20"/>
        <v>4215</v>
      </c>
      <c r="L147" s="508">
        <f t="shared" si="21"/>
        <v>10650</v>
      </c>
      <c r="M147" s="593" t="s">
        <v>686</v>
      </c>
    </row>
    <row r="148" spans="1:16" ht="15">
      <c r="A148" s="496"/>
      <c r="B148" s="509"/>
      <c r="C148" s="509"/>
      <c r="D148" s="596"/>
      <c r="E148" s="600"/>
      <c r="F148" s="596"/>
      <c r="G148" s="596"/>
      <c r="H148" s="506"/>
      <c r="I148" s="509"/>
      <c r="J148" s="581"/>
      <c r="K148" s="430"/>
      <c r="L148" s="508"/>
      <c r="M148" s="593"/>
    </row>
    <row r="149" spans="1:16" ht="15">
      <c r="A149" s="494" t="s">
        <v>208</v>
      </c>
      <c r="B149" s="510"/>
      <c r="C149" s="510"/>
      <c r="D149" s="597"/>
      <c r="E149" s="601"/>
      <c r="F149" s="597"/>
      <c r="G149" s="597"/>
      <c r="H149" s="506"/>
      <c r="I149" s="510"/>
      <c r="J149" s="581"/>
      <c r="K149" s="430"/>
      <c r="L149" s="508"/>
      <c r="M149" s="593"/>
    </row>
    <row r="150" spans="1:16" ht="15">
      <c r="A150" s="494"/>
      <c r="B150" s="510"/>
      <c r="C150" s="510"/>
      <c r="D150" s="597"/>
      <c r="E150" s="601"/>
      <c r="F150" s="597"/>
      <c r="G150" s="597"/>
      <c r="H150" s="506"/>
      <c r="I150" s="510"/>
      <c r="J150" s="581"/>
      <c r="K150" s="430"/>
      <c r="L150" s="508"/>
      <c r="M150" s="593"/>
    </row>
    <row r="151" spans="1:16" ht="15">
      <c r="A151" s="494"/>
      <c r="B151" s="510"/>
      <c r="C151" s="510"/>
      <c r="D151" s="597"/>
      <c r="E151" s="601"/>
      <c r="F151" s="597"/>
      <c r="G151" s="597"/>
      <c r="H151" s="506"/>
      <c r="I151" s="510"/>
      <c r="J151" s="581"/>
      <c r="K151" s="430"/>
      <c r="L151" s="508"/>
      <c r="M151" s="593"/>
    </row>
    <row r="152" spans="1:16" ht="15">
      <c r="A152" s="494"/>
      <c r="B152" s="510"/>
      <c r="C152" s="510"/>
      <c r="D152" s="597"/>
      <c r="E152" s="601"/>
      <c r="F152" s="597"/>
      <c r="G152" s="597"/>
      <c r="H152" s="506"/>
      <c r="I152" s="510"/>
      <c r="J152" s="581"/>
      <c r="K152" s="430"/>
      <c r="L152" s="508"/>
      <c r="M152" s="593"/>
    </row>
    <row r="153" spans="1:16" ht="15">
      <c r="A153" s="494"/>
      <c r="B153" s="510"/>
      <c r="C153" s="510"/>
      <c r="D153" s="597"/>
      <c r="E153" s="601"/>
      <c r="F153" s="597"/>
      <c r="G153" s="597"/>
      <c r="H153" s="506"/>
      <c r="I153" s="510"/>
      <c r="J153" s="581"/>
      <c r="K153" s="430"/>
      <c r="L153" s="508"/>
      <c r="M153" s="593"/>
    </row>
    <row r="154" spans="1:16" ht="15">
      <c r="A154" s="494"/>
      <c r="B154" s="510"/>
      <c r="C154" s="510"/>
      <c r="D154" s="597"/>
      <c r="E154" s="601"/>
      <c r="F154" s="597"/>
      <c r="G154" s="597"/>
      <c r="H154" s="506"/>
      <c r="I154" s="510"/>
      <c r="J154" s="581"/>
      <c r="K154" s="430"/>
      <c r="L154" s="508"/>
      <c r="M154" s="593"/>
    </row>
    <row r="155" spans="1:16" ht="15">
      <c r="A155" s="496"/>
      <c r="B155" s="502"/>
      <c r="C155" s="502"/>
      <c r="D155" s="598"/>
      <c r="E155" s="601"/>
      <c r="F155" s="598"/>
      <c r="G155" s="598"/>
      <c r="H155" s="506"/>
      <c r="I155" s="502"/>
      <c r="J155" s="581"/>
      <c r="K155" s="430"/>
      <c r="L155" s="508"/>
      <c r="M155" s="593"/>
    </row>
    <row r="156" spans="1:16" ht="15">
      <c r="A156" s="496"/>
      <c r="B156" s="502"/>
      <c r="C156" s="502"/>
      <c r="D156" s="598"/>
      <c r="E156" s="601"/>
      <c r="F156" s="598"/>
      <c r="G156" s="598"/>
      <c r="H156" s="502"/>
      <c r="I156" s="502"/>
      <c r="J156" s="502"/>
      <c r="K156" s="430"/>
      <c r="L156" s="508"/>
      <c r="M156" s="593"/>
    </row>
    <row r="157" spans="1:16" ht="15">
      <c r="A157" s="496"/>
      <c r="B157" s="502"/>
      <c r="C157" s="502"/>
      <c r="D157" s="516" t="s">
        <v>209</v>
      </c>
      <c r="E157" s="529">
        <f>SUM(E131:E156)</f>
        <v>310</v>
      </c>
      <c r="F157" s="529">
        <f>SUMPRODUCT(E131:E156,F131:F156)/SUM(E131:E156)</f>
        <v>780.36451612903227</v>
      </c>
      <c r="G157" s="530">
        <f>SUMPRODUCT(E131:E156,G131:G156)/SUM(E131:E156)</f>
        <v>2029.9451612903226</v>
      </c>
      <c r="H157" s="512">
        <f>G157/F157</f>
        <v>2.6012781454489837</v>
      </c>
      <c r="I157" s="502"/>
      <c r="J157" s="502"/>
      <c r="K157" s="502"/>
      <c r="L157" s="502"/>
      <c r="M157" s="502"/>
    </row>
    <row r="158" spans="1:16">
      <c r="H158" s="77"/>
    </row>
    <row r="160" spans="1:16">
      <c r="A160" s="1171" t="s">
        <v>687</v>
      </c>
      <c r="B160" s="616"/>
      <c r="C160" s="617"/>
      <c r="D160" s="617"/>
      <c r="E160" s="617"/>
      <c r="F160" s="617"/>
      <c r="G160" s="617"/>
      <c r="H160" s="617"/>
      <c r="I160" s="614"/>
      <c r="J160" s="487"/>
      <c r="K160" s="487"/>
      <c r="L160" s="487"/>
      <c r="M160" s="487"/>
      <c r="N160" s="527"/>
      <c r="O160" s="527"/>
      <c r="P160" s="527"/>
    </row>
    <row r="161" spans="1:16">
      <c r="A161" s="496"/>
      <c r="B161" s="513"/>
      <c r="C161" s="496"/>
      <c r="D161" s="514"/>
      <c r="E161" s="515"/>
      <c r="F161" s="515"/>
      <c r="G161" s="511"/>
      <c r="H161" s="511"/>
      <c r="I161" s="500"/>
      <c r="N161" s="497"/>
      <c r="O161" s="497"/>
      <c r="P161" s="497"/>
    </row>
    <row r="162" spans="1:16" ht="16.5">
      <c r="A162" s="494" t="s">
        <v>211</v>
      </c>
      <c r="B162" s="973">
        <v>44932</v>
      </c>
      <c r="C162" s="496"/>
      <c r="D162" s="516" t="s">
        <v>197</v>
      </c>
      <c r="E162" s="517" t="s">
        <v>212</v>
      </c>
      <c r="F162" s="517" t="s">
        <v>198</v>
      </c>
      <c r="G162" s="518" t="s">
        <v>199</v>
      </c>
      <c r="H162" s="518" t="s">
        <v>56</v>
      </c>
      <c r="I162" s="500"/>
      <c r="K162" s="504" t="s">
        <v>97</v>
      </c>
      <c r="L162" s="504" t="s">
        <v>210</v>
      </c>
      <c r="M162" s="504" t="s">
        <v>139</v>
      </c>
      <c r="N162" s="511"/>
      <c r="O162" s="511"/>
      <c r="P162" s="511"/>
    </row>
    <row r="163" spans="1:16" ht="15">
      <c r="A163" s="494" t="s">
        <v>200</v>
      </c>
      <c r="B163" s="497"/>
      <c r="C163" s="496"/>
      <c r="D163" s="577" t="s">
        <v>314</v>
      </c>
      <c r="E163" s="599">
        <v>32</v>
      </c>
      <c r="F163" s="578">
        <v>622</v>
      </c>
      <c r="G163" s="580">
        <v>1343</v>
      </c>
      <c r="H163" s="506">
        <f t="shared" ref="H163:H172" si="22">G163/F163</f>
        <v>2.1591639871382635</v>
      </c>
      <c r="I163" s="500"/>
      <c r="J163" s="581" t="s">
        <v>166</v>
      </c>
      <c r="K163" s="430">
        <f t="shared" ref="K163:K172" si="23">F163*E163</f>
        <v>19904</v>
      </c>
      <c r="L163" s="508">
        <f t="shared" ref="L163:L172" si="24">G163*E163</f>
        <v>42976</v>
      </c>
      <c r="M163" s="593" t="s">
        <v>687</v>
      </c>
      <c r="N163" s="511"/>
      <c r="O163" s="511"/>
      <c r="P163" s="511"/>
    </row>
    <row r="164" spans="1:16" ht="15">
      <c r="A164" s="494" t="s">
        <v>201</v>
      </c>
      <c r="B164" s="497"/>
      <c r="C164" s="496"/>
      <c r="D164" s="577" t="s">
        <v>314</v>
      </c>
      <c r="E164" s="599">
        <v>64</v>
      </c>
      <c r="F164" s="578">
        <v>661</v>
      </c>
      <c r="G164" s="580">
        <v>1467</v>
      </c>
      <c r="H164" s="506">
        <f t="shared" si="22"/>
        <v>2.2193645990922843</v>
      </c>
      <c r="I164" s="500"/>
      <c r="J164" s="581" t="s">
        <v>166</v>
      </c>
      <c r="K164" s="430">
        <f t="shared" si="23"/>
        <v>42304</v>
      </c>
      <c r="L164" s="508">
        <f t="shared" si="24"/>
        <v>93888</v>
      </c>
      <c r="M164" s="593" t="s">
        <v>687</v>
      </c>
      <c r="N164" s="511"/>
      <c r="O164" s="511"/>
      <c r="P164" s="511"/>
    </row>
    <row r="165" spans="1:16" ht="15">
      <c r="A165" s="494" t="s">
        <v>202</v>
      </c>
      <c r="B165" s="509"/>
      <c r="C165" s="496"/>
      <c r="D165" s="577" t="s">
        <v>314</v>
      </c>
      <c r="E165" s="599">
        <v>56</v>
      </c>
      <c r="F165" s="578">
        <v>674</v>
      </c>
      <c r="G165" s="580">
        <v>1453</v>
      </c>
      <c r="H165" s="506">
        <f t="shared" si="22"/>
        <v>2.1557863501483681</v>
      </c>
      <c r="I165" s="500"/>
      <c r="J165" s="581" t="s">
        <v>166</v>
      </c>
      <c r="K165" s="430">
        <f t="shared" si="23"/>
        <v>37744</v>
      </c>
      <c r="L165" s="508">
        <f t="shared" si="24"/>
        <v>81368</v>
      </c>
      <c r="M165" s="593" t="s">
        <v>687</v>
      </c>
      <c r="N165" s="58"/>
      <c r="O165" s="58"/>
      <c r="P165" s="58"/>
    </row>
    <row r="166" spans="1:16" ht="15">
      <c r="A166" s="494"/>
      <c r="B166" s="505"/>
      <c r="C166" s="496"/>
      <c r="D166" s="577" t="s">
        <v>314</v>
      </c>
      <c r="E166" s="599">
        <v>10</v>
      </c>
      <c r="F166" s="578">
        <v>708</v>
      </c>
      <c r="G166" s="580">
        <v>1529</v>
      </c>
      <c r="H166" s="506">
        <f t="shared" si="22"/>
        <v>2.1596045197740112</v>
      </c>
      <c r="I166" s="500"/>
      <c r="J166" s="581" t="s">
        <v>166</v>
      </c>
      <c r="K166" s="430">
        <f t="shared" si="23"/>
        <v>7080</v>
      </c>
      <c r="L166" s="508">
        <f t="shared" si="24"/>
        <v>15290</v>
      </c>
      <c r="M166" s="593" t="s">
        <v>687</v>
      </c>
    </row>
    <row r="167" spans="1:16" ht="15">
      <c r="A167" s="494" t="s">
        <v>213</v>
      </c>
      <c r="B167" s="532">
        <f>1-22.7%</f>
        <v>0.77300000000000002</v>
      </c>
      <c r="C167" s="496"/>
      <c r="D167" s="577" t="s">
        <v>314</v>
      </c>
      <c r="E167" s="599">
        <v>1</v>
      </c>
      <c r="F167" s="578">
        <v>737</v>
      </c>
      <c r="G167" s="580">
        <v>1681</v>
      </c>
      <c r="H167" s="506">
        <f t="shared" si="22"/>
        <v>2.2808683853459972</v>
      </c>
      <c r="I167" s="509"/>
      <c r="J167" s="581" t="s">
        <v>166</v>
      </c>
      <c r="K167" s="430">
        <f t="shared" si="23"/>
        <v>737</v>
      </c>
      <c r="L167" s="508">
        <f t="shared" si="24"/>
        <v>1681</v>
      </c>
      <c r="M167" s="593" t="s">
        <v>687</v>
      </c>
    </row>
    <row r="168" spans="1:16" ht="15">
      <c r="A168" s="494" t="s">
        <v>214</v>
      </c>
      <c r="B168" s="532"/>
      <c r="C168" s="496"/>
      <c r="D168" s="577" t="s">
        <v>314</v>
      </c>
      <c r="E168" s="599">
        <v>27</v>
      </c>
      <c r="F168" s="578">
        <v>834</v>
      </c>
      <c r="G168" s="580">
        <v>1682</v>
      </c>
      <c r="H168" s="506">
        <f t="shared" si="22"/>
        <v>2.0167865707434052</v>
      </c>
      <c r="I168" s="509"/>
      <c r="J168" s="581" t="s">
        <v>166</v>
      </c>
      <c r="K168" s="430">
        <f t="shared" si="23"/>
        <v>22518</v>
      </c>
      <c r="L168" s="508">
        <f t="shared" si="24"/>
        <v>45414</v>
      </c>
      <c r="M168" s="593" t="s">
        <v>687</v>
      </c>
    </row>
    <row r="169" spans="1:16" ht="15">
      <c r="A169" s="494"/>
      <c r="B169" s="532"/>
      <c r="C169" s="496"/>
      <c r="D169" s="577" t="s">
        <v>315</v>
      </c>
      <c r="E169" s="599">
        <v>30</v>
      </c>
      <c r="F169" s="578">
        <v>1010</v>
      </c>
      <c r="G169" s="580">
        <v>2208</v>
      </c>
      <c r="H169" s="506">
        <f t="shared" si="22"/>
        <v>2.1861386138613863</v>
      </c>
      <c r="I169" s="509"/>
      <c r="J169" s="581" t="s">
        <v>167</v>
      </c>
      <c r="K169" s="430">
        <f t="shared" si="23"/>
        <v>30300</v>
      </c>
      <c r="L169" s="508">
        <f t="shared" si="24"/>
        <v>66240</v>
      </c>
      <c r="M169" s="593" t="s">
        <v>687</v>
      </c>
    </row>
    <row r="170" spans="1:16" ht="15">
      <c r="A170" s="494" t="s">
        <v>203</v>
      </c>
      <c r="B170" s="533"/>
      <c r="C170" s="496"/>
      <c r="D170" s="577" t="s">
        <v>315</v>
      </c>
      <c r="E170" s="599">
        <v>8</v>
      </c>
      <c r="F170" s="578">
        <v>1201</v>
      </c>
      <c r="G170" s="580">
        <v>2230</v>
      </c>
      <c r="H170" s="506">
        <f t="shared" si="22"/>
        <v>1.8567860116569526</v>
      </c>
      <c r="I170" s="509"/>
      <c r="J170" s="581" t="s">
        <v>167</v>
      </c>
      <c r="K170" s="430">
        <f t="shared" si="23"/>
        <v>9608</v>
      </c>
      <c r="L170" s="508">
        <f t="shared" si="24"/>
        <v>17840</v>
      </c>
      <c r="M170" s="593" t="s">
        <v>687</v>
      </c>
    </row>
    <row r="171" spans="1:16" ht="15">
      <c r="A171" s="494" t="s">
        <v>227</v>
      </c>
      <c r="B171" s="533"/>
      <c r="C171" s="496"/>
      <c r="D171" s="577" t="s">
        <v>315</v>
      </c>
      <c r="E171" s="599">
        <v>4</v>
      </c>
      <c r="F171" s="578">
        <v>1224</v>
      </c>
      <c r="G171" s="580">
        <v>2544</v>
      </c>
      <c r="H171" s="506">
        <f t="shared" si="22"/>
        <v>2.0784313725490198</v>
      </c>
      <c r="I171" s="509"/>
      <c r="J171" s="581" t="s">
        <v>167</v>
      </c>
      <c r="K171" s="430">
        <f t="shared" si="23"/>
        <v>4896</v>
      </c>
      <c r="L171" s="508">
        <f t="shared" si="24"/>
        <v>10176</v>
      </c>
      <c r="M171" s="593" t="s">
        <v>687</v>
      </c>
    </row>
    <row r="172" spans="1:16" ht="15">
      <c r="A172" s="494"/>
      <c r="B172" s="533"/>
      <c r="C172" s="521"/>
      <c r="D172" s="577" t="s">
        <v>315</v>
      </c>
      <c r="E172" s="599">
        <v>4</v>
      </c>
      <c r="F172" s="578">
        <v>1392</v>
      </c>
      <c r="G172" s="580">
        <v>2307</v>
      </c>
      <c r="H172" s="506">
        <f t="shared" si="22"/>
        <v>1.6573275862068966</v>
      </c>
      <c r="I172" s="509"/>
      <c r="J172" s="581" t="s">
        <v>167</v>
      </c>
      <c r="K172" s="430">
        <f t="shared" si="23"/>
        <v>5568</v>
      </c>
      <c r="L172" s="508">
        <f t="shared" si="24"/>
        <v>9228</v>
      </c>
      <c r="M172" s="593" t="s">
        <v>687</v>
      </c>
    </row>
    <row r="173" spans="1:16" ht="15">
      <c r="A173" s="502"/>
      <c r="B173" s="505"/>
      <c r="C173" s="496"/>
      <c r="D173" s="577"/>
      <c r="E173" s="599"/>
      <c r="F173" s="578"/>
      <c r="G173" s="580"/>
      <c r="H173" s="506"/>
      <c r="I173" s="509"/>
      <c r="J173" s="581"/>
      <c r="K173" s="430"/>
      <c r="L173" s="508"/>
      <c r="M173" s="593"/>
    </row>
    <row r="174" spans="1:16" ht="15">
      <c r="A174" s="494" t="s">
        <v>215</v>
      </c>
      <c r="B174" s="497"/>
      <c r="C174" s="496"/>
      <c r="D174" s="577"/>
      <c r="E174" s="599"/>
      <c r="F174" s="578"/>
      <c r="G174" s="580"/>
      <c r="H174" s="506"/>
      <c r="I174" s="509"/>
      <c r="J174" s="581"/>
      <c r="K174" s="430"/>
      <c r="L174" s="508"/>
      <c r="M174" s="593"/>
    </row>
    <row r="175" spans="1:16" ht="15">
      <c r="A175" s="494" t="s">
        <v>204</v>
      </c>
      <c r="B175" s="497"/>
      <c r="C175" s="496"/>
      <c r="D175" s="577"/>
      <c r="E175" s="599"/>
      <c r="F175" s="578"/>
      <c r="G175" s="580"/>
      <c r="H175" s="506"/>
      <c r="I175" s="509"/>
      <c r="J175" s="581"/>
      <c r="K175" s="430"/>
      <c r="L175" s="508"/>
      <c r="M175" s="593"/>
    </row>
    <row r="176" spans="1:16" ht="15">
      <c r="A176" s="494" t="s">
        <v>205</v>
      </c>
      <c r="B176" s="534"/>
      <c r="C176" s="496"/>
      <c r="D176" s="577"/>
      <c r="E176" s="599"/>
      <c r="F176" s="578"/>
      <c r="G176" s="580"/>
      <c r="H176" s="506"/>
      <c r="I176" s="509"/>
      <c r="J176" s="581"/>
      <c r="K176" s="430"/>
      <c r="L176" s="508"/>
      <c r="M176" s="593"/>
    </row>
    <row r="177" spans="1:13" ht="15">
      <c r="A177" s="494" t="s">
        <v>216</v>
      </c>
      <c r="B177" s="497"/>
      <c r="C177" s="496"/>
      <c r="D177" s="577"/>
      <c r="E177" s="599"/>
      <c r="F177" s="578"/>
      <c r="G177" s="580"/>
      <c r="H177" s="506"/>
      <c r="I177" s="509"/>
      <c r="J177" s="581"/>
      <c r="K177" s="430"/>
      <c r="L177" s="508"/>
      <c r="M177" s="593"/>
    </row>
    <row r="178" spans="1:13" ht="15">
      <c r="A178" s="494" t="s">
        <v>206</v>
      </c>
      <c r="B178" s="497"/>
      <c r="C178" s="496"/>
      <c r="D178" s="577"/>
      <c r="E178" s="599"/>
      <c r="F178" s="578"/>
      <c r="G178" s="580"/>
      <c r="H178" s="506"/>
      <c r="I178" s="509"/>
      <c r="J178" s="581"/>
      <c r="K178" s="430"/>
      <c r="L178" s="508"/>
      <c r="M178" s="593"/>
    </row>
    <row r="179" spans="1:13" ht="15">
      <c r="A179" s="494" t="s">
        <v>207</v>
      </c>
      <c r="B179" s="497"/>
      <c r="C179" s="497"/>
      <c r="D179" s="577"/>
      <c r="E179" s="599"/>
      <c r="F179" s="578"/>
      <c r="G179" s="580"/>
      <c r="H179" s="506"/>
      <c r="I179" s="509"/>
      <c r="J179" s="581"/>
      <c r="K179" s="430"/>
      <c r="L179" s="508"/>
      <c r="M179" s="593"/>
    </row>
    <row r="180" spans="1:13" ht="15">
      <c r="A180" s="496"/>
      <c r="B180" s="509"/>
      <c r="C180" s="509"/>
      <c r="D180" s="596"/>
      <c r="E180" s="600"/>
      <c r="F180" s="596"/>
      <c r="G180" s="596"/>
      <c r="H180" s="506"/>
      <c r="I180" s="509"/>
      <c r="J180" s="581"/>
      <c r="K180" s="430"/>
      <c r="L180" s="508"/>
      <c r="M180" s="593"/>
    </row>
    <row r="181" spans="1:13" ht="15">
      <c r="A181" s="494" t="s">
        <v>208</v>
      </c>
      <c r="B181" s="510"/>
      <c r="C181" s="510"/>
      <c r="D181" s="597"/>
      <c r="E181" s="601"/>
      <c r="F181" s="597"/>
      <c r="G181" s="597"/>
      <c r="H181" s="506"/>
      <c r="I181" s="510"/>
      <c r="J181" s="581"/>
      <c r="K181" s="430"/>
      <c r="L181" s="508"/>
      <c r="M181" s="593"/>
    </row>
    <row r="182" spans="1:13" ht="15">
      <c r="A182" s="496"/>
      <c r="B182" s="502"/>
      <c r="C182" s="502"/>
      <c r="D182" s="516" t="s">
        <v>209</v>
      </c>
      <c r="E182" s="529">
        <f>SUM(E163:E181)</f>
        <v>236</v>
      </c>
      <c r="F182" s="529">
        <f>SUMPRODUCT(E163:E181,F163:F181)/SUM(E163:E181)</f>
        <v>765.50423728813564</v>
      </c>
      <c r="G182" s="530">
        <f>SUMPRODUCT(E163:E181,G163:G181)/SUM(E163:E181)</f>
        <v>1627.5466101694915</v>
      </c>
      <c r="H182" s="512">
        <f>G182/F182</f>
        <v>2.1261105176049906</v>
      </c>
      <c r="I182" s="502"/>
      <c r="J182" s="502"/>
      <c r="K182" s="502"/>
      <c r="L182" s="502"/>
      <c r="M182" s="502"/>
    </row>
    <row r="184" spans="1:13">
      <c r="H184" s="77"/>
    </row>
  </sheetData>
  <phoneticPr fontId="19" type="noConversion"/>
  <pageMargins left="0.7" right="0.7" top="0.75" bottom="0.75" header="0.3" footer="0.3"/>
  <pageSetup scale="42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B4:AN151"/>
  <sheetViews>
    <sheetView showGridLines="0" view="pageBreakPreview" zoomScale="80" zoomScaleNormal="80" zoomScaleSheetLayoutView="80" workbookViewId="0">
      <selection activeCell="L21" sqref="L21"/>
    </sheetView>
  </sheetViews>
  <sheetFormatPr defaultColWidth="8.85546875" defaultRowHeight="14.25" outlineLevelRow="1"/>
  <cols>
    <col min="1" max="1" width="1.28515625" style="392" customWidth="1"/>
    <col min="2" max="2" width="21.5703125" style="392" customWidth="1"/>
    <col min="3" max="3" width="1.42578125" style="392" customWidth="1"/>
    <col min="4" max="4" width="29.140625" style="392" bestFit="1" customWidth="1"/>
    <col min="5" max="5" width="1.140625" style="390" customWidth="1"/>
    <col min="6" max="6" width="23" style="392" customWidth="1"/>
    <col min="7" max="7" width="1.140625" style="390" customWidth="1"/>
    <col min="8" max="8" width="23" style="392" customWidth="1"/>
    <col min="9" max="9" width="1.140625" style="390" customWidth="1"/>
    <col min="10" max="10" width="23" style="392" customWidth="1"/>
    <col min="11" max="11" width="0.7109375" style="390" customWidth="1"/>
    <col min="12" max="12" width="0.28515625" style="390" customWidth="1"/>
    <col min="13" max="13" width="20.28515625" style="390" customWidth="1"/>
    <col min="14" max="14" width="1.140625" style="390" customWidth="1"/>
    <col min="15" max="15" width="22.28515625" style="390" customWidth="1"/>
    <col min="16" max="16" width="2.140625" style="390" customWidth="1"/>
    <col min="17" max="17" width="13.42578125" style="392" bestFit="1" customWidth="1"/>
    <col min="18" max="18" width="8.85546875" style="392"/>
    <col min="19" max="19" width="12.85546875" style="392" customWidth="1"/>
    <col min="20" max="20" width="1.28515625" style="392" customWidth="1"/>
    <col min="21" max="21" width="8.85546875" style="392"/>
    <col min="22" max="22" width="9.140625" style="392" bestFit="1" customWidth="1"/>
    <col min="23" max="24" width="8.85546875" style="392"/>
    <col min="25" max="37" width="8.85546875" style="58"/>
    <col min="38" max="16384" width="8.85546875" style="392"/>
  </cols>
  <sheetData>
    <row r="4" spans="2:21" ht="15" thickBot="1">
      <c r="B4" s="535" t="s">
        <v>229</v>
      </c>
      <c r="C4" s="536"/>
      <c r="D4" s="536"/>
      <c r="E4" s="1172"/>
      <c r="F4" s="536"/>
      <c r="G4" s="1172"/>
      <c r="H4" s="536"/>
      <c r="I4" s="1172"/>
      <c r="J4" s="536"/>
      <c r="K4" s="1172"/>
      <c r="L4" s="1172"/>
      <c r="M4" s="1172"/>
      <c r="N4" s="1172"/>
      <c r="O4" s="1172"/>
      <c r="Q4" s="536"/>
      <c r="R4" s="536"/>
      <c r="S4" s="536"/>
    </row>
    <row r="5" spans="2:21" ht="15" thickTop="1"/>
    <row r="6" spans="2:21" ht="23.25" customHeight="1">
      <c r="B6" s="604" t="s">
        <v>161</v>
      </c>
      <c r="C6" s="538"/>
      <c r="D6" s="605" t="str">
        <f>Assumptions!E3</f>
        <v>1425 4th Ave</v>
      </c>
      <c r="E6" s="492"/>
      <c r="F6" s="1171" t="s">
        <v>595</v>
      </c>
      <c r="G6" s="492"/>
      <c r="H6" s="1171" t="s">
        <v>596</v>
      </c>
      <c r="I6" s="492"/>
      <c r="J6" s="1171" t="s">
        <v>597</v>
      </c>
      <c r="K6" s="492"/>
      <c r="M6" s="1171" t="s">
        <v>686</v>
      </c>
      <c r="O6" s="1171" t="s">
        <v>687</v>
      </c>
      <c r="P6" s="520"/>
      <c r="Q6" s="680" t="s">
        <v>436</v>
      </c>
      <c r="R6" s="680"/>
      <c r="S6" s="680"/>
    </row>
    <row r="7" spans="2:21" ht="14.45" customHeight="1">
      <c r="B7" s="539" t="s">
        <v>162</v>
      </c>
      <c r="D7" s="540" t="s">
        <v>163</v>
      </c>
      <c r="F7" s="1159" t="s">
        <v>163</v>
      </c>
      <c r="H7" s="1159" t="s">
        <v>163</v>
      </c>
      <c r="J7" s="1159" t="s">
        <v>163</v>
      </c>
      <c r="M7" s="1159" t="s">
        <v>163</v>
      </c>
      <c r="O7" s="1159" t="s">
        <v>163</v>
      </c>
      <c r="P7" s="1269"/>
      <c r="Q7" s="681" t="s">
        <v>464</v>
      </c>
      <c r="R7" s="681" t="s">
        <v>443</v>
      </c>
      <c r="S7" s="681" t="s">
        <v>444</v>
      </c>
    </row>
    <row r="8" spans="2:21" ht="14.45" customHeight="1">
      <c r="B8" s="539" t="s">
        <v>143</v>
      </c>
      <c r="D8" s="541">
        <f>Assumptions!C34</f>
        <v>131</v>
      </c>
      <c r="F8" s="1159">
        <f>SUMIFS('Market Rents'!$E:$E,'Market Rents'!$M:$M,F6)</f>
        <v>271</v>
      </c>
      <c r="H8" s="1159">
        <f>SUMIFS('Market Rents'!$E:$E,'Market Rents'!$M:$M,H6)</f>
        <v>321</v>
      </c>
      <c r="J8" s="1159">
        <f>SUMIFS('Market Rents'!$E:$E,'Market Rents'!$M:$M,J6)</f>
        <v>238</v>
      </c>
      <c r="M8" s="1159">
        <f>SUMIFS('Market Rents'!$E:$E,'Market Rents'!$M:$M,M6)</f>
        <v>310</v>
      </c>
      <c r="O8" s="1159">
        <f>SUMIFS('Market Rents'!$E:$E,'Market Rents'!$M:$M,O6)</f>
        <v>236</v>
      </c>
      <c r="P8" s="1269"/>
      <c r="Q8" s="682">
        <f>AVERAGE(D8:L8)</f>
        <v>240.25</v>
      </c>
      <c r="R8" s="682">
        <f>IF(D8=0,0,D8-Q8)</f>
        <v>-109.25</v>
      </c>
      <c r="S8" s="683">
        <f>IF(R8=0,0,(D8-Q8)/Q8)</f>
        <v>-0.45473465140478669</v>
      </c>
    </row>
    <row r="9" spans="2:21" ht="14.45" customHeight="1">
      <c r="B9" s="539" t="s">
        <v>142</v>
      </c>
      <c r="D9" s="540">
        <v>2022</v>
      </c>
      <c r="F9" s="1160">
        <v>2020</v>
      </c>
      <c r="G9" s="1161"/>
      <c r="H9" s="1160">
        <v>2017</v>
      </c>
      <c r="I9" s="1161"/>
      <c r="J9" s="1160">
        <v>2018</v>
      </c>
      <c r="K9" s="1161"/>
      <c r="M9" s="1160">
        <v>2022</v>
      </c>
      <c r="O9" s="1160">
        <v>2022</v>
      </c>
      <c r="P9" s="1270"/>
      <c r="Q9" s="684"/>
      <c r="R9" s="684"/>
      <c r="S9" s="685"/>
    </row>
    <row r="10" spans="2:21" ht="14.45" customHeight="1">
      <c r="B10" s="539" t="s">
        <v>164</v>
      </c>
      <c r="D10" s="541">
        <f>Assumptions!E34</f>
        <v>788.52671755725191</v>
      </c>
      <c r="F10" s="1162">
        <f>SUMIFS('Market Rents'!$K:$K,'Market Rents'!$M:$M,F$6)/F8</f>
        <v>752.70848708487085</v>
      </c>
      <c r="H10" s="1162">
        <f>SUMIFS('Market Rents'!$K:$K,'Market Rents'!$M:$M,H$6)/H8</f>
        <v>757.79127725856699</v>
      </c>
      <c r="J10" s="1162">
        <f>SUMIFS('Market Rents'!$K:$K,'Market Rents'!$M:$M,J$6)/J8</f>
        <v>862.47058823529414</v>
      </c>
      <c r="M10" s="1162">
        <f>SUMIFS('Market Rents'!$K:$K,'Market Rents'!$M:$M,M$6)/M8</f>
        <v>780.36451612903227</v>
      </c>
      <c r="O10" s="1162">
        <f>SUMIFS('Market Rents'!$K:$K,'Market Rents'!$M:$M,O$6)/O8</f>
        <v>765.50423728813564</v>
      </c>
      <c r="P10" s="1271"/>
      <c r="Q10" s="682">
        <f>Q67</f>
        <v>781.30450581395348</v>
      </c>
      <c r="R10" s="682">
        <f>IF(D10=0,0,D10-Q10)</f>
        <v>7.2222117432984305</v>
      </c>
      <c r="S10" s="683">
        <f>IF(R10=0,0,(D10-Q10)/Q10)</f>
        <v>9.2437861161115652E-3</v>
      </c>
    </row>
    <row r="11" spans="2:21" ht="14.45" customHeight="1" thickBot="1">
      <c r="B11" s="539" t="s">
        <v>91</v>
      </c>
      <c r="D11" s="542">
        <f>Assumptions!$J$59</f>
        <v>0</v>
      </c>
      <c r="F11" s="619">
        <f>'Market Rents'!B17</f>
        <v>0.94399999999999995</v>
      </c>
      <c r="H11" s="619">
        <f>'Market Rents'!B48</f>
        <v>0.93100000000000005</v>
      </c>
      <c r="J11" s="619">
        <f>'Market Rents'!B80</f>
        <v>0.93700000000000006</v>
      </c>
      <c r="M11" s="619">
        <f>'Market Rents'!B135</f>
        <v>0.873</v>
      </c>
      <c r="O11" s="619">
        <f>'Market Rents'!B167</f>
        <v>0.77300000000000002</v>
      </c>
      <c r="P11" s="1272"/>
      <c r="Q11" s="686">
        <f>AVERAGE(F11:L11)</f>
        <v>0.93733333333333346</v>
      </c>
      <c r="R11" s="686">
        <f>IF(D11=0,0,D11-Q11)</f>
        <v>0</v>
      </c>
      <c r="S11" s="683">
        <f>IF(R11=0,0,(D11-Q11)/Q11)</f>
        <v>0</v>
      </c>
    </row>
    <row r="12" spans="2:21" ht="14.45" customHeight="1" thickBot="1">
      <c r="B12" s="1163"/>
      <c r="C12" s="543"/>
      <c r="D12" s="544"/>
      <c r="E12" s="1173"/>
      <c r="F12" s="1163"/>
      <c r="G12" s="547"/>
      <c r="H12" s="1163"/>
      <c r="I12" s="547"/>
      <c r="J12" s="1163"/>
      <c r="K12" s="547"/>
      <c r="M12" s="1163"/>
      <c r="O12" s="1163"/>
      <c r="P12" s="1150"/>
      <c r="Q12" s="687"/>
      <c r="R12" s="687"/>
      <c r="S12" s="687"/>
    </row>
    <row r="13" spans="2:21" ht="14.45" customHeight="1" thickBot="1">
      <c r="B13" s="547" t="s">
        <v>605</v>
      </c>
      <c r="C13" s="543"/>
      <c r="D13" s="544"/>
      <c r="E13" s="1173"/>
      <c r="F13" s="547"/>
      <c r="G13" s="547"/>
      <c r="H13" s="547"/>
      <c r="I13" s="547"/>
      <c r="J13" s="547"/>
      <c r="K13" s="547"/>
      <c r="M13" s="547"/>
      <c r="O13" s="547"/>
      <c r="P13" s="1150"/>
      <c r="Q13" s="687"/>
      <c r="R13" s="687"/>
      <c r="S13" s="687"/>
      <c r="U13" s="537"/>
    </row>
    <row r="14" spans="2:21" ht="14.45" customHeight="1" thickBot="1">
      <c r="B14" s="547"/>
      <c r="C14" s="543"/>
      <c r="D14" s="544"/>
      <c r="E14" s="1173"/>
      <c r="F14" s="547"/>
      <c r="G14" s="547"/>
      <c r="H14" s="547"/>
      <c r="I14" s="547"/>
      <c r="J14" s="547"/>
      <c r="K14" s="547"/>
      <c r="M14" s="547"/>
      <c r="O14" s="547"/>
      <c r="P14" s="1150"/>
      <c r="Q14" s="687"/>
      <c r="R14" s="687"/>
      <c r="S14" s="687"/>
      <c r="U14" s="537"/>
    </row>
    <row r="15" spans="2:21" ht="14.45" customHeight="1" thickBot="1">
      <c r="B15" s="547"/>
      <c r="C15" s="543"/>
      <c r="D15" s="544"/>
      <c r="E15" s="1173"/>
      <c r="F15" s="58"/>
      <c r="G15" s="547"/>
      <c r="H15" s="547"/>
      <c r="I15" s="547"/>
      <c r="J15" s="547"/>
      <c r="K15" s="547"/>
      <c r="M15" s="547"/>
      <c r="O15" s="547"/>
      <c r="P15" s="1150"/>
      <c r="Q15" s="687"/>
      <c r="R15" s="687"/>
      <c r="S15" s="687"/>
      <c r="U15" s="537"/>
    </row>
    <row r="16" spans="2:21" ht="14.45" customHeight="1" thickBot="1">
      <c r="B16" s="547"/>
      <c r="C16" s="543"/>
      <c r="D16" s="544"/>
      <c r="E16" s="1173"/>
      <c r="F16" s="58"/>
      <c r="G16" s="547"/>
      <c r="H16" s="58"/>
      <c r="I16" s="547"/>
      <c r="J16" s="547"/>
      <c r="K16" s="547"/>
      <c r="M16" s="547"/>
      <c r="O16" s="547"/>
      <c r="P16" s="1150"/>
      <c r="Q16" s="687"/>
      <c r="R16" s="687"/>
      <c r="S16" s="687"/>
      <c r="U16" s="537"/>
    </row>
    <row r="17" spans="2:22" ht="14.45" customHeight="1" thickBot="1">
      <c r="B17" s="547"/>
      <c r="C17" s="543"/>
      <c r="D17" s="544"/>
      <c r="E17" s="1173"/>
      <c r="F17" s="547"/>
      <c r="G17" s="547"/>
      <c r="H17" s="58"/>
      <c r="I17" s="547"/>
      <c r="J17" s="547"/>
      <c r="K17" s="547"/>
      <c r="M17" s="547"/>
      <c r="O17" s="547"/>
      <c r="P17" s="1150"/>
      <c r="Q17" s="687"/>
      <c r="R17" s="687"/>
      <c r="S17" s="687"/>
      <c r="U17" s="537"/>
    </row>
    <row r="18" spans="2:22" ht="14.45" customHeight="1" thickBot="1">
      <c r="B18" s="546"/>
      <c r="C18" s="543"/>
      <c r="D18" s="544"/>
      <c r="E18" s="1173"/>
      <c r="F18" s="547"/>
      <c r="G18" s="547"/>
      <c r="H18" s="547"/>
      <c r="I18" s="547"/>
      <c r="J18" s="547"/>
      <c r="K18" s="547"/>
      <c r="M18" s="547"/>
      <c r="O18" s="547"/>
      <c r="P18" s="1150"/>
      <c r="Q18" s="687"/>
      <c r="R18" s="687"/>
      <c r="S18" s="687"/>
      <c r="U18" s="537"/>
    </row>
    <row r="19" spans="2:22" ht="14.45" customHeight="1" thickBot="1">
      <c r="B19" s="543"/>
      <c r="C19" s="543"/>
      <c r="D19" s="544"/>
      <c r="E19" s="1173"/>
      <c r="F19" s="1164"/>
      <c r="G19" s="547"/>
      <c r="H19" s="1164"/>
      <c r="I19" s="547"/>
      <c r="J19" s="1164"/>
      <c r="K19" s="547"/>
      <c r="M19" s="1164"/>
      <c r="O19" s="1164"/>
      <c r="P19" s="1150"/>
      <c r="Q19" s="687" t="s">
        <v>464</v>
      </c>
      <c r="R19" s="687" t="s">
        <v>443</v>
      </c>
      <c r="S19" s="687" t="s">
        <v>444</v>
      </c>
      <c r="U19" s="537"/>
    </row>
    <row r="20" spans="2:22" ht="14.45" customHeight="1">
      <c r="B20" s="1153" t="s">
        <v>168</v>
      </c>
      <c r="C20" s="545"/>
      <c r="D20" s="548">
        <f>D75</f>
        <v>2200.7633587786258</v>
      </c>
      <c r="F20" s="548">
        <f>F75</f>
        <v>1996.9446494464944</v>
      </c>
      <c r="G20" s="1178"/>
      <c r="H20" s="548">
        <f>H75</f>
        <v>1857.4018691588785</v>
      </c>
      <c r="I20" s="1178"/>
      <c r="J20" s="548">
        <f>J75</f>
        <v>2623.3193277310925</v>
      </c>
      <c r="K20" s="1178"/>
      <c r="L20" s="1178"/>
      <c r="M20" s="548">
        <f>M75</f>
        <v>2029.9451612903226</v>
      </c>
      <c r="N20" s="1178"/>
      <c r="O20" s="548">
        <f>O75</f>
        <v>1627.5466101694915</v>
      </c>
      <c r="P20" s="1276"/>
      <c r="Q20" s="548">
        <f>Q75</f>
        <v>2016.8110465116279</v>
      </c>
      <c r="R20" s="548">
        <f>D20-Q20</f>
        <v>183.95231226699798</v>
      </c>
      <c r="S20" s="606">
        <f>(D20-Q20)/Q20</f>
        <v>9.1209492622112837E-2</v>
      </c>
    </row>
    <row r="21" spans="2:22" ht="14.45" customHeight="1" thickBot="1">
      <c r="B21" s="1157" t="s">
        <v>169</v>
      </c>
      <c r="C21" s="545"/>
      <c r="D21" s="549">
        <f>D75/D67</f>
        <v>2.7909813450535834</v>
      </c>
      <c r="F21" s="550">
        <f>F75/F67</f>
        <v>2.6530120009412501</v>
      </c>
      <c r="G21" s="1179"/>
      <c r="H21" s="550">
        <f>H75/H67</f>
        <v>2.4510731713333143</v>
      </c>
      <c r="I21" s="1179"/>
      <c r="J21" s="550">
        <f>J75/J67</f>
        <v>3.0416333768536741</v>
      </c>
      <c r="K21" s="1179"/>
      <c r="L21" s="1179"/>
      <c r="M21" s="550">
        <f>M75/M67</f>
        <v>2.6012781454489833</v>
      </c>
      <c r="N21" s="1179"/>
      <c r="O21" s="550">
        <f>O75/O67</f>
        <v>2.1261105176049906</v>
      </c>
      <c r="P21" s="1277"/>
      <c r="Q21" s="550">
        <f>Q75/Q67</f>
        <v>2.5813380461828244</v>
      </c>
      <c r="R21" s="550">
        <f>D21-Q21</f>
        <v>0.20964329887075905</v>
      </c>
      <c r="S21" s="606">
        <f>(D21-Q21)/Q21</f>
        <v>8.1214972669221244E-2</v>
      </c>
      <c r="U21" s="551"/>
    </row>
    <row r="22" spans="2:22" ht="14.45" customHeight="1" thickBot="1">
      <c r="B22" s="1150"/>
      <c r="C22" s="543"/>
      <c r="D22" s="544"/>
      <c r="E22" s="1173"/>
      <c r="F22" s="1163"/>
      <c r="G22" s="547"/>
      <c r="H22" s="1163"/>
      <c r="I22" s="547"/>
      <c r="J22" s="1163"/>
      <c r="K22" s="547"/>
      <c r="L22" s="1178"/>
      <c r="M22" s="1163"/>
      <c r="N22" s="1178"/>
      <c r="O22" s="1163"/>
      <c r="P22" s="1150"/>
      <c r="Q22" s="688"/>
      <c r="R22" s="688"/>
      <c r="S22" s="689"/>
    </row>
    <row r="23" spans="2:22" ht="14.45" customHeight="1">
      <c r="B23" s="1154" t="s">
        <v>165</v>
      </c>
      <c r="C23" s="545"/>
      <c r="D23" s="552">
        <f>Assumptions!D28</f>
        <v>9.1603053435114504E-2</v>
      </c>
      <c r="E23" s="1174"/>
      <c r="F23" s="1165">
        <f>SUMIFS('Market Rents'!$E:$E,'Market Rents'!$J:$J,$B23,'Market Rents'!$M:$M,F$6)/F$8</f>
        <v>0.26568265682656828</v>
      </c>
      <c r="G23" s="1166"/>
      <c r="H23" s="1165">
        <f>SUMIFS('Market Rents'!$E:$E,'Market Rents'!$J:$J,$B23,'Market Rents'!$M:$M,H$6)/H$8</f>
        <v>0.21495327102803738</v>
      </c>
      <c r="I23" s="1166"/>
      <c r="J23" s="1165">
        <f>SUMIFS('Market Rents'!$E:$E,'Market Rents'!$J:$J,$B23,'Market Rents'!$M:$M,J$6)/J$8</f>
        <v>6.7226890756302518E-2</v>
      </c>
      <c r="K23" s="1166"/>
      <c r="L23" s="1178"/>
      <c r="M23" s="1165">
        <f>SUMIFS('Market Rents'!$E:$E,'Market Rents'!$J:$J,$B23,'Market Rents'!$M:$M,M$6)/M$8</f>
        <v>0.25483870967741934</v>
      </c>
      <c r="N23" s="1178"/>
      <c r="O23" s="1165">
        <f>SUMIFS('Market Rents'!$E:$E,'Market Rents'!$J:$J,$B23,'Market Rents'!$M:$M,O$6)/O$8</f>
        <v>0</v>
      </c>
      <c r="P23" s="1166"/>
      <c r="Q23" s="690"/>
      <c r="R23" s="690"/>
      <c r="S23" s="691"/>
    </row>
    <row r="24" spans="2:22" ht="14.45" customHeight="1">
      <c r="B24" s="1158" t="s">
        <v>170</v>
      </c>
      <c r="C24" s="545"/>
      <c r="D24" s="555">
        <v>1500</v>
      </c>
      <c r="E24" s="1175"/>
      <c r="F24" s="562">
        <f>SUMIFS('Market Rents'!$L:$L,'Market Rents'!$M:$M,F$6,'Market Rents'!$J:$J,$B23)/SUMIFS('Market Rents'!$E:$E,'Market Rents'!$J:$J,$B23,'Market Rents'!$M:$M,F$6)</f>
        <v>1632.9861111111111</v>
      </c>
      <c r="G24" s="1167"/>
      <c r="H24" s="562">
        <f>SUMIFS('Market Rents'!$L:$L,'Market Rents'!$M:$M,H$6,'Market Rents'!$J:$J,$B23)/SUMIFS('Market Rents'!$E:$E,'Market Rents'!$J:$J,$B23,'Market Rents'!$M:$M,H$6)</f>
        <v>1421.2608695652175</v>
      </c>
      <c r="I24" s="1167"/>
      <c r="J24" s="562">
        <f>SUMIFS('Market Rents'!$L:$L,'Market Rents'!$M:$M,J$6,'Market Rents'!$J:$J,$B23)/SUMIFS('Market Rents'!$E:$E,'Market Rents'!$J:$J,$B23,'Market Rents'!$M:$M,J$6)</f>
        <v>1620</v>
      </c>
      <c r="K24" s="1167"/>
      <c r="L24" s="1178"/>
      <c r="M24" s="562">
        <f>SUMIFS('Market Rents'!$L:$L,'Market Rents'!$M:$M,M$6,'Market Rents'!$J:$J,$B23)/SUMIFS('Market Rents'!$E:$E,'Market Rents'!$J:$J,$B23,'Market Rents'!$M:$M,M$6)</f>
        <v>1498.8987341772151</v>
      </c>
      <c r="N24" s="1178"/>
      <c r="O24" s="564" t="s">
        <v>171</v>
      </c>
      <c r="P24" s="1167"/>
      <c r="Q24" s="692">
        <f>Q70</f>
        <v>1525.3177966101696</v>
      </c>
      <c r="R24" s="692">
        <f>D24-Q24</f>
        <v>-25.31779661016958</v>
      </c>
      <c r="S24" s="693">
        <f>IFERROR((D24-Q24)/Q24,0)</f>
        <v>-1.6598374887144999E-2</v>
      </c>
    </row>
    <row r="25" spans="2:22" ht="14.45" customHeight="1">
      <c r="B25" s="1155" t="s">
        <v>172</v>
      </c>
      <c r="C25" s="545"/>
      <c r="D25" s="556">
        <f>Assumptions!E28</f>
        <v>458</v>
      </c>
      <c r="E25" s="1175"/>
      <c r="F25" s="1151">
        <f>SUMIFS('Market Rents'!$K:$K,'Market Rents'!$M:$M,F$6,'Market Rents'!$J:$J,$B23)/SUMIFS('Market Rents'!$E:$E,'Market Rents'!$J:$J,$B23,'Market Rents'!$M:$M,F$6)</f>
        <v>475.52777777777777</v>
      </c>
      <c r="G25" s="1168"/>
      <c r="H25" s="1151">
        <f>SUMIFS('Market Rents'!$K:$K,'Market Rents'!$M:$M,H$6,'Market Rents'!$J:$J,$B23)/SUMIFS('Market Rents'!$E:$E,'Market Rents'!$J:$J,$B23,'Market Rents'!$M:$M,H$6)</f>
        <v>546.73913043478262</v>
      </c>
      <c r="I25" s="1168"/>
      <c r="J25" s="1151">
        <f>SUMIFS('Market Rents'!$K:$K,'Market Rents'!$M:$M,J$6,'Market Rents'!$J:$J,$B23)/SUMIFS('Market Rents'!$E:$E,'Market Rents'!$J:$J,$B23,'Market Rents'!$M:$M,J$6)</f>
        <v>506</v>
      </c>
      <c r="K25" s="1168"/>
      <c r="L25" s="1178"/>
      <c r="M25" s="1151">
        <f>SUMIFS('Market Rents'!$K:$K,'Market Rents'!$M:$M,M$6,'Market Rents'!$J:$J,$B23)/SUMIFS('Market Rents'!$E:$E,'Market Rents'!$J:$J,$B23,'Market Rents'!$M:$M,M$6)</f>
        <v>544.03797468354435</v>
      </c>
      <c r="N25" s="1178"/>
      <c r="O25" s="564" t="s">
        <v>171</v>
      </c>
      <c r="P25" s="1273"/>
      <c r="Q25" s="694">
        <f>Q62</f>
        <v>521.34745762711862</v>
      </c>
      <c r="R25" s="694">
        <f>IF(D25=0,0,D25-Q25)</f>
        <v>-63.347457627118615</v>
      </c>
      <c r="S25" s="693">
        <f>IF(R25=0,0,(D25-Q25)/Q25)</f>
        <v>-0.12150717664461382</v>
      </c>
    </row>
    <row r="26" spans="2:22" ht="14.45" customHeight="1" thickBot="1">
      <c r="B26" s="1156" t="s">
        <v>173</v>
      </c>
      <c r="C26" s="545"/>
      <c r="D26" s="557">
        <f>IFERROR(D24/D25,0)</f>
        <v>3.2751091703056767</v>
      </c>
      <c r="E26" s="1175"/>
      <c r="F26" s="558">
        <f>F24/F25</f>
        <v>3.4340498860914774</v>
      </c>
      <c r="G26" s="1168"/>
      <c r="H26" s="559">
        <f>H24/H25</f>
        <v>2.5995228628230618</v>
      </c>
      <c r="I26" s="1168"/>
      <c r="J26" s="559">
        <f>J24/J25</f>
        <v>3.2015810276679844</v>
      </c>
      <c r="K26" s="1168"/>
      <c r="L26" s="1178"/>
      <c r="M26" s="559">
        <f>M24/M25</f>
        <v>2.755136229321296</v>
      </c>
      <c r="N26" s="1178"/>
      <c r="O26" s="559" t="s">
        <v>171</v>
      </c>
      <c r="P26" s="1168"/>
      <c r="Q26" s="559">
        <f>Q78</f>
        <v>2.9257221346250755</v>
      </c>
      <c r="R26" s="559">
        <f>IF(D26=0,0,D26-Q26)</f>
        <v>0.34938703568060125</v>
      </c>
      <c r="S26" s="606">
        <f>IF(R26=0,0,(D26-Q26)/Q26)</f>
        <v>0.1194190765916239</v>
      </c>
    </row>
    <row r="27" spans="2:22" ht="14.45" customHeight="1" thickBot="1">
      <c r="B27" s="1152"/>
      <c r="C27" s="543"/>
      <c r="D27" s="560"/>
      <c r="E27" s="1176"/>
      <c r="F27" s="1169"/>
      <c r="G27" s="1169"/>
      <c r="H27" s="1169"/>
      <c r="I27" s="1169"/>
      <c r="J27" s="1169"/>
      <c r="K27" s="1169"/>
      <c r="L27" s="1178"/>
      <c r="M27" s="1169"/>
      <c r="N27" s="1178"/>
      <c r="O27" s="1169"/>
      <c r="P27" s="1152"/>
      <c r="Q27" s="687"/>
      <c r="R27" s="687"/>
      <c r="S27" s="695"/>
    </row>
    <row r="28" spans="2:22" ht="14.45" customHeight="1">
      <c r="B28" s="1154" t="s">
        <v>166</v>
      </c>
      <c r="C28" s="545"/>
      <c r="D28" s="552">
        <f>Assumptions!D29</f>
        <v>0.58015267175572516</v>
      </c>
      <c r="E28" s="1174"/>
      <c r="F28" s="1165">
        <f>SUMIFS('Market Rents'!$E:$E,'Market Rents'!$J:$J,$B28,'Market Rents'!$M:$M,F$6)/F$8</f>
        <v>0.47601476014760147</v>
      </c>
      <c r="G28" s="1166"/>
      <c r="H28" s="1165">
        <f>SUMIFS('Market Rents'!$E:$E,'Market Rents'!$J:$J,$B28,'Market Rents'!$M:$M,H$6)/H$8</f>
        <v>0.47663551401869159</v>
      </c>
      <c r="I28" s="1166"/>
      <c r="J28" s="1165">
        <f>SUMIFS('Market Rents'!$E:$E,'Market Rents'!$J:$J,$B28,'Market Rents'!$M:$M,J$6)/J$8</f>
        <v>0.60504201680672265</v>
      </c>
      <c r="K28" s="1166"/>
      <c r="L28" s="1178"/>
      <c r="M28" s="1165">
        <f>SUMIFS('Market Rents'!$E:$E,'Market Rents'!$J:$J,$B28,'Market Rents'!$M:$M,M$6)/M$8</f>
        <v>0.54193548387096779</v>
      </c>
      <c r="N28" s="1178"/>
      <c r="O28" s="1165">
        <f>SUMIFS('Market Rents'!$E:$E,'Market Rents'!$J:$J,$B28,'Market Rents'!$M:$M,O$6)/O$8</f>
        <v>0.80508474576271183</v>
      </c>
      <c r="P28" s="1166"/>
      <c r="Q28" s="696"/>
      <c r="R28" s="696"/>
      <c r="S28" s="696"/>
    </row>
    <row r="29" spans="2:22" ht="14.45" customHeight="1">
      <c r="B29" s="1158" t="s">
        <v>170</v>
      </c>
      <c r="C29" s="545"/>
      <c r="D29" s="555">
        <v>1900</v>
      </c>
      <c r="E29" s="1175"/>
      <c r="F29" s="562">
        <f>SUMIFS('Market Rents'!$L:$L,'Market Rents'!$M:$M,F$6,'Market Rents'!$J:$J,$B28)/SUMIFS('Market Rents'!$E:$E,'Market Rents'!$J:$J,$B28,'Market Rents'!$M:$M,F$6)</f>
        <v>1949.6899224806202</v>
      </c>
      <c r="G29" s="1167"/>
      <c r="H29" s="562">
        <f>SUMIFS('Market Rents'!$L:$L,'Market Rents'!$M:$M,H$6,'Market Rents'!$J:$J,$B28)/SUMIFS('Market Rents'!$E:$E,'Market Rents'!$J:$J,$B28,'Market Rents'!$M:$M,H$6)</f>
        <v>1732.8496732026144</v>
      </c>
      <c r="I29" s="1167"/>
      <c r="J29" s="562">
        <f>SUMIFS('Market Rents'!$L:$L,'Market Rents'!$M:$M,J$6,'Market Rents'!$J:$J,$B28)/SUMIFS('Market Rents'!$E:$E,'Market Rents'!$J:$J,$B28,'Market Rents'!$M:$M,J$6)</f>
        <v>2043.3958333333333</v>
      </c>
      <c r="K29" s="1167"/>
      <c r="L29" s="1178"/>
      <c r="M29" s="562">
        <f>SUMIFS('Market Rents'!$L:$L,'Market Rents'!$M:$M,M$6,'Market Rents'!$J:$J,$B28)/SUMIFS('Market Rents'!$E:$E,'Market Rents'!$J:$J,$B28,'Market Rents'!$M:$M,M$6)</f>
        <v>1946.5119047619048</v>
      </c>
      <c r="N29" s="1178"/>
      <c r="O29" s="562">
        <f>SUMIFS('Market Rents'!$L:$L,'Market Rents'!$M:$M,O$6,'Market Rents'!$J:$J,$B28)/SUMIFS('Market Rents'!$E:$E,'Market Rents'!$J:$J,$B28,'Market Rents'!$M:$M,O$6)</f>
        <v>1476.9315789473685</v>
      </c>
      <c r="P29" s="1167"/>
      <c r="Q29" s="692">
        <f>Q71</f>
        <v>1809.3316326530612</v>
      </c>
      <c r="R29" s="692">
        <f>IF(D29=0,0,D29-Q29)</f>
        <v>90.668367346938794</v>
      </c>
      <c r="S29" s="693">
        <f>IF(R29=0,0,(D29-Q29)/Q29)</f>
        <v>5.0111525002185395E-2</v>
      </c>
      <c r="V29" s="566"/>
    </row>
    <row r="30" spans="2:22" ht="14.45" customHeight="1">
      <c r="B30" s="1155" t="s">
        <v>172</v>
      </c>
      <c r="C30" s="545"/>
      <c r="D30" s="556">
        <f>Assumptions!E29</f>
        <v>702.18421052631584</v>
      </c>
      <c r="E30" s="1175"/>
      <c r="F30" s="1151">
        <f>SUMIFS('Market Rents'!$K:$K,'Market Rents'!$M:$M,F$6,'Market Rents'!$J:$J,$B28)/SUMIFS('Market Rents'!$E:$E,'Market Rents'!$J:$J,$B28,'Market Rents'!$M:$M,F$6)</f>
        <v>717.85271317829461</v>
      </c>
      <c r="G30" s="1170"/>
      <c r="H30" s="1151">
        <f>SUMIFS('Market Rents'!$K:$K,'Market Rents'!$M:$M,H$6,'Market Rents'!$J:$J,$B28)/SUMIFS('Market Rents'!$E:$E,'Market Rents'!$J:$J,$B28,'Market Rents'!$M:$M,H$6)</f>
        <v>685.57516339869278</v>
      </c>
      <c r="I30" s="1170"/>
      <c r="J30" s="1151">
        <f>SUMIFS('Market Rents'!$K:$K,'Market Rents'!$M:$M,J$6,'Market Rents'!$J:$J,$B28)/SUMIFS('Market Rents'!$E:$E,'Market Rents'!$J:$J,$B28,'Market Rents'!$M:$M,J$6)</f>
        <v>668.77083333333337</v>
      </c>
      <c r="K30" s="1170"/>
      <c r="L30" s="1178"/>
      <c r="M30" s="1151">
        <f>SUMIFS('Market Rents'!$K:$K,'Market Rents'!$M:$M,M$6,'Market Rents'!$J:$J,$B28)/SUMIFS('Market Rents'!$E:$E,'Market Rents'!$J:$J,$B28,'Market Rents'!$M:$M,M$6)</f>
        <v>745.60714285714289</v>
      </c>
      <c r="N30" s="1178"/>
      <c r="O30" s="1151">
        <f>SUMIFS('Market Rents'!$K:$K,'Market Rents'!$M:$M,O$6,'Market Rents'!$J:$J,$B28)/SUMIFS('Market Rents'!$E:$E,'Market Rents'!$J:$J,$B28,'Market Rents'!$M:$M,O$6)</f>
        <v>685.72105263157891</v>
      </c>
      <c r="P30" s="1273"/>
      <c r="Q30" s="694">
        <f>Q63</f>
        <v>700.69897959183675</v>
      </c>
      <c r="R30" s="694">
        <f>IF(D30=0,0,D30-Q30)</f>
        <v>1.485230934479091</v>
      </c>
      <c r="S30" s="693">
        <f>IF(R30=0,0,(D30-Q30)/Q30)</f>
        <v>2.119641925758549E-3</v>
      </c>
    </row>
    <row r="31" spans="2:22" ht="14.45" customHeight="1" thickBot="1">
      <c r="B31" s="1156" t="s">
        <v>173</v>
      </c>
      <c r="C31" s="545"/>
      <c r="D31" s="557">
        <f>IFERROR(D29/D30,0)</f>
        <v>2.7058426713637895</v>
      </c>
      <c r="E31" s="1175"/>
      <c r="F31" s="559">
        <f>F29/F30</f>
        <v>2.7160027212941267</v>
      </c>
      <c r="G31" s="1168"/>
      <c r="H31" s="559">
        <f>H29/H30</f>
        <v>2.5275852535440881</v>
      </c>
      <c r="I31" s="1168"/>
      <c r="J31" s="559">
        <f>J29/J30</f>
        <v>3.055449985981745</v>
      </c>
      <c r="K31" s="1168"/>
      <c r="L31" s="1178"/>
      <c r="M31" s="559">
        <f>M29/M30</f>
        <v>2.6106400983538505</v>
      </c>
      <c r="N31" s="1178"/>
      <c r="O31" s="559">
        <f>O29/O30</f>
        <v>2.1538372976582472</v>
      </c>
      <c r="P31" s="1168"/>
      <c r="Q31" s="559">
        <f>Q79</f>
        <v>2.5821810582727158</v>
      </c>
      <c r="R31" s="559">
        <f>IF(D31=0,0,D31-Q31)</f>
        <v>0.12366161309107371</v>
      </c>
      <c r="S31" s="606">
        <f>IF(R31=0,0,(D31-Q31)/Q31)</f>
        <v>4.7890372634750093E-2</v>
      </c>
    </row>
    <row r="32" spans="2:22" ht="14.45" customHeight="1" thickBot="1">
      <c r="B32" s="1152"/>
      <c r="C32" s="543"/>
      <c r="D32" s="560"/>
      <c r="E32" s="1176"/>
      <c r="F32" s="1169"/>
      <c r="G32" s="1169"/>
      <c r="H32" s="1169"/>
      <c r="I32" s="1169"/>
      <c r="J32" s="1169"/>
      <c r="K32" s="1169"/>
      <c r="L32" s="1178"/>
      <c r="M32" s="1169"/>
      <c r="N32" s="1178"/>
      <c r="O32" s="1169"/>
      <c r="P32" s="1152"/>
      <c r="Q32" s="687"/>
      <c r="R32" s="687"/>
      <c r="S32" s="695"/>
    </row>
    <row r="33" spans="2:40" ht="14.45" customHeight="1">
      <c r="B33" s="1154" t="s">
        <v>167</v>
      </c>
      <c r="C33" s="545"/>
      <c r="D33" s="552">
        <f>Assumptions!D30</f>
        <v>0.28244274809160308</v>
      </c>
      <c r="E33" s="1174"/>
      <c r="F33" s="1165">
        <f>SUMIFS('Market Rents'!$E:$E,'Market Rents'!$J:$J,$B33,'Market Rents'!$M:$M,F$6)/F$8</f>
        <v>0.25830258302583026</v>
      </c>
      <c r="G33" s="1166"/>
      <c r="H33" s="1165">
        <f>SUMIFS('Market Rents'!$E:$E,'Market Rents'!$J:$J,$B33,'Market Rents'!$M:$M,H$6)/H$8</f>
        <v>0.30841121495327101</v>
      </c>
      <c r="I33" s="1166"/>
      <c r="J33" s="1165">
        <f>SUMIFS('Market Rents'!$E:$E,'Market Rents'!$J:$J,$B33,'Market Rents'!$M:$M,J$6)/J$8</f>
        <v>0.32773109243697479</v>
      </c>
      <c r="K33" s="1166"/>
      <c r="L33" s="1178"/>
      <c r="M33" s="1165">
        <f>SUMIFS('Market Rents'!$E:$E,'Market Rents'!$J:$J,$B33,'Market Rents'!$M:$M,M$6)/M$8</f>
        <v>0.20322580645161289</v>
      </c>
      <c r="N33" s="1178"/>
      <c r="O33" s="1165">
        <f>SUMIFS('Market Rents'!$E:$E,'Market Rents'!$J:$J,$B33,'Market Rents'!$M:$M,O$6)/O$8</f>
        <v>0.19491525423728814</v>
      </c>
      <c r="P33" s="1166"/>
      <c r="Q33" s="696"/>
      <c r="R33" s="696"/>
      <c r="S33" s="696"/>
    </row>
    <row r="34" spans="2:40" ht="14.45" customHeight="1">
      <c r="B34" s="1158" t="s">
        <v>170</v>
      </c>
      <c r="C34" s="545"/>
      <c r="D34" s="555">
        <v>2900</v>
      </c>
      <c r="E34" s="1175"/>
      <c r="F34" s="562">
        <f>SUMIFS('Market Rents'!$L:$L,'Market Rents'!$M:$M,F$6,'Market Rents'!$J:$J,$B33)/SUMIFS('Market Rents'!$E:$E,'Market Rents'!$J:$J,$B33,'Market Rents'!$M:$M,F$6)</f>
        <v>2458.3857142857141</v>
      </c>
      <c r="G34" s="1167"/>
      <c r="H34" s="562">
        <f>SUMIFS('Market Rents'!$L:$L,'Market Rents'!$M:$M,H$6,'Market Rents'!$J:$J,$B33)/SUMIFS('Market Rents'!$E:$E,'Market Rents'!$J:$J,$B33,'Market Rents'!$M:$M,H$6)</f>
        <v>2353.8686868686868</v>
      </c>
      <c r="I34" s="1167"/>
      <c r="J34" s="562">
        <f>SUMIFS('Market Rents'!$L:$L,'Market Rents'!$M:$M,J$6,'Market Rents'!$J:$J,$B33)/SUMIFS('Market Rents'!$E:$E,'Market Rents'!$J:$J,$B33,'Market Rents'!$M:$M,J$6)</f>
        <v>3899.7564102564102</v>
      </c>
      <c r="K34" s="1167"/>
      <c r="L34" s="1178"/>
      <c r="M34" s="562">
        <f>SUMIFS('Market Rents'!$L:$L,'Market Rents'!$M:$M,M$6,'Market Rents'!$J:$J,$B33)/SUMIFS('Market Rents'!$E:$E,'Market Rents'!$J:$J,$B33,'Market Rents'!$M:$M,M$6)</f>
        <v>2918.3492063492063</v>
      </c>
      <c r="N34" s="1178"/>
      <c r="O34" s="562">
        <f>SUMIFS('Market Rents'!$L:$L,'Market Rents'!$M:$M,O$6,'Market Rents'!$J:$J,$B33)/SUMIFS('Market Rents'!$E:$E,'Market Rents'!$J:$J,$B33,'Market Rents'!$M:$M,O$6)</f>
        <v>2249.6521739130435</v>
      </c>
      <c r="P34" s="1167"/>
      <c r="Q34" s="692">
        <f>Q72</f>
        <v>2799.553370786517</v>
      </c>
      <c r="R34" s="692">
        <f>IF(D34=0,0,D34-Q34)</f>
        <v>100.44662921348299</v>
      </c>
      <c r="S34" s="693">
        <f>IF(R34=0,0,(D34-Q34)/Q34)</f>
        <v>3.5879519305346601E-2</v>
      </c>
      <c r="V34" s="566"/>
      <c r="AL34" s="563"/>
      <c r="AM34" s="563"/>
      <c r="AN34" s="563"/>
    </row>
    <row r="35" spans="2:40" ht="14.45" customHeight="1">
      <c r="B35" s="1155" t="s">
        <v>172</v>
      </c>
      <c r="C35" s="545"/>
      <c r="D35" s="556">
        <f>Assumptions!E30</f>
        <v>1016.8918918918919</v>
      </c>
      <c r="E35" s="1175"/>
      <c r="F35" s="1151">
        <f>SUMIFS('Market Rents'!$K:$K,'Market Rents'!$M:$M,F$6,'Market Rents'!$J:$J,$B33)/SUMIFS('Market Rents'!$E:$E,'Market Rents'!$J:$J,$B33,'Market Rents'!$M:$M,F$6)</f>
        <v>1102.0428571428572</v>
      </c>
      <c r="G35" s="1170"/>
      <c r="H35" s="1151">
        <f>SUMIFS('Market Rents'!$K:$K,'Market Rents'!$M:$M,H$6,'Market Rents'!$J:$J,$B33)/SUMIFS('Market Rents'!$E:$E,'Market Rents'!$J:$J,$B33,'Market Rents'!$M:$M,H$6)</f>
        <v>1016.4949494949495</v>
      </c>
      <c r="I35" s="1170"/>
      <c r="J35" s="1151">
        <f>SUMIFS('Market Rents'!$K:$K,'Market Rents'!$M:$M,J$6,'Market Rents'!$J:$J,$B33)/SUMIFS('Market Rents'!$E:$E,'Market Rents'!$J:$J,$B33,'Market Rents'!$M:$M,J$6)</f>
        <v>1293.1923076923076</v>
      </c>
      <c r="K35" s="1170"/>
      <c r="L35" s="1178"/>
      <c r="M35" s="1151">
        <f>SUMIFS('Market Rents'!$K:$K,'Market Rents'!$M:$M,M$6,'Market Rents'!$J:$J,$B33)/SUMIFS('Market Rents'!$E:$E,'Market Rents'!$J:$J,$B33,'Market Rents'!$M:$M,M$6)</f>
        <v>1169.3968253968253</v>
      </c>
      <c r="N35" s="1178"/>
      <c r="O35" s="1151">
        <f>SUMIFS('Market Rents'!$K:$K,'Market Rents'!$M:$M,O$6,'Market Rents'!$J:$J,$B33)/SUMIFS('Market Rents'!$E:$E,'Market Rents'!$J:$J,$B33,'Market Rents'!$M:$M,O$6)</f>
        <v>1095.0434782608695</v>
      </c>
      <c r="P35" s="1273"/>
      <c r="Q35" s="694">
        <f>Q64</f>
        <v>1131.1488764044943</v>
      </c>
      <c r="R35" s="694">
        <f>IF(D35=0,0,D35-Q35)</f>
        <v>-114.25698451260246</v>
      </c>
      <c r="S35" s="693">
        <f>IF(R35=0,0,(D35-Q35)/Q35)</f>
        <v>-0.10100967865148161</v>
      </c>
    </row>
    <row r="36" spans="2:40" ht="14.45" customHeight="1" thickBot="1">
      <c r="B36" s="1156" t="s">
        <v>173</v>
      </c>
      <c r="C36" s="545"/>
      <c r="D36" s="557">
        <f>IFERROR(D34/D35,0)</f>
        <v>2.8518272425249171</v>
      </c>
      <c r="E36" s="1175"/>
      <c r="F36" s="559">
        <f>F34/F35</f>
        <v>2.2307532763828211</v>
      </c>
      <c r="G36" s="1168"/>
      <c r="H36" s="559">
        <f>H34/H35</f>
        <v>2.3156717975216874</v>
      </c>
      <c r="I36" s="1168"/>
      <c r="J36" s="559">
        <f>J34/J35</f>
        <v>3.0156043977832634</v>
      </c>
      <c r="K36" s="1168"/>
      <c r="L36" s="1178"/>
      <c r="M36" s="559">
        <f>M34/M35</f>
        <v>2.4956021283526986</v>
      </c>
      <c r="N36" s="1178"/>
      <c r="O36" s="559">
        <f>O34/O35</f>
        <v>2.0543952989756216</v>
      </c>
      <c r="P36" s="1168"/>
      <c r="Q36" s="559">
        <f>Q80</f>
        <v>2.4749645508071989</v>
      </c>
      <c r="R36" s="559">
        <f>IF(D36=0,0,D36-Q36)</f>
        <v>0.37686269171771825</v>
      </c>
      <c r="S36" s="606">
        <f>IF(R36=0,0,(D36-Q36)/Q36)</f>
        <v>0.15226993517737702</v>
      </c>
    </row>
    <row r="37" spans="2:40" ht="14.45" customHeight="1" thickBot="1">
      <c r="B37" s="543"/>
      <c r="C37" s="543"/>
      <c r="D37" s="560"/>
      <c r="E37" s="1176"/>
      <c r="F37" s="561"/>
      <c r="G37" s="1169"/>
      <c r="H37" s="561"/>
      <c r="I37" s="1169"/>
      <c r="J37" s="561"/>
      <c r="K37" s="1169"/>
      <c r="L37" s="1178"/>
      <c r="M37" s="561"/>
      <c r="N37" s="1178"/>
      <c r="O37" s="561"/>
      <c r="P37" s="1152"/>
      <c r="Q37" s="687"/>
      <c r="R37" s="687"/>
      <c r="S37" s="695"/>
    </row>
    <row r="38" spans="2:40" ht="14.45" customHeight="1">
      <c r="B38" s="1154" t="s">
        <v>640</v>
      </c>
      <c r="C38" s="545"/>
      <c r="D38" s="552">
        <f>Assumptions!D31</f>
        <v>1.5267175572519083E-2</v>
      </c>
      <c r="E38" s="1174"/>
      <c r="F38" s="1165">
        <f>SUMIFS('Market Rents'!$E:$E,'Market Rents'!$J:$J,$B38,'Market Rents'!$M:$M,F$6)/F$8</f>
        <v>0</v>
      </c>
      <c r="G38" s="1166"/>
      <c r="H38" s="1165">
        <f>SUMIFS('Market Rents'!$E:$E,'Market Rents'!$J:$J,$B38,'Market Rents'!$M:$M,H$6)/H$8</f>
        <v>0</v>
      </c>
      <c r="I38" s="1166"/>
      <c r="J38" s="1165">
        <f>SUMIFS('Market Rents'!$E:$E,'Market Rents'!$J:$J,$B38,'Market Rents'!$M:$M,J$6)/J$8</f>
        <v>0</v>
      </c>
      <c r="K38" s="1166"/>
      <c r="L38" s="1178"/>
      <c r="M38" s="1165">
        <f>SUMIFS('Market Rents'!$E:$E,'Market Rents'!$J:$J,$B38,'Market Rents'!$M:$M,M$6)/M$8</f>
        <v>0</v>
      </c>
      <c r="N38" s="1178"/>
      <c r="O38" s="1165">
        <f>SUMIFS('Market Rents'!$E:$E,'Market Rents'!$J:$J,$B38,'Market Rents'!$M:$M,O$6)/O$8</f>
        <v>0</v>
      </c>
      <c r="P38" s="1166"/>
      <c r="Q38" s="696"/>
      <c r="R38" s="696"/>
      <c r="S38" s="696"/>
    </row>
    <row r="39" spans="2:40" ht="14.45" customHeight="1">
      <c r="B39" s="1158" t="s">
        <v>170</v>
      </c>
      <c r="C39" s="545"/>
      <c r="D39" s="555">
        <v>3500</v>
      </c>
      <c r="E39" s="1175"/>
      <c r="F39" s="564" t="s">
        <v>171</v>
      </c>
      <c r="G39" s="1167"/>
      <c r="H39" s="564" t="s">
        <v>171</v>
      </c>
      <c r="I39" s="1167"/>
      <c r="J39" s="564" t="s">
        <v>171</v>
      </c>
      <c r="K39" s="1167"/>
      <c r="L39" s="1178"/>
      <c r="M39" s="564" t="s">
        <v>171</v>
      </c>
      <c r="N39" s="1178"/>
      <c r="O39" s="564" t="s">
        <v>171</v>
      </c>
      <c r="P39" s="1278"/>
      <c r="Q39" s="692">
        <f>Q72</f>
        <v>2799.553370786517</v>
      </c>
      <c r="R39" s="692">
        <f>IF(D39=0,0,D39-Q39)</f>
        <v>700.44662921348299</v>
      </c>
      <c r="S39" s="693">
        <f>IF(R39=0,0,(D39-Q39)/Q39)</f>
        <v>0.25019941985128036</v>
      </c>
    </row>
    <row r="40" spans="2:40" ht="14.45" customHeight="1">
      <c r="B40" s="1155" t="s">
        <v>172</v>
      </c>
      <c r="C40" s="545"/>
      <c r="D40" s="556">
        <f>Assumptions!E31</f>
        <v>1485</v>
      </c>
      <c r="E40" s="1175"/>
      <c r="F40" s="564" t="s">
        <v>171</v>
      </c>
      <c r="G40" s="1170"/>
      <c r="H40" s="564" t="s">
        <v>171</v>
      </c>
      <c r="I40" s="1170"/>
      <c r="J40" s="564" t="s">
        <v>171</v>
      </c>
      <c r="K40" s="1170"/>
      <c r="L40" s="1178"/>
      <c r="M40" s="564" t="s">
        <v>171</v>
      </c>
      <c r="N40" s="1178"/>
      <c r="O40" s="564" t="s">
        <v>171</v>
      </c>
      <c r="P40" s="1278"/>
      <c r="Q40" s="694">
        <f>Q70</f>
        <v>1525.3177966101696</v>
      </c>
      <c r="R40" s="694">
        <f>IF(D40=0,0,D40-Q40)</f>
        <v>-40.31779661016958</v>
      </c>
      <c r="S40" s="693">
        <f>IF(R40=0,0,(D40-Q40)/Q40)</f>
        <v>-2.6432391138273548E-2</v>
      </c>
    </row>
    <row r="41" spans="2:40" ht="14.45" customHeight="1" thickBot="1">
      <c r="B41" s="1156" t="s">
        <v>173</v>
      </c>
      <c r="C41" s="545"/>
      <c r="D41" s="557">
        <f>IFERROR(D39/D40,0)</f>
        <v>2.3569023569023568</v>
      </c>
      <c r="E41" s="1175"/>
      <c r="F41" s="559" t="s">
        <v>171</v>
      </c>
      <c r="G41" s="1168"/>
      <c r="H41" s="559" t="s">
        <v>171</v>
      </c>
      <c r="I41" s="1168"/>
      <c r="J41" s="559" t="s">
        <v>171</v>
      </c>
      <c r="K41" s="1168"/>
      <c r="L41" s="1178"/>
      <c r="M41" s="559" t="s">
        <v>171</v>
      </c>
      <c r="N41" s="1178"/>
      <c r="O41" s="559" t="s">
        <v>171</v>
      </c>
      <c r="P41" s="1168"/>
      <c r="Q41" s="559">
        <f>Q86</f>
        <v>0</v>
      </c>
      <c r="R41" s="559">
        <f>IF(D41=0,0,D41-Q41)</f>
        <v>2.3569023569023568</v>
      </c>
      <c r="S41" s="606" t="e">
        <f>IF(R41=0,0,(D41-Q41)/Q41)</f>
        <v>#DIV/0!</v>
      </c>
    </row>
    <row r="42" spans="2:40" ht="14.45" customHeight="1" thickBot="1">
      <c r="B42" s="543"/>
      <c r="C42" s="545"/>
      <c r="D42" s="560"/>
      <c r="E42" s="1152"/>
      <c r="F42" s="1193"/>
      <c r="G42" s="1152"/>
      <c r="H42" s="1193"/>
      <c r="I42" s="1152"/>
      <c r="J42" s="1193"/>
      <c r="K42" s="1152"/>
      <c r="L42" s="1178"/>
      <c r="M42" s="1193"/>
      <c r="N42" s="1178"/>
      <c r="O42" s="1193"/>
      <c r="P42" s="1152"/>
      <c r="Q42" s="687"/>
      <c r="R42" s="687"/>
      <c r="S42" s="695"/>
    </row>
    <row r="43" spans="2:40" ht="14.45" customHeight="1" thickBot="1">
      <c r="B43" s="543"/>
      <c r="C43" s="545"/>
      <c r="D43" s="1194"/>
      <c r="E43" s="1152"/>
      <c r="F43" s="1193"/>
      <c r="G43" s="1152"/>
      <c r="H43" s="1193"/>
      <c r="I43" s="1152"/>
      <c r="J43" s="1193"/>
      <c r="K43" s="1152"/>
      <c r="L43" s="1178"/>
      <c r="M43" s="1193"/>
      <c r="N43" s="1178"/>
      <c r="O43" s="1193"/>
      <c r="P43" s="1152"/>
      <c r="Q43" s="696"/>
      <c r="R43" s="696"/>
      <c r="S43" s="696"/>
    </row>
    <row r="44" spans="2:40" ht="14.45" customHeight="1" outlineLevel="1" thickBot="1">
      <c r="B44" s="607" t="s">
        <v>685</v>
      </c>
      <c r="C44" s="545"/>
      <c r="D44" s="552">
        <f>Assumptions!D32</f>
        <v>3.0534351145038167E-2</v>
      </c>
      <c r="E44" s="1174"/>
      <c r="F44" s="553">
        <v>0</v>
      </c>
      <c r="G44" s="1166"/>
      <c r="H44" s="553">
        <f>SUMIFS('Market Rents'!$E:$E,'Market Rents'!$J:$J,$B44,'Market Rents'!$M:$M,H$6)/H$8</f>
        <v>0</v>
      </c>
      <c r="I44" s="1166"/>
      <c r="J44" s="553">
        <v>0</v>
      </c>
      <c r="K44" s="1166"/>
      <c r="L44" s="1178"/>
      <c r="M44" s="553">
        <f>SUMIFS('Market Rents'!$E:$E,'Market Rents'!$J:$J,$B44,'Market Rents'!$M:$M,M$6)/M$8</f>
        <v>0</v>
      </c>
      <c r="N44" s="1178"/>
      <c r="O44" s="553">
        <f>SUMIFS('Market Rents'!$E:$E,'Market Rents'!$J:$J,$B44,'Market Rents'!$M:$M,O$6)/O$8</f>
        <v>0</v>
      </c>
      <c r="P44" s="1166"/>
      <c r="Q44" s="696">
        <v>0</v>
      </c>
      <c r="R44" s="696">
        <v>0</v>
      </c>
      <c r="S44" s="696">
        <v>0</v>
      </c>
    </row>
    <row r="45" spans="2:40" ht="14.45" customHeight="1" outlineLevel="1" thickBot="1">
      <c r="B45" s="554" t="s">
        <v>170</v>
      </c>
      <c r="C45" s="545"/>
      <c r="D45" s="555">
        <v>2900</v>
      </c>
      <c r="E45" s="1175"/>
      <c r="F45" s="564" t="s">
        <v>171</v>
      </c>
      <c r="G45" s="1167"/>
      <c r="H45" s="564" t="s">
        <v>171</v>
      </c>
      <c r="I45" s="1167"/>
      <c r="J45" s="564" t="s">
        <v>171</v>
      </c>
      <c r="K45" s="1167"/>
      <c r="L45" s="1178"/>
      <c r="M45" s="564" t="s">
        <v>171</v>
      </c>
      <c r="N45" s="1178"/>
      <c r="O45" s="564" t="s">
        <v>171</v>
      </c>
      <c r="P45" s="1278"/>
      <c r="Q45" s="692">
        <f>Q74</f>
        <v>0</v>
      </c>
      <c r="R45" s="692">
        <v>0</v>
      </c>
      <c r="S45" s="693">
        <f>IFERROR(IF(R45=0,0,(D45-Q45)/Q45),0)</f>
        <v>0</v>
      </c>
      <c r="V45" s="566"/>
      <c r="W45" s="565"/>
    </row>
    <row r="46" spans="2:40" ht="14.45" customHeight="1" outlineLevel="1" thickBot="1">
      <c r="B46" s="554" t="s">
        <v>172</v>
      </c>
      <c r="D46" s="556">
        <f>Assumptions!E32</f>
        <v>960</v>
      </c>
      <c r="E46" s="1175"/>
      <c r="F46" s="564" t="s">
        <v>171</v>
      </c>
      <c r="G46" s="1168"/>
      <c r="H46" s="564" t="s">
        <v>171</v>
      </c>
      <c r="I46" s="1168"/>
      <c r="J46" s="564" t="s">
        <v>171</v>
      </c>
      <c r="K46" s="1168"/>
      <c r="M46" s="564" t="s">
        <v>171</v>
      </c>
      <c r="O46" s="564" t="s">
        <v>171</v>
      </c>
      <c r="P46" s="1278"/>
      <c r="Q46" s="694">
        <f>Q66</f>
        <v>0</v>
      </c>
      <c r="R46" s="694">
        <v>0</v>
      </c>
      <c r="S46" s="693">
        <f>IFERROR(IF(R46=0,0,(D46-Q46)/Q46),0)</f>
        <v>0</v>
      </c>
    </row>
    <row r="47" spans="2:40" ht="14.45" customHeight="1" outlineLevel="1" thickBot="1">
      <c r="B47" s="554" t="s">
        <v>173</v>
      </c>
      <c r="D47" s="557">
        <f>IFERROR(D45/D46,0)</f>
        <v>3.0208333333333335</v>
      </c>
      <c r="E47" s="1175"/>
      <c r="F47" s="559" t="s">
        <v>171</v>
      </c>
      <c r="G47" s="1168"/>
      <c r="H47" s="559" t="s">
        <v>171</v>
      </c>
      <c r="I47" s="1168"/>
      <c r="J47" s="559" t="s">
        <v>171</v>
      </c>
      <c r="K47" s="1168"/>
      <c r="M47" s="559" t="s">
        <v>171</v>
      </c>
      <c r="O47" s="559" t="s">
        <v>171</v>
      </c>
      <c r="P47" s="1168"/>
      <c r="Q47" s="557">
        <f>Q82</f>
        <v>0</v>
      </c>
      <c r="R47" s="557">
        <f>IF(D47=0,0,D47-Q47)</f>
        <v>3.0208333333333335</v>
      </c>
      <c r="S47" s="679">
        <f>IFERROR(IF(R47=0,0,(D47-Q47)/Q47),0)</f>
        <v>0</v>
      </c>
    </row>
    <row r="48" spans="2:40" ht="14.45" customHeight="1">
      <c r="M48" s="392"/>
      <c r="O48" s="392"/>
    </row>
    <row r="49" spans="2:21" ht="17.25" customHeight="1">
      <c r="M49" s="392"/>
      <c r="O49" s="392"/>
    </row>
    <row r="50" spans="2:21" ht="17.25" customHeight="1">
      <c r="M50" s="392"/>
      <c r="O50" s="392"/>
    </row>
    <row r="51" spans="2:21" ht="17.25" customHeight="1">
      <c r="B51" s="594" t="s">
        <v>436</v>
      </c>
      <c r="C51" s="595"/>
      <c r="D51" s="595"/>
      <c r="E51" s="1177"/>
      <c r="F51" s="595"/>
      <c r="G51" s="1177"/>
      <c r="H51" s="595"/>
      <c r="I51" s="1177"/>
      <c r="J51" s="595"/>
      <c r="K51" s="1177"/>
      <c r="L51" s="1177"/>
      <c r="M51" s="595"/>
      <c r="N51" s="1177"/>
      <c r="O51" s="595"/>
      <c r="P51" s="1279"/>
      <c r="Q51" s="595"/>
    </row>
    <row r="52" spans="2:21" ht="17.25" customHeight="1">
      <c r="B52" s="594"/>
      <c r="C52" s="595"/>
      <c r="D52" s="1281" t="str">
        <f>D6</f>
        <v>1425 4th Ave</v>
      </c>
      <c r="E52" s="1282"/>
      <c r="F52" s="1283" t="str">
        <f>F6</f>
        <v>LC Sobro</v>
      </c>
      <c r="G52" s="1282"/>
      <c r="H52" s="1283" t="str">
        <f>H6</f>
        <v>The Octave</v>
      </c>
      <c r="I52" s="1282"/>
      <c r="J52" s="1283" t="str">
        <f>J6</f>
        <v>Crossroads at the Gulch</v>
      </c>
      <c r="K52" s="1282"/>
      <c r="L52" s="1284"/>
      <c r="M52" s="1283" t="str">
        <f>M6</f>
        <v>Standard Assembly</v>
      </c>
      <c r="N52" s="1284"/>
      <c r="O52" s="1283" t="str">
        <f>O6</f>
        <v>Braxton Music City</v>
      </c>
      <c r="P52" s="1280"/>
      <c r="Q52" s="670" t="s">
        <v>464</v>
      </c>
      <c r="R52" s="671"/>
      <c r="S52" s="671"/>
    </row>
    <row r="53" spans="2:21" ht="17.25" customHeight="1">
      <c r="B53" s="392" t="s">
        <v>23</v>
      </c>
      <c r="D53" s="1285"/>
      <c r="E53" s="1269"/>
      <c r="F53" s="1285"/>
      <c r="G53" s="1269"/>
      <c r="H53" s="1285"/>
      <c r="I53" s="1269"/>
      <c r="J53" s="1285"/>
      <c r="K53" s="1269"/>
      <c r="L53" s="1269"/>
      <c r="M53" s="1285"/>
      <c r="N53" s="1269"/>
      <c r="O53" s="1285"/>
      <c r="Q53" s="588" t="s">
        <v>464</v>
      </c>
    </row>
    <row r="54" spans="2:21" ht="17.25" customHeight="1">
      <c r="B54" s="392" t="s">
        <v>165</v>
      </c>
      <c r="D54" s="392">
        <f>D23*D$8</f>
        <v>12</v>
      </c>
      <c r="E54" s="390">
        <f>E23*E$8</f>
        <v>0</v>
      </c>
      <c r="F54" s="390">
        <f>F23*F$8</f>
        <v>72</v>
      </c>
      <c r="G54" s="1287"/>
      <c r="H54" s="390">
        <f>H23*H$8</f>
        <v>69</v>
      </c>
      <c r="I54" s="1287"/>
      <c r="J54" s="390">
        <f>J23*J$8</f>
        <v>16</v>
      </c>
      <c r="K54" s="1287"/>
      <c r="M54" s="390">
        <f>M23*M$8</f>
        <v>79</v>
      </c>
      <c r="O54" s="1288"/>
      <c r="P54" s="1004"/>
      <c r="Q54" s="667">
        <f>SUM(F54:O54)</f>
        <v>236</v>
      </c>
      <c r="U54" s="678"/>
    </row>
    <row r="55" spans="2:21" ht="17.25" customHeight="1">
      <c r="B55" s="392" t="s">
        <v>174</v>
      </c>
      <c r="D55" s="392">
        <f>D28*D$8</f>
        <v>76</v>
      </c>
      <c r="F55" s="1289">
        <f>F28*F$8</f>
        <v>129</v>
      </c>
      <c r="G55" s="1287"/>
      <c r="H55" s="1289">
        <f>H28*H$8</f>
        <v>153</v>
      </c>
      <c r="I55" s="1287"/>
      <c r="J55" s="1289">
        <f>J28*J$8</f>
        <v>144</v>
      </c>
      <c r="K55" s="1287"/>
      <c r="M55" s="1289">
        <f>M28*M$8</f>
        <v>168.00000000000003</v>
      </c>
      <c r="O55" s="1289">
        <f>O28*O$8</f>
        <v>190</v>
      </c>
      <c r="P55" s="1005"/>
      <c r="Q55" s="667">
        <f>SUM(F55:O55)</f>
        <v>784</v>
      </c>
    </row>
    <row r="56" spans="2:21" ht="17.25" customHeight="1">
      <c r="B56" s="392" t="s">
        <v>175</v>
      </c>
      <c r="D56" s="392">
        <f>D33*D$8</f>
        <v>37</v>
      </c>
      <c r="F56" s="1289">
        <f>F33*F$8</f>
        <v>70</v>
      </c>
      <c r="G56" s="1287"/>
      <c r="H56" s="1289">
        <f>H33*H$8</f>
        <v>99</v>
      </c>
      <c r="I56" s="1287"/>
      <c r="J56" s="1289">
        <f>J33*J$8</f>
        <v>78</v>
      </c>
      <c r="K56" s="1287"/>
      <c r="M56" s="1289">
        <f>M33*M$8</f>
        <v>63</v>
      </c>
      <c r="O56" s="1289">
        <f>O33*O$8</f>
        <v>46</v>
      </c>
      <c r="P56" s="1005"/>
      <c r="Q56" s="667">
        <f>SUM(F56:O56)</f>
        <v>356</v>
      </c>
    </row>
    <row r="57" spans="2:21" ht="17.25" customHeight="1">
      <c r="B57" s="392" t="s">
        <v>641</v>
      </c>
      <c r="D57" s="392">
        <f>D38*D$8</f>
        <v>2</v>
      </c>
      <c r="F57" s="1289"/>
      <c r="G57" s="1287"/>
      <c r="H57" s="1289"/>
      <c r="I57" s="1287"/>
      <c r="J57" s="1289"/>
      <c r="K57" s="1287"/>
      <c r="M57" s="1289"/>
      <c r="O57" s="1289"/>
      <c r="P57" s="1005"/>
      <c r="Q57" s="667"/>
    </row>
    <row r="58" spans="2:21" ht="17.25" customHeight="1">
      <c r="B58" s="584" t="s">
        <v>685</v>
      </c>
      <c r="C58" s="584"/>
      <c r="D58" s="584">
        <f>D44*D$8</f>
        <v>4</v>
      </c>
      <c r="E58" s="487"/>
      <c r="F58" s="1290">
        <f>F44*F$8</f>
        <v>0</v>
      </c>
      <c r="G58" s="1291"/>
      <c r="H58" s="1290">
        <f>H44*H$8</f>
        <v>0</v>
      </c>
      <c r="I58" s="1291"/>
      <c r="J58" s="1290">
        <f>J44*J$8</f>
        <v>0</v>
      </c>
      <c r="K58" s="1291"/>
      <c r="L58" s="487"/>
      <c r="M58" s="1290">
        <f>M44*M$8</f>
        <v>0</v>
      </c>
      <c r="N58" s="487"/>
      <c r="O58" s="1290">
        <f>O44*O$8</f>
        <v>0</v>
      </c>
      <c r="P58" s="1005"/>
      <c r="Q58" s="668">
        <f>SUM(F58:O58)</f>
        <v>0</v>
      </c>
    </row>
    <row r="59" spans="2:21" ht="17.25" customHeight="1">
      <c r="B59" s="392" t="s">
        <v>11</v>
      </c>
      <c r="D59" s="392">
        <f>SUM(D54:D58)</f>
        <v>131</v>
      </c>
      <c r="F59" s="1289">
        <f>SUM(F54:F58)</f>
        <v>271</v>
      </c>
      <c r="G59" s="1287"/>
      <c r="H59" s="1289">
        <f>SUM(H54:H58)</f>
        <v>321</v>
      </c>
      <c r="I59" s="1287"/>
      <c r="J59" s="1289">
        <f>SUM(J54:J58)</f>
        <v>238</v>
      </c>
      <c r="K59" s="1287"/>
      <c r="M59" s="1289">
        <f>SUM(M54:M58)</f>
        <v>310</v>
      </c>
      <c r="O59" s="1289">
        <f>SUM(O54:O58)</f>
        <v>236</v>
      </c>
      <c r="P59" s="1005"/>
      <c r="Q59" s="586">
        <f>SUM(Q54:Q58)</f>
        <v>1376</v>
      </c>
    </row>
    <row r="60" spans="2:21" ht="17.25" customHeight="1">
      <c r="F60" s="1289"/>
      <c r="G60" s="1287"/>
      <c r="H60" s="1289"/>
      <c r="I60" s="1287"/>
      <c r="J60" s="1289"/>
      <c r="K60" s="1287"/>
      <c r="M60" s="1289"/>
      <c r="O60" s="1289"/>
      <c r="P60" s="1005"/>
      <c r="Q60" s="586"/>
    </row>
    <row r="61" spans="2:21" ht="17.25" customHeight="1">
      <c r="B61" s="392" t="s">
        <v>465</v>
      </c>
      <c r="M61" s="392"/>
      <c r="O61" s="392"/>
      <c r="P61" s="1004"/>
      <c r="Q61" s="588"/>
    </row>
    <row r="62" spans="2:21" ht="17.25" customHeight="1">
      <c r="B62" s="392" t="s">
        <v>165</v>
      </c>
      <c r="D62" s="1289">
        <f>D25</f>
        <v>458</v>
      </c>
      <c r="E62" s="1292"/>
      <c r="F62" s="1292">
        <f>F25</f>
        <v>475.52777777777777</v>
      </c>
      <c r="G62" s="1292"/>
      <c r="H62" s="1292">
        <f>H25</f>
        <v>546.73913043478262</v>
      </c>
      <c r="I62" s="1292"/>
      <c r="J62" s="1292">
        <f>J25</f>
        <v>506</v>
      </c>
      <c r="K62" s="1292"/>
      <c r="M62" s="1292">
        <f>M25</f>
        <v>544.03797468354435</v>
      </c>
      <c r="O62" s="1288"/>
      <c r="P62" s="1005"/>
      <c r="Q62" s="667">
        <f>SUMPRODUCT(F62:O62,F54:O54)/Q54</f>
        <v>521.34745762711862</v>
      </c>
      <c r="U62" s="678"/>
    </row>
    <row r="63" spans="2:21" ht="17.25" customHeight="1">
      <c r="B63" s="392" t="s">
        <v>174</v>
      </c>
      <c r="D63" s="1289">
        <f>D30</f>
        <v>702.18421052631584</v>
      </c>
      <c r="E63" s="1292"/>
      <c r="F63" s="1289">
        <f>F30</f>
        <v>717.85271317829461</v>
      </c>
      <c r="G63" s="1292"/>
      <c r="H63" s="1289">
        <f>H30</f>
        <v>685.57516339869278</v>
      </c>
      <c r="I63" s="1292"/>
      <c r="J63" s="1289">
        <f>J30</f>
        <v>668.77083333333337</v>
      </c>
      <c r="K63" s="1292"/>
      <c r="M63" s="1289">
        <f>M30</f>
        <v>745.60714285714289</v>
      </c>
      <c r="O63" s="1289">
        <f>O30</f>
        <v>685.72105263157891</v>
      </c>
      <c r="P63" s="1005"/>
      <c r="Q63" s="667">
        <f>SUMPRODUCT(F63:O63,F55:O55)/Q55</f>
        <v>700.69897959183675</v>
      </c>
    </row>
    <row r="64" spans="2:21" ht="17.25" customHeight="1">
      <c r="B64" s="392" t="s">
        <v>175</v>
      </c>
      <c r="D64" s="1289">
        <f>D35</f>
        <v>1016.8918918918919</v>
      </c>
      <c r="E64" s="1292"/>
      <c r="F64" s="1289">
        <f>F35</f>
        <v>1102.0428571428572</v>
      </c>
      <c r="G64" s="1292"/>
      <c r="H64" s="1289">
        <f>H35</f>
        <v>1016.4949494949495</v>
      </c>
      <c r="I64" s="1292"/>
      <c r="J64" s="1289">
        <f>J35</f>
        <v>1293.1923076923076</v>
      </c>
      <c r="K64" s="1292"/>
      <c r="M64" s="1289">
        <f>M35</f>
        <v>1169.3968253968253</v>
      </c>
      <c r="O64" s="1289">
        <f>O35</f>
        <v>1095.0434782608695</v>
      </c>
      <c r="P64" s="1005"/>
      <c r="Q64" s="667">
        <f>SUMPRODUCT(F64:O64,F56:O56)/Q56</f>
        <v>1131.1488764044943</v>
      </c>
    </row>
    <row r="65" spans="2:21" ht="17.25" customHeight="1">
      <c r="B65" s="392" t="s">
        <v>641</v>
      </c>
      <c r="D65" s="1289">
        <f>D40</f>
        <v>1485</v>
      </c>
      <c r="E65" s="1292"/>
      <c r="F65" s="1289"/>
      <c r="G65" s="1292"/>
      <c r="H65" s="1289"/>
      <c r="I65" s="1292"/>
      <c r="J65" s="1289"/>
      <c r="K65" s="1292"/>
      <c r="M65" s="1289"/>
      <c r="O65" s="1289"/>
      <c r="P65" s="1005"/>
      <c r="Q65" s="667"/>
    </row>
    <row r="66" spans="2:21" ht="17.25" customHeight="1">
      <c r="B66" s="584" t="s">
        <v>685</v>
      </c>
      <c r="C66" s="584"/>
      <c r="D66" s="1290">
        <f>D46</f>
        <v>960</v>
      </c>
      <c r="E66" s="1291"/>
      <c r="F66" s="1293"/>
      <c r="G66" s="1293"/>
      <c r="H66" s="1293"/>
      <c r="I66" s="1293"/>
      <c r="J66" s="1293"/>
      <c r="K66" s="1293"/>
      <c r="L66" s="1294"/>
      <c r="M66" s="1293"/>
      <c r="N66" s="1294"/>
      <c r="O66" s="1293"/>
      <c r="P66" s="1005"/>
      <c r="Q66" s="1187"/>
    </row>
    <row r="67" spans="2:21" ht="17.25" customHeight="1">
      <c r="B67" s="392" t="s">
        <v>11</v>
      </c>
      <c r="D67" s="1289">
        <f>SUMPRODUCT(D62:D66,D54:D58)/D59</f>
        <v>788.52671755725191</v>
      </c>
      <c r="E67" s="1292"/>
      <c r="F67" s="1289">
        <f>SUMPRODUCT(F62:F66,F54:F58)/F59</f>
        <v>752.70848708487085</v>
      </c>
      <c r="G67" s="1292"/>
      <c r="H67" s="1289">
        <f>SUMPRODUCT(H62:H66,H54:H58)/H59</f>
        <v>757.79127725856699</v>
      </c>
      <c r="I67" s="1292"/>
      <c r="J67" s="1289">
        <f>SUMPRODUCT(J62:J66,J54:J58)/J59</f>
        <v>862.47058823529414</v>
      </c>
      <c r="K67" s="1292"/>
      <c r="M67" s="1289">
        <f>SUMPRODUCT(M62:M66,M54:M58)/M59</f>
        <v>780.36451612903238</v>
      </c>
      <c r="O67" s="1289">
        <f>SUMPRODUCT(O62:O66,O54:O58)/O59</f>
        <v>765.50423728813564</v>
      </c>
      <c r="P67" s="1005"/>
      <c r="Q67" s="586">
        <f>SUMPRODUCT(F67:O67,F59:O59)/Q59</f>
        <v>781.30450581395348</v>
      </c>
    </row>
    <row r="68" spans="2:21" ht="17.25" customHeight="1">
      <c r="M68" s="392"/>
      <c r="O68" s="392"/>
      <c r="P68" s="1004"/>
    </row>
    <row r="69" spans="2:21" ht="17.25" customHeight="1">
      <c r="B69" s="392" t="s">
        <v>450</v>
      </c>
      <c r="M69" s="392"/>
      <c r="O69" s="392"/>
      <c r="P69" s="1004"/>
      <c r="Q69" s="588"/>
    </row>
    <row r="70" spans="2:21" ht="17.25" customHeight="1">
      <c r="B70" s="392" t="s">
        <v>165</v>
      </c>
      <c r="D70" s="1295">
        <f>D24</f>
        <v>1500</v>
      </c>
      <c r="F70" s="1296">
        <f>F24</f>
        <v>1632.9861111111111</v>
      </c>
      <c r="H70" s="1296">
        <f>H24</f>
        <v>1421.2608695652175</v>
      </c>
      <c r="J70" s="1296">
        <f>J24</f>
        <v>1620</v>
      </c>
      <c r="L70" s="1296"/>
      <c r="M70" s="1296">
        <f>M24</f>
        <v>1498.8987341772151</v>
      </c>
      <c r="N70" s="1296"/>
      <c r="O70" s="1288"/>
      <c r="P70" s="1274"/>
      <c r="Q70" s="585">
        <f>SUMPRODUCT(F70:O70,F54:O54)/Q54</f>
        <v>1525.3177966101696</v>
      </c>
      <c r="U70" s="678"/>
    </row>
    <row r="71" spans="2:21" ht="17.25" customHeight="1">
      <c r="B71" s="392" t="s">
        <v>174</v>
      </c>
      <c r="D71" s="1295">
        <f>D29</f>
        <v>1900</v>
      </c>
      <c r="F71" s="1295">
        <f>F29</f>
        <v>1949.6899224806202</v>
      </c>
      <c r="H71" s="1295">
        <f>H29</f>
        <v>1732.8496732026144</v>
      </c>
      <c r="J71" s="1295">
        <f>J29</f>
        <v>2043.3958333333333</v>
      </c>
      <c r="L71" s="1296"/>
      <c r="M71" s="1295">
        <f>M29</f>
        <v>1946.5119047619048</v>
      </c>
      <c r="N71" s="1296"/>
      <c r="O71" s="1295">
        <f>O29</f>
        <v>1476.9315789473685</v>
      </c>
      <c r="P71" s="1274"/>
      <c r="Q71" s="585">
        <f>SUMPRODUCT(F71:O71,F55:O55)/Q55</f>
        <v>1809.3316326530612</v>
      </c>
    </row>
    <row r="72" spans="2:21" ht="17.25" customHeight="1">
      <c r="B72" s="392" t="s">
        <v>175</v>
      </c>
      <c r="D72" s="1295">
        <f>D34</f>
        <v>2900</v>
      </c>
      <c r="F72" s="1295">
        <f>F34</f>
        <v>2458.3857142857141</v>
      </c>
      <c r="H72" s="1295">
        <f>H34</f>
        <v>2353.8686868686868</v>
      </c>
      <c r="J72" s="1295">
        <f>J34</f>
        <v>3899.7564102564102</v>
      </c>
      <c r="L72" s="1296"/>
      <c r="M72" s="1295">
        <f>M34</f>
        <v>2918.3492063492063</v>
      </c>
      <c r="N72" s="1296"/>
      <c r="O72" s="1295">
        <f>O34</f>
        <v>2249.6521739130435</v>
      </c>
      <c r="P72" s="1274"/>
      <c r="Q72" s="585">
        <f>SUMPRODUCT(F72:O72,F56:O56)/Q56</f>
        <v>2799.553370786517</v>
      </c>
    </row>
    <row r="73" spans="2:21" ht="17.25" customHeight="1">
      <c r="B73" s="392" t="s">
        <v>641</v>
      </c>
      <c r="D73" s="1295">
        <f>D39</f>
        <v>3500</v>
      </c>
      <c r="F73" s="1295"/>
      <c r="H73" s="1295"/>
      <c r="J73" s="1295"/>
      <c r="L73" s="1296"/>
      <c r="M73" s="1295"/>
      <c r="N73" s="1296"/>
      <c r="O73" s="1295"/>
      <c r="P73" s="1274"/>
      <c r="Q73" s="585"/>
    </row>
    <row r="74" spans="2:21" ht="17.25" customHeight="1">
      <c r="B74" s="584" t="s">
        <v>685</v>
      </c>
      <c r="C74" s="584"/>
      <c r="D74" s="1297">
        <f>D45</f>
        <v>2900</v>
      </c>
      <c r="E74" s="487"/>
      <c r="F74" s="1298"/>
      <c r="G74" s="1294"/>
      <c r="H74" s="1298"/>
      <c r="I74" s="1294"/>
      <c r="J74" s="1298"/>
      <c r="K74" s="1294"/>
      <c r="L74" s="1298"/>
      <c r="M74" s="1298"/>
      <c r="N74" s="1298"/>
      <c r="O74" s="1298"/>
      <c r="P74" s="1274"/>
      <c r="Q74" s="1188"/>
    </row>
    <row r="75" spans="2:21" ht="17.25" customHeight="1">
      <c r="B75" s="392" t="s">
        <v>11</v>
      </c>
      <c r="D75" s="1289">
        <f>SUMPRODUCT(D70:D74,D54:D58)/D59</f>
        <v>2200.7633587786258</v>
      </c>
      <c r="E75" s="1292"/>
      <c r="F75" s="1289">
        <f>SUMPRODUCT(F70:F74,F54:F58)/F59</f>
        <v>1996.9446494464944</v>
      </c>
      <c r="G75" s="1292"/>
      <c r="H75" s="1289">
        <f>SUMPRODUCT(H70:H74,H54:H58)/H59</f>
        <v>1857.4018691588785</v>
      </c>
      <c r="I75" s="1292"/>
      <c r="J75" s="1289">
        <f>SUMPRODUCT(J70:J74,J54:J58)/J59</f>
        <v>2623.3193277310925</v>
      </c>
      <c r="K75" s="1292"/>
      <c r="L75" s="1292"/>
      <c r="M75" s="1289">
        <f>SUMPRODUCT(M70:M74,M54:M58)/M59</f>
        <v>2029.9451612903226</v>
      </c>
      <c r="N75" s="1292"/>
      <c r="O75" s="1289">
        <f>SUMPRODUCT(O70:O74,O54:O58)/O59</f>
        <v>1627.5466101694915</v>
      </c>
      <c r="P75" s="1005"/>
      <c r="Q75" s="585">
        <f>SUMPRODUCT(F75:O75,F59:O59)/Q59</f>
        <v>2016.8110465116279</v>
      </c>
    </row>
    <row r="76" spans="2:21" ht="17.25" customHeight="1">
      <c r="M76" s="392"/>
      <c r="O76" s="392"/>
      <c r="P76" s="1004"/>
      <c r="Q76" s="588"/>
    </row>
    <row r="77" spans="2:21" ht="17.25" customHeight="1">
      <c r="B77" s="392" t="s">
        <v>462</v>
      </c>
      <c r="M77" s="392"/>
      <c r="O77" s="392"/>
      <c r="P77" s="1004"/>
      <c r="Q77" s="588"/>
    </row>
    <row r="78" spans="2:21" ht="17.25" customHeight="1">
      <c r="B78" s="392" t="s">
        <v>165</v>
      </c>
      <c r="D78" s="508">
        <f t="shared" ref="D78:D83" si="0">IFERROR(D70/D62,0)</f>
        <v>3.2751091703056767</v>
      </c>
      <c r="F78" s="508">
        <f t="shared" ref="F78:F83" si="1">IFERROR(F70/F62,0)</f>
        <v>3.4340498860914774</v>
      </c>
      <c r="H78" s="508">
        <f>IFERROR(H70/H62,0)</f>
        <v>2.5995228628230618</v>
      </c>
      <c r="J78" s="508">
        <f>IFERROR(J70/J62,0)</f>
        <v>3.2015810276679844</v>
      </c>
      <c r="L78" s="1296"/>
      <c r="M78" s="508">
        <f>IFERROR(M70/M62,0)</f>
        <v>2.755136229321296</v>
      </c>
      <c r="N78" s="1296"/>
      <c r="O78" s="508">
        <f>IFERROR(O70/O62,0)</f>
        <v>0</v>
      </c>
      <c r="P78" s="1275"/>
      <c r="Q78" s="587">
        <f>IFERROR(Q70/Q62,0)</f>
        <v>2.9257221346250755</v>
      </c>
      <c r="U78" s="678"/>
    </row>
    <row r="79" spans="2:21" ht="17.25" customHeight="1">
      <c r="B79" s="392" t="s">
        <v>174</v>
      </c>
      <c r="D79" s="566">
        <f t="shared" si="0"/>
        <v>2.7058426713637895</v>
      </c>
      <c r="F79" s="566">
        <f t="shared" si="1"/>
        <v>2.7160027212941267</v>
      </c>
      <c r="H79" s="566">
        <f t="shared" ref="H79" si="2">IFERROR(H71/H63,0)</f>
        <v>2.5275852535440881</v>
      </c>
      <c r="J79" s="566">
        <f t="shared" ref="J79" si="3">IFERROR(J71/J63,0)</f>
        <v>3.055449985981745</v>
      </c>
      <c r="L79" s="1296"/>
      <c r="M79" s="566">
        <f t="shared" ref="M79" si="4">IFERROR(M71/M63,0)</f>
        <v>2.6106400983538505</v>
      </c>
      <c r="N79" s="1296"/>
      <c r="O79" s="566">
        <f t="shared" ref="O79" si="5">IFERROR(O71/O63,0)</f>
        <v>2.1538372976582472</v>
      </c>
      <c r="P79" s="1275"/>
      <c r="Q79" s="587">
        <f t="shared" ref="Q79" si="6">IFERROR(Q71/Q63,0)</f>
        <v>2.5821810582727158</v>
      </c>
    </row>
    <row r="80" spans="2:21" ht="17.25" customHeight="1">
      <c r="B80" s="392" t="s">
        <v>175</v>
      </c>
      <c r="D80" s="566">
        <f t="shared" si="0"/>
        <v>2.8518272425249171</v>
      </c>
      <c r="F80" s="566">
        <f t="shared" si="1"/>
        <v>2.2307532763828211</v>
      </c>
      <c r="H80" s="566">
        <f t="shared" ref="H80:H81" si="7">IFERROR(H72/H64,0)</f>
        <v>2.3156717975216874</v>
      </c>
      <c r="J80" s="566">
        <f t="shared" ref="J80:J81" si="8">IFERROR(J72/J64,0)</f>
        <v>3.0156043977832634</v>
      </c>
      <c r="L80" s="1296"/>
      <c r="M80" s="566">
        <f t="shared" ref="M80:M81" si="9">IFERROR(M72/M64,0)</f>
        <v>2.4956021283526986</v>
      </c>
      <c r="N80" s="1296"/>
      <c r="O80" s="566">
        <f t="shared" ref="O80" si="10">IFERROR(O72/O64,0)</f>
        <v>2.0543952989756216</v>
      </c>
      <c r="P80" s="1275"/>
      <c r="Q80" s="587">
        <f t="shared" ref="Q80:Q81" si="11">IFERROR(Q72/Q64,0)</f>
        <v>2.4749645508071989</v>
      </c>
    </row>
    <row r="81" spans="2:17" ht="17.25" customHeight="1">
      <c r="B81" s="392" t="s">
        <v>641</v>
      </c>
      <c r="D81" s="566">
        <f t="shared" si="0"/>
        <v>2.3569023569023568</v>
      </c>
      <c r="F81" s="566">
        <f t="shared" si="1"/>
        <v>0</v>
      </c>
      <c r="H81" s="566">
        <f t="shared" si="7"/>
        <v>0</v>
      </c>
      <c r="J81" s="566">
        <f t="shared" si="8"/>
        <v>0</v>
      </c>
      <c r="L81" s="1296"/>
      <c r="M81" s="566">
        <f t="shared" si="9"/>
        <v>0</v>
      </c>
      <c r="N81" s="1296"/>
      <c r="O81" s="566">
        <f t="shared" ref="O81" si="12">IFERROR(O73/O65,0)</f>
        <v>0</v>
      </c>
      <c r="P81" s="1275"/>
      <c r="Q81" s="587">
        <f t="shared" si="11"/>
        <v>0</v>
      </c>
    </row>
    <row r="82" spans="2:17" ht="17.25" customHeight="1">
      <c r="B82" s="584" t="s">
        <v>685</v>
      </c>
      <c r="C82" s="584"/>
      <c r="D82" s="1299">
        <f t="shared" si="0"/>
        <v>3.0208333333333335</v>
      </c>
      <c r="E82" s="487"/>
      <c r="F82" s="1299">
        <f t="shared" si="1"/>
        <v>0</v>
      </c>
      <c r="G82" s="487"/>
      <c r="H82" s="1299">
        <f>IFERROR(H74/H66,0)</f>
        <v>0</v>
      </c>
      <c r="I82" s="487"/>
      <c r="J82" s="1299">
        <f>IFERROR(J74/J66,0)</f>
        <v>0</v>
      </c>
      <c r="K82" s="487"/>
      <c r="L82" s="1300"/>
      <c r="M82" s="1299">
        <f>IFERROR(M74/M66,0)</f>
        <v>0</v>
      </c>
      <c r="N82" s="1300"/>
      <c r="O82" s="1299">
        <f>IFERROR(O74/O66,0)</f>
        <v>0</v>
      </c>
      <c r="P82" s="1275"/>
      <c r="Q82" s="669">
        <f>IFERROR(Q74/Q66,0)</f>
        <v>0</v>
      </c>
    </row>
    <row r="83" spans="2:17" ht="17.25" customHeight="1">
      <c r="B83" s="392" t="s">
        <v>11</v>
      </c>
      <c r="D83" s="566">
        <f t="shared" si="0"/>
        <v>2.7909813450535834</v>
      </c>
      <c r="F83" s="566">
        <f t="shared" si="1"/>
        <v>2.6530120009412501</v>
      </c>
      <c r="H83" s="566">
        <f>IFERROR(H75/H67,0)</f>
        <v>2.4510731713333143</v>
      </c>
      <c r="J83" s="566">
        <f>IFERROR(J75/J67,0)</f>
        <v>3.0416333768536741</v>
      </c>
      <c r="M83" s="566">
        <f>IFERROR(M75/M67,0)</f>
        <v>2.6012781454489833</v>
      </c>
      <c r="O83" s="566">
        <f>IFERROR(O75/O67,0)</f>
        <v>2.1261105176049906</v>
      </c>
      <c r="P83" s="1275"/>
      <c r="Q83" s="587">
        <f>IFERROR(Q75/Q67,0)</f>
        <v>2.5813380461828244</v>
      </c>
    </row>
    <row r="84" spans="2:17" ht="17.25" customHeight="1">
      <c r="D84" s="1286"/>
      <c r="E84" s="1269"/>
      <c r="F84" s="1286"/>
      <c r="G84" s="1269"/>
      <c r="H84" s="1286"/>
      <c r="I84" s="1269"/>
      <c r="J84" s="1286"/>
      <c r="K84" s="1269"/>
      <c r="L84" s="1269"/>
      <c r="M84" s="1286"/>
      <c r="N84" s="1269"/>
      <c r="O84" s="1286"/>
      <c r="P84" s="1275"/>
      <c r="Q84" s="585"/>
    </row>
    <row r="85" spans="2:17" ht="17.25" customHeight="1">
      <c r="D85" s="588"/>
      <c r="E85" s="1004"/>
      <c r="F85" s="588"/>
      <c r="G85" s="1004"/>
      <c r="H85" s="588"/>
      <c r="I85" s="1004"/>
      <c r="J85" s="588"/>
      <c r="K85" s="1004"/>
      <c r="L85" s="1004"/>
      <c r="M85" s="588"/>
      <c r="N85" s="1004"/>
      <c r="O85" s="588"/>
      <c r="P85" s="1004"/>
      <c r="Q85" s="587">
        <f>Q75/D67</f>
        <v>2.5576952582652277</v>
      </c>
    </row>
    <row r="86" spans="2:17" ht="17.25" customHeight="1"/>
    <row r="87" spans="2:17" ht="17.25" customHeight="1"/>
    <row r="88" spans="2:17" ht="17.25" customHeight="1"/>
    <row r="89" spans="2:17" ht="17.25" customHeight="1"/>
    <row r="90" spans="2:17" ht="17.25" customHeight="1"/>
    <row r="91" spans="2:17" ht="17.25" customHeight="1"/>
    <row r="92" spans="2:17" ht="17.25" customHeight="1"/>
    <row r="93" spans="2:17" ht="17.25" customHeight="1"/>
    <row r="94" spans="2:17" ht="17.25" customHeight="1"/>
    <row r="95" spans="2:17" ht="17.25" customHeight="1"/>
    <row r="96" spans="2:17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</sheetData>
  <sortState xmlns:xlrd2="http://schemas.microsoft.com/office/spreadsheetml/2017/richdata2" ref="AB7:AK31">
    <sortCondition ref="AH7:AH31"/>
  </sortState>
  <pageMargins left="0.7" right="0.7" top="0.75" bottom="0.75" header="0.3" footer="0.3"/>
  <pageSetup scale="58" orientation="landscape" r:id="rId1"/>
  <customProperties>
    <customPr name="Guid" r:id="rId2"/>
  </customProperties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B2:Y35"/>
  <sheetViews>
    <sheetView showGridLines="0" view="pageBreakPreview" zoomScaleNormal="100" zoomScaleSheetLayoutView="100" workbookViewId="0">
      <selection activeCell="X12" sqref="X12"/>
    </sheetView>
  </sheetViews>
  <sheetFormatPr defaultColWidth="8.85546875" defaultRowHeight="14.25" outlineLevelCol="1"/>
  <cols>
    <col min="1" max="1" width="2.7109375" style="84" customWidth="1"/>
    <col min="2" max="2" width="4.5703125" style="84" customWidth="1"/>
    <col min="3" max="3" width="35.42578125" style="84" bestFit="1" customWidth="1"/>
    <col min="4" max="4" width="11" style="84" bestFit="1" customWidth="1"/>
    <col min="5" max="5" width="8.5703125" style="84" bestFit="1" customWidth="1"/>
    <col min="6" max="6" width="11.28515625" style="84" bestFit="1" customWidth="1"/>
    <col min="7" max="7" width="8.140625" style="84" bestFit="1" customWidth="1"/>
    <col min="8" max="8" width="11.28515625" style="84" bestFit="1" customWidth="1"/>
    <col min="9" max="9" width="12.140625" style="84" bestFit="1" customWidth="1"/>
    <col min="10" max="10" width="15.140625" style="84" bestFit="1" customWidth="1"/>
    <col min="11" max="11" width="12.28515625" style="84" bestFit="1" customWidth="1"/>
    <col min="12" max="12" width="13" style="84" customWidth="1"/>
    <col min="13" max="13" width="1" style="84" customWidth="1"/>
    <col min="14" max="14" width="7.5703125" style="84" bestFit="1" customWidth="1"/>
    <col min="15" max="15" width="11.85546875" style="84" customWidth="1"/>
    <col min="16" max="16" width="7.42578125" style="84" customWidth="1"/>
    <col min="17" max="17" width="22.140625" style="84" hidden="1" customWidth="1" outlineLevel="1"/>
    <col min="18" max="18" width="35.140625" style="84" hidden="1" customWidth="1" outlineLevel="1"/>
    <col min="19" max="19" width="2.7109375" style="84" customWidth="1" collapsed="1"/>
    <col min="20" max="16384" width="8.85546875" style="84"/>
  </cols>
  <sheetData>
    <row r="2" spans="2:18">
      <c r="K2" s="85" t="s">
        <v>565</v>
      </c>
      <c r="L2" s="971">
        <v>0.03</v>
      </c>
    </row>
    <row r="3" spans="2:18">
      <c r="K3" s="84" t="s">
        <v>566</v>
      </c>
      <c r="L3" s="368">
        <f>Assumptions!$M$58</f>
        <v>48730</v>
      </c>
    </row>
    <row r="5" spans="2:18" s="567" customFormat="1" ht="30">
      <c r="B5" s="1015"/>
      <c r="C5" s="1016" t="s">
        <v>139</v>
      </c>
      <c r="D5" s="1016" t="s">
        <v>140</v>
      </c>
      <c r="E5" s="1016" t="s">
        <v>141</v>
      </c>
      <c r="F5" s="1016" t="s">
        <v>142</v>
      </c>
      <c r="G5" s="1016" t="s">
        <v>143</v>
      </c>
      <c r="H5" s="1016" t="s">
        <v>57</v>
      </c>
      <c r="I5" s="1016" t="s">
        <v>144</v>
      </c>
      <c r="J5" s="1016" t="s">
        <v>145</v>
      </c>
      <c r="K5" s="1016" t="s">
        <v>146</v>
      </c>
      <c r="L5" s="1016" t="s">
        <v>523</v>
      </c>
      <c r="M5" s="1016"/>
      <c r="N5" s="1016" t="s">
        <v>147</v>
      </c>
      <c r="O5" s="1016" t="s">
        <v>524</v>
      </c>
      <c r="P5" s="1016" t="s">
        <v>72</v>
      </c>
      <c r="Q5" s="1017" t="s">
        <v>148</v>
      </c>
      <c r="R5" s="1017" t="s">
        <v>149</v>
      </c>
    </row>
    <row r="6" spans="2:18">
      <c r="B6" s="58">
        <v>1</v>
      </c>
      <c r="C6" s="1047" t="s">
        <v>587</v>
      </c>
      <c r="D6" s="58" t="s">
        <v>150</v>
      </c>
      <c r="E6" s="1048">
        <v>44217</v>
      </c>
      <c r="F6" s="58">
        <v>2014</v>
      </c>
      <c r="G6" s="58">
        <v>83</v>
      </c>
      <c r="H6" s="1034">
        <v>87648</v>
      </c>
      <c r="I6" s="66">
        <v>1056</v>
      </c>
      <c r="J6" s="1049">
        <v>23750000</v>
      </c>
      <c r="K6" s="1049">
        <f t="shared" ref="K6:K12" si="0">J6/G6</f>
        <v>286144.57831325301</v>
      </c>
      <c r="L6" s="1049">
        <f>K6*(1+$L$2)^(2033-YEAR(E6))</f>
        <v>407973.74774212943</v>
      </c>
      <c r="M6" s="1049"/>
      <c r="N6" s="1049">
        <f t="shared" ref="N6:N11" si="1">J6/H6</f>
        <v>270.97024461482295</v>
      </c>
      <c r="O6" s="1049">
        <f>N6*(1+$L$2)^(2031-YEAR(E6))</f>
        <v>364.16135005274384</v>
      </c>
      <c r="P6" s="1050">
        <v>4.1000000000000002E-2</v>
      </c>
      <c r="Q6" s="84" t="s">
        <v>339</v>
      </c>
      <c r="R6" s="84" t="s">
        <v>340</v>
      </c>
    </row>
    <row r="7" spans="2:18">
      <c r="B7" s="58">
        <f>B6+1</f>
        <v>2</v>
      </c>
      <c r="C7" s="1047" t="s">
        <v>586</v>
      </c>
      <c r="D7" s="58" t="s">
        <v>589</v>
      </c>
      <c r="E7" s="1048">
        <v>44256</v>
      </c>
      <c r="F7" s="58">
        <v>2015</v>
      </c>
      <c r="G7" s="58">
        <v>393</v>
      </c>
      <c r="H7" s="1034">
        <v>385653.92307692306</v>
      </c>
      <c r="I7" s="66">
        <v>981.30769230769226</v>
      </c>
      <c r="J7" s="1049">
        <v>130351026</v>
      </c>
      <c r="K7" s="1049">
        <f t="shared" si="0"/>
        <v>331682</v>
      </c>
      <c r="L7" s="1049">
        <f t="shared" ref="L7:L25" si="2">K7*(1+$L$2)^(2033-YEAR(E7))</f>
        <v>472899.22247091425</v>
      </c>
      <c r="M7" s="1049"/>
      <c r="N7" s="1049">
        <f t="shared" si="1"/>
        <v>338</v>
      </c>
      <c r="O7" s="1049">
        <f t="shared" ref="O7:O25" si="3">N7*(1+$L$2)^(2031-YEAR(E7))</f>
        <v>454.24373621831319</v>
      </c>
      <c r="P7" s="1050">
        <v>3.7400000000000003E-2</v>
      </c>
      <c r="Q7" s="84" t="s">
        <v>156</v>
      </c>
      <c r="R7" s="84" t="s">
        <v>341</v>
      </c>
    </row>
    <row r="8" spans="2:18">
      <c r="B8" s="58">
        <f t="shared" ref="B8:B25" si="4">B7+1</f>
        <v>3</v>
      </c>
      <c r="C8" s="1047" t="s">
        <v>338</v>
      </c>
      <c r="D8" s="58" t="s">
        <v>150</v>
      </c>
      <c r="E8" s="1048">
        <v>44301</v>
      </c>
      <c r="F8" s="58">
        <v>2018</v>
      </c>
      <c r="G8" s="58">
        <v>101</v>
      </c>
      <c r="H8" s="1034">
        <v>101000</v>
      </c>
      <c r="I8" s="66">
        <v>831</v>
      </c>
      <c r="J8" s="1049">
        <v>33600000</v>
      </c>
      <c r="K8" s="1049">
        <f t="shared" si="0"/>
        <v>332673.26732673269</v>
      </c>
      <c r="L8" s="1049">
        <f t="shared" si="2"/>
        <v>474312.53265377827</v>
      </c>
      <c r="M8" s="1049"/>
      <c r="N8" s="1049">
        <f t="shared" si="1"/>
        <v>332.67326732673268</v>
      </c>
      <c r="O8" s="1049">
        <f t="shared" si="3"/>
        <v>447.08505293032169</v>
      </c>
      <c r="P8" s="1050">
        <v>0.03</v>
      </c>
      <c r="Q8" s="84" t="s">
        <v>151</v>
      </c>
      <c r="R8" s="84" t="s">
        <v>152</v>
      </c>
    </row>
    <row r="9" spans="2:18" ht="15">
      <c r="B9" s="1203">
        <f t="shared" si="4"/>
        <v>4</v>
      </c>
      <c r="C9" s="1204" t="s">
        <v>648</v>
      </c>
      <c r="D9" s="1203" t="s">
        <v>150</v>
      </c>
      <c r="E9" s="1205">
        <v>44713</v>
      </c>
      <c r="F9" s="1203">
        <v>2013</v>
      </c>
      <c r="G9" s="1203">
        <v>331</v>
      </c>
      <c r="H9" s="1206">
        <v>514495</v>
      </c>
      <c r="I9" s="1207">
        <v>1554.3655589123866</v>
      </c>
      <c r="J9" s="1208">
        <v>162000000</v>
      </c>
      <c r="K9" s="1208">
        <f t="shared" si="0"/>
        <v>489425.9818731118</v>
      </c>
      <c r="L9" s="1208">
        <f t="shared" si="2"/>
        <v>677480.02132132987</v>
      </c>
      <c r="M9" s="1208"/>
      <c r="N9" s="1208">
        <f t="shared" si="1"/>
        <v>314.87186464397126</v>
      </c>
      <c r="O9" s="1208">
        <f t="shared" si="3"/>
        <v>410.83636532976527</v>
      </c>
      <c r="P9" s="1209" t="s">
        <v>153</v>
      </c>
      <c r="Q9" s="84" t="s">
        <v>154</v>
      </c>
      <c r="R9" s="84" t="s">
        <v>155</v>
      </c>
    </row>
    <row r="10" spans="2:18" ht="15">
      <c r="B10" s="1203">
        <f t="shared" si="4"/>
        <v>5</v>
      </c>
      <c r="C10" s="1204" t="s">
        <v>649</v>
      </c>
      <c r="D10" s="1203" t="s">
        <v>150</v>
      </c>
      <c r="E10" s="1205">
        <v>44560</v>
      </c>
      <c r="F10" s="1203">
        <v>2020</v>
      </c>
      <c r="G10" s="1203">
        <v>360</v>
      </c>
      <c r="H10" s="1206">
        <v>285887</v>
      </c>
      <c r="I10" s="1207">
        <v>794.13055555555559</v>
      </c>
      <c r="J10" s="1208">
        <v>158720000</v>
      </c>
      <c r="K10" s="1208">
        <f t="shared" si="0"/>
        <v>440888.88888888888</v>
      </c>
      <c r="L10" s="1208">
        <f t="shared" si="2"/>
        <v>628602.13322284853</v>
      </c>
      <c r="M10" s="1208"/>
      <c r="N10" s="1208">
        <f t="shared" si="1"/>
        <v>555.184391035619</v>
      </c>
      <c r="O10" s="1208">
        <f t="shared" si="3"/>
        <v>746.12139666896019</v>
      </c>
      <c r="P10" s="1209" t="s">
        <v>153</v>
      </c>
      <c r="Q10" s="84" t="s">
        <v>156</v>
      </c>
      <c r="R10" s="84" t="s">
        <v>157</v>
      </c>
    </row>
    <row r="11" spans="2:18" ht="15">
      <c r="B11" s="1203">
        <f t="shared" si="4"/>
        <v>6</v>
      </c>
      <c r="C11" s="1204" t="s">
        <v>650</v>
      </c>
      <c r="D11" s="1203" t="s">
        <v>150</v>
      </c>
      <c r="E11" s="1205">
        <v>44664</v>
      </c>
      <c r="F11" s="1203">
        <v>2013</v>
      </c>
      <c r="G11" s="1203">
        <v>90</v>
      </c>
      <c r="H11" s="1206">
        <v>118526</v>
      </c>
      <c r="I11" s="1207">
        <v>1316.9555555555555</v>
      </c>
      <c r="J11" s="1208">
        <v>43600000</v>
      </c>
      <c r="K11" s="1208">
        <f t="shared" si="0"/>
        <v>484444.44444444444</v>
      </c>
      <c r="L11" s="1208">
        <f t="shared" si="2"/>
        <v>670584.40848428686</v>
      </c>
      <c r="M11" s="1208"/>
      <c r="N11" s="1208">
        <f t="shared" si="1"/>
        <v>367.85177935642815</v>
      </c>
      <c r="O11" s="1208">
        <f t="shared" si="3"/>
        <v>479.96313732813951</v>
      </c>
      <c r="P11" s="1209" t="s">
        <v>153</v>
      </c>
      <c r="Q11" s="84" t="s">
        <v>158</v>
      </c>
      <c r="R11" s="84" t="s">
        <v>159</v>
      </c>
    </row>
    <row r="12" spans="2:18" ht="15">
      <c r="B12" s="1203">
        <f t="shared" si="4"/>
        <v>7</v>
      </c>
      <c r="C12" s="1204" t="s">
        <v>651</v>
      </c>
      <c r="D12" s="1203" t="s">
        <v>150</v>
      </c>
      <c r="E12" s="1205">
        <v>44545</v>
      </c>
      <c r="F12" s="1203">
        <v>2016</v>
      </c>
      <c r="G12" s="1203">
        <v>313</v>
      </c>
      <c r="H12" s="1206"/>
      <c r="I12" s="1207">
        <v>0</v>
      </c>
      <c r="J12" s="1208">
        <v>140100000</v>
      </c>
      <c r="K12" s="1208">
        <f t="shared" si="0"/>
        <v>447603.83386581467</v>
      </c>
      <c r="L12" s="1208">
        <f t="shared" si="2"/>
        <v>638176.03912827349</v>
      </c>
      <c r="M12" s="1208"/>
      <c r="N12" s="1210" t="s">
        <v>655</v>
      </c>
      <c r="O12" s="1210" t="s">
        <v>655</v>
      </c>
      <c r="P12" s="1209" t="s">
        <v>153</v>
      </c>
      <c r="Q12" s="84" t="s">
        <v>158</v>
      </c>
    </row>
    <row r="13" spans="2:18">
      <c r="B13" s="58">
        <f t="shared" si="4"/>
        <v>8</v>
      </c>
      <c r="C13" s="1047" t="s">
        <v>585</v>
      </c>
      <c r="D13" s="58" t="s">
        <v>150</v>
      </c>
      <c r="E13" s="1048">
        <v>44301</v>
      </c>
      <c r="F13" s="58">
        <v>2018</v>
      </c>
      <c r="G13" s="58">
        <v>102</v>
      </c>
      <c r="H13" s="1034">
        <v>84558</v>
      </c>
      <c r="I13" s="66">
        <v>829</v>
      </c>
      <c r="J13" s="1049">
        <v>33600000</v>
      </c>
      <c r="K13" s="1049">
        <f t="shared" ref="K13:K25" si="5">J13/G13</f>
        <v>329411.76470588235</v>
      </c>
      <c r="L13" s="1049">
        <f t="shared" si="2"/>
        <v>469662.40978462354</v>
      </c>
      <c r="M13" s="1049"/>
      <c r="N13" s="1049">
        <f t="shared" ref="N13:N25" si="6">J13/H13</f>
        <v>397.36039168381467</v>
      </c>
      <c r="O13" s="1049">
        <f t="shared" si="3"/>
        <v>534.01913888647425</v>
      </c>
      <c r="P13" s="1050">
        <v>3.5000000000000003E-2</v>
      </c>
    </row>
    <row r="14" spans="2:18">
      <c r="B14" s="58">
        <f t="shared" si="4"/>
        <v>9</v>
      </c>
      <c r="C14" s="1047" t="s">
        <v>584</v>
      </c>
      <c r="D14" s="58" t="s">
        <v>150</v>
      </c>
      <c r="E14" s="1048">
        <v>44371</v>
      </c>
      <c r="F14" s="58">
        <v>2016</v>
      </c>
      <c r="G14" s="58">
        <v>430</v>
      </c>
      <c r="H14" s="1034">
        <v>388720</v>
      </c>
      <c r="I14" s="66">
        <v>904</v>
      </c>
      <c r="J14" s="1049">
        <v>185100000</v>
      </c>
      <c r="K14" s="1049">
        <f t="shared" si="5"/>
        <v>430465.11627906974</v>
      </c>
      <c r="L14" s="1049">
        <f t="shared" si="2"/>
        <v>613740.3259423899</v>
      </c>
      <c r="M14" s="1049"/>
      <c r="N14" s="1049">
        <f t="shared" si="6"/>
        <v>476.1782259724223</v>
      </c>
      <c r="O14" s="1049">
        <f t="shared" si="3"/>
        <v>639.94371737136487</v>
      </c>
      <c r="P14" s="1050">
        <v>3.3599999999999998E-2</v>
      </c>
    </row>
    <row r="15" spans="2:18">
      <c r="B15" s="58">
        <f t="shared" si="4"/>
        <v>10</v>
      </c>
      <c r="C15" s="1047" t="s">
        <v>583</v>
      </c>
      <c r="D15" s="58" t="s">
        <v>150</v>
      </c>
      <c r="E15" s="1048">
        <v>44400</v>
      </c>
      <c r="F15" s="58">
        <v>2017</v>
      </c>
      <c r="G15" s="58">
        <v>267</v>
      </c>
      <c r="H15" s="1034">
        <v>202386</v>
      </c>
      <c r="I15" s="66">
        <v>758</v>
      </c>
      <c r="J15" s="1049">
        <v>79000000</v>
      </c>
      <c r="K15" s="1049">
        <f t="shared" si="5"/>
        <v>295880.1498127341</v>
      </c>
      <c r="L15" s="1049">
        <f t="shared" si="2"/>
        <v>421854.34479718399</v>
      </c>
      <c r="M15" s="1049"/>
      <c r="N15" s="1049">
        <f t="shared" si="6"/>
        <v>390.34320555769671</v>
      </c>
      <c r="O15" s="1049">
        <f t="shared" si="3"/>
        <v>524.58862751467802</v>
      </c>
      <c r="P15" s="1050" t="s">
        <v>153</v>
      </c>
    </row>
    <row r="16" spans="2:18">
      <c r="B16" s="58">
        <f t="shared" si="4"/>
        <v>11</v>
      </c>
      <c r="C16" s="1047" t="s">
        <v>582</v>
      </c>
      <c r="D16" s="58" t="s">
        <v>150</v>
      </c>
      <c r="E16" s="1048">
        <v>44418</v>
      </c>
      <c r="F16" s="58">
        <v>2015</v>
      </c>
      <c r="G16" s="58">
        <v>190</v>
      </c>
      <c r="H16" s="1034">
        <v>200830</v>
      </c>
      <c r="I16" s="66">
        <v>1057</v>
      </c>
      <c r="J16" s="1049">
        <v>57570000</v>
      </c>
      <c r="K16" s="1049">
        <f t="shared" si="5"/>
        <v>303000</v>
      </c>
      <c r="L16" s="1049">
        <f t="shared" si="2"/>
        <v>432005.54871439212</v>
      </c>
      <c r="M16" s="1049"/>
      <c r="N16" s="1049">
        <f t="shared" si="6"/>
        <v>286.66035950804161</v>
      </c>
      <c r="O16" s="1049">
        <f t="shared" si="3"/>
        <v>385.24755245153159</v>
      </c>
      <c r="P16" s="1050">
        <v>3.5000000000000003E-2</v>
      </c>
    </row>
    <row r="17" spans="2:18">
      <c r="B17" s="58">
        <f t="shared" si="4"/>
        <v>12</v>
      </c>
      <c r="C17" s="1047" t="s">
        <v>581</v>
      </c>
      <c r="D17" s="58" t="s">
        <v>150</v>
      </c>
      <c r="E17" s="1048">
        <v>44420</v>
      </c>
      <c r="F17" s="58">
        <v>2018</v>
      </c>
      <c r="G17" s="58">
        <v>230</v>
      </c>
      <c r="H17" s="1034">
        <v>172039.99999999997</v>
      </c>
      <c r="I17" s="66">
        <v>747.99999999999989</v>
      </c>
      <c r="J17" s="1049">
        <v>75720000</v>
      </c>
      <c r="K17" s="1049">
        <f t="shared" si="5"/>
        <v>329217.39130434784</v>
      </c>
      <c r="L17" s="1049">
        <f t="shared" si="2"/>
        <v>469385.27979127242</v>
      </c>
      <c r="M17" s="1049"/>
      <c r="N17" s="1049">
        <f t="shared" si="6"/>
        <v>440.13020227853997</v>
      </c>
      <c r="O17" s="1049">
        <f t="shared" si="3"/>
        <v>591.49818788617142</v>
      </c>
      <c r="P17" s="1050">
        <v>3.2500000000000001E-2</v>
      </c>
    </row>
    <row r="18" spans="2:18">
      <c r="B18" s="58">
        <f t="shared" si="4"/>
        <v>13</v>
      </c>
      <c r="C18" s="1047" t="s">
        <v>580</v>
      </c>
      <c r="D18" s="58" t="s">
        <v>150</v>
      </c>
      <c r="E18" s="1048">
        <v>44433</v>
      </c>
      <c r="F18" s="58">
        <v>2019</v>
      </c>
      <c r="G18" s="58">
        <v>193</v>
      </c>
      <c r="H18" s="1034">
        <v>154014</v>
      </c>
      <c r="I18" s="66">
        <v>798</v>
      </c>
      <c r="J18" s="1049">
        <v>56500000</v>
      </c>
      <c r="K18" s="1049">
        <f t="shared" si="5"/>
        <v>292746.11398963729</v>
      </c>
      <c r="L18" s="1049">
        <f t="shared" si="2"/>
        <v>417385.95910263777</v>
      </c>
      <c r="M18" s="1049"/>
      <c r="N18" s="1049">
        <f t="shared" si="6"/>
        <v>366.84976690430739</v>
      </c>
      <c r="O18" s="1049">
        <f t="shared" si="3"/>
        <v>493.01541050127184</v>
      </c>
      <c r="P18" s="1050">
        <v>3.4700000000000002E-2</v>
      </c>
    </row>
    <row r="19" spans="2:18">
      <c r="B19" s="58">
        <f t="shared" si="4"/>
        <v>14</v>
      </c>
      <c r="C19" s="1047" t="s">
        <v>652</v>
      </c>
      <c r="D19" s="58" t="s">
        <v>588</v>
      </c>
      <c r="E19" s="1048">
        <v>44681</v>
      </c>
      <c r="F19" s="58">
        <v>2021</v>
      </c>
      <c r="G19" s="58">
        <v>328</v>
      </c>
      <c r="H19" s="1034">
        <v>339480</v>
      </c>
      <c r="I19" s="66">
        <v>1035</v>
      </c>
      <c r="J19" s="1049">
        <v>145000000</v>
      </c>
      <c r="K19" s="1049">
        <f t="shared" si="5"/>
        <v>442073.1707317073</v>
      </c>
      <c r="L19" s="1049">
        <f t="shared" si="2"/>
        <v>611932.65626537986</v>
      </c>
      <c r="M19" s="1049"/>
      <c r="N19" s="1049">
        <f t="shared" si="6"/>
        <v>427.12383645575585</v>
      </c>
      <c r="O19" s="1049">
        <f t="shared" si="3"/>
        <v>557.2997279817381</v>
      </c>
      <c r="P19" s="1050" t="s">
        <v>153</v>
      </c>
    </row>
    <row r="20" spans="2:18">
      <c r="B20" s="58">
        <f t="shared" si="4"/>
        <v>15</v>
      </c>
      <c r="C20" s="1047" t="s">
        <v>579</v>
      </c>
      <c r="D20" s="58" t="s">
        <v>150</v>
      </c>
      <c r="E20" s="1048">
        <v>44459</v>
      </c>
      <c r="F20" s="58">
        <v>2021</v>
      </c>
      <c r="G20" s="58">
        <v>435</v>
      </c>
      <c r="H20" s="1034">
        <v>359628.77030162414</v>
      </c>
      <c r="I20" s="66">
        <v>826.73280529109002</v>
      </c>
      <c r="J20" s="1049">
        <v>155000000</v>
      </c>
      <c r="K20" s="1049">
        <f t="shared" si="5"/>
        <v>356321.83908045979</v>
      </c>
      <c r="L20" s="1049">
        <f t="shared" si="2"/>
        <v>508029.74129001767</v>
      </c>
      <c r="M20" s="1049"/>
      <c r="N20" s="1049">
        <f t="shared" si="6"/>
        <v>431</v>
      </c>
      <c r="O20" s="1049">
        <f t="shared" si="3"/>
        <v>579.22795949731653</v>
      </c>
      <c r="P20" s="1050">
        <v>3.3799999999999997E-2</v>
      </c>
    </row>
    <row r="21" spans="2:18">
      <c r="B21" s="58">
        <f t="shared" si="4"/>
        <v>16</v>
      </c>
      <c r="C21" s="1047" t="s">
        <v>578</v>
      </c>
      <c r="D21" s="58" t="s">
        <v>150</v>
      </c>
      <c r="E21" s="1048">
        <v>44466</v>
      </c>
      <c r="F21" s="58">
        <v>2017</v>
      </c>
      <c r="G21" s="58">
        <v>251</v>
      </c>
      <c r="H21" s="1034">
        <v>216864</v>
      </c>
      <c r="I21" s="66">
        <v>864</v>
      </c>
      <c r="J21" s="1049">
        <v>74260000</v>
      </c>
      <c r="K21" s="1049">
        <f t="shared" si="5"/>
        <v>295856.57370517927</v>
      </c>
      <c r="L21" s="1049">
        <f t="shared" si="2"/>
        <v>421820.73090516822</v>
      </c>
      <c r="M21" s="1049"/>
      <c r="N21" s="1049">
        <f t="shared" si="6"/>
        <v>342.4265899365501</v>
      </c>
      <c r="O21" s="1049">
        <f t="shared" si="3"/>
        <v>460.19270293868271</v>
      </c>
      <c r="P21" s="1050">
        <v>3.2500000000000001E-2</v>
      </c>
    </row>
    <row r="22" spans="2:18">
      <c r="B22" s="58">
        <f t="shared" si="4"/>
        <v>17</v>
      </c>
      <c r="C22" s="1047" t="s">
        <v>330</v>
      </c>
      <c r="D22" s="58" t="s">
        <v>150</v>
      </c>
      <c r="E22" s="1048">
        <v>44480</v>
      </c>
      <c r="F22" s="58">
        <v>2016</v>
      </c>
      <c r="G22" s="58">
        <v>262</v>
      </c>
      <c r="H22" s="1034">
        <v>198596.00000000003</v>
      </c>
      <c r="I22" s="66">
        <v>758.00000000000011</v>
      </c>
      <c r="J22" s="1049">
        <v>71750000</v>
      </c>
      <c r="K22" s="1049">
        <f t="shared" si="5"/>
        <v>273854.96183206106</v>
      </c>
      <c r="L22" s="1049">
        <f t="shared" si="2"/>
        <v>390451.69324890577</v>
      </c>
      <c r="M22" s="1049"/>
      <c r="N22" s="1049">
        <f t="shared" si="6"/>
        <v>361.28622932989583</v>
      </c>
      <c r="O22" s="1049">
        <f t="shared" si="3"/>
        <v>485.53848122792368</v>
      </c>
      <c r="P22" s="1050">
        <v>3.1606411149825785E-2</v>
      </c>
    </row>
    <row r="23" spans="2:18">
      <c r="B23" s="58">
        <f t="shared" si="4"/>
        <v>18</v>
      </c>
      <c r="C23" s="1047" t="s">
        <v>577</v>
      </c>
      <c r="D23" s="58" t="s">
        <v>150</v>
      </c>
      <c r="E23" s="1048">
        <v>44481</v>
      </c>
      <c r="F23" s="58">
        <v>2020</v>
      </c>
      <c r="G23" s="58">
        <v>322</v>
      </c>
      <c r="H23" s="1034">
        <v>301714</v>
      </c>
      <c r="I23" s="66">
        <v>937</v>
      </c>
      <c r="J23" s="1049">
        <v>119915000</v>
      </c>
      <c r="K23" s="1049">
        <f t="shared" si="5"/>
        <v>372406.83229813667</v>
      </c>
      <c r="L23" s="1049">
        <f t="shared" si="2"/>
        <v>530963.09548496746</v>
      </c>
      <c r="M23" s="1049"/>
      <c r="N23" s="1049">
        <f t="shared" si="6"/>
        <v>397.44592561167195</v>
      </c>
      <c r="O23" s="1049">
        <f t="shared" si="3"/>
        <v>534.13408933311132</v>
      </c>
      <c r="P23" s="1050" t="s">
        <v>153</v>
      </c>
    </row>
    <row r="24" spans="2:18">
      <c r="B24" s="58">
        <f t="shared" si="4"/>
        <v>19</v>
      </c>
      <c r="C24" s="1047" t="s">
        <v>653</v>
      </c>
      <c r="D24" s="58" t="s">
        <v>150</v>
      </c>
      <c r="E24" s="1048">
        <v>44483</v>
      </c>
      <c r="F24" s="58" t="s">
        <v>590</v>
      </c>
      <c r="G24" s="58">
        <v>35</v>
      </c>
      <c r="H24" s="1034">
        <v>31640</v>
      </c>
      <c r="I24" s="66">
        <v>904</v>
      </c>
      <c r="J24" s="1049">
        <v>24500000</v>
      </c>
      <c r="K24" s="1049">
        <f t="shared" si="5"/>
        <v>700000</v>
      </c>
      <c r="L24" s="1049">
        <f t="shared" si="2"/>
        <v>998032.620792325</v>
      </c>
      <c r="M24" s="1049"/>
      <c r="N24" s="1049">
        <f t="shared" si="6"/>
        <v>774.33628318584067</v>
      </c>
      <c r="O24" s="1049">
        <f t="shared" si="3"/>
        <v>1040.6432140938996</v>
      </c>
      <c r="P24" s="1050" t="s">
        <v>153</v>
      </c>
    </row>
    <row r="25" spans="2:18">
      <c r="B25" s="58">
        <f t="shared" si="4"/>
        <v>20</v>
      </c>
      <c r="C25" s="1047" t="s">
        <v>654</v>
      </c>
      <c r="D25" s="58" t="s">
        <v>588</v>
      </c>
      <c r="E25" s="1048">
        <v>44509</v>
      </c>
      <c r="F25" s="58">
        <v>2019</v>
      </c>
      <c r="G25" s="58">
        <v>142</v>
      </c>
      <c r="H25" s="1034">
        <v>146544</v>
      </c>
      <c r="I25" s="66">
        <v>1032</v>
      </c>
      <c r="J25" s="1049">
        <v>62310000</v>
      </c>
      <c r="K25" s="1049">
        <f t="shared" si="5"/>
        <v>438802.81690140843</v>
      </c>
      <c r="L25" s="1049">
        <f t="shared" si="2"/>
        <v>625627.89337595343</v>
      </c>
      <c r="M25" s="1049"/>
      <c r="N25" s="1049">
        <f t="shared" si="6"/>
        <v>425.19652800524074</v>
      </c>
      <c r="O25" s="1049">
        <f t="shared" si="3"/>
        <v>571.4285784264946</v>
      </c>
      <c r="P25" s="1050" t="s">
        <v>153</v>
      </c>
    </row>
    <row r="26" spans="2:18" ht="6" customHeight="1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pans="2:18">
      <c r="B27" s="1142" t="s">
        <v>160</v>
      </c>
      <c r="C27" s="1142"/>
      <c r="D27" s="1142"/>
      <c r="E27" s="1142"/>
      <c r="F27" s="1143">
        <f t="shared" ref="F27:L27" si="7">AVERAGE(F6:F25)</f>
        <v>2017.1578947368421</v>
      </c>
      <c r="G27" s="1143">
        <f t="shared" si="7"/>
        <v>242.9</v>
      </c>
      <c r="H27" s="1144">
        <f t="shared" si="7"/>
        <v>225801.29965150249</v>
      </c>
      <c r="I27" s="1145">
        <f t="shared" si="7"/>
        <v>899.22460838111397</v>
      </c>
      <c r="J27" s="1146">
        <f t="shared" si="7"/>
        <v>91617301.299999997</v>
      </c>
      <c r="K27" s="1146">
        <f t="shared" si="7"/>
        <v>383644.98626764346</v>
      </c>
      <c r="L27" s="1146">
        <f t="shared" si="7"/>
        <v>544046.02022593899</v>
      </c>
      <c r="M27" s="1146"/>
      <c r="N27" s="1146">
        <f>AVERAGE(N6:N25)</f>
        <v>405.04679428459741</v>
      </c>
      <c r="O27" s="1146">
        <f>AVERAGE(O6:O25)</f>
        <v>542.06254877046842</v>
      </c>
      <c r="P27" s="1147">
        <f>AVERAGE(P6:P25)</f>
        <v>3.4282401013620525E-2</v>
      </c>
      <c r="Q27" s="568"/>
      <c r="R27" s="569"/>
    </row>
    <row r="28" spans="2:18" ht="3.6" customHeight="1">
      <c r="B28" s="58"/>
      <c r="C28" s="58"/>
      <c r="D28" s="58"/>
      <c r="E28" s="58"/>
      <c r="F28" s="58"/>
      <c r="G28" s="1148"/>
      <c r="H28" s="58"/>
      <c r="I28" s="58"/>
      <c r="J28" s="58"/>
      <c r="K28" s="58"/>
      <c r="L28" s="58"/>
      <c r="M28" s="58"/>
      <c r="N28" s="58"/>
      <c r="O28" s="58"/>
      <c r="P28" s="58"/>
    </row>
    <row r="29" spans="2:18" ht="15">
      <c r="B29" s="1018" t="str">
        <f>Dashboard!C5</f>
        <v>1425 4th Ave</v>
      </c>
      <c r="C29" s="1018"/>
      <c r="D29" s="1018" t="s">
        <v>150</v>
      </c>
      <c r="E29" s="1018"/>
      <c r="F29" s="1085">
        <f>L3</f>
        <v>48730</v>
      </c>
      <c r="G29" s="1019">
        <f>Assumptions!C34</f>
        <v>131</v>
      </c>
      <c r="H29" s="1020">
        <f>Assumptions!J35-Assumptions!F41</f>
        <v>103297</v>
      </c>
      <c r="I29" s="1021">
        <f>Assumptions!E34</f>
        <v>788.52671755725191</v>
      </c>
      <c r="J29" s="1022">
        <f ca="1">'Monthly-CF'!I62</f>
        <v>85423247.042959258</v>
      </c>
      <c r="K29" s="1022">
        <f ca="1">Dashboard!P47</f>
        <v>604170.66694876307</v>
      </c>
      <c r="L29" s="1022">
        <f ca="1">J29/G29</f>
        <v>652085.85528976528</v>
      </c>
      <c r="M29" s="1022"/>
      <c r="N29" s="1022"/>
      <c r="O29" s="1022">
        <f ca="1">J29/H29</f>
        <v>826.96735667985763</v>
      </c>
      <c r="P29" s="1023">
        <f>+Assumptions!E71</f>
        <v>5.2499999999999998E-2</v>
      </c>
      <c r="Q29" s="1018"/>
      <c r="R29" s="1024"/>
    </row>
    <row r="30" spans="2:18" s="58" customFormat="1" ht="4.5" customHeight="1">
      <c r="B30" s="1025"/>
      <c r="C30" s="1025"/>
      <c r="D30" s="1025"/>
      <c r="E30" s="1025"/>
      <c r="F30" s="1025"/>
      <c r="G30" s="1026"/>
      <c r="H30" s="1027"/>
      <c r="I30" s="1028"/>
      <c r="J30" s="1029"/>
      <c r="K30" s="1029"/>
      <c r="L30" s="1030"/>
      <c r="M30" s="1030"/>
      <c r="N30" s="1030"/>
      <c r="O30" s="1030"/>
      <c r="P30" s="1031"/>
      <c r="Q30" s="1025"/>
      <c r="R30" s="1025"/>
    </row>
    <row r="31" spans="2:18">
      <c r="B31" s="1202" t="s">
        <v>575</v>
      </c>
      <c r="C31" s="1149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</row>
    <row r="32" spans="2:18">
      <c r="B32" s="1202" t="s">
        <v>658</v>
      </c>
      <c r="C32" s="1149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</row>
    <row r="33" spans="2:25">
      <c r="B33" s="1202" t="s">
        <v>656</v>
      </c>
      <c r="N33" s="387"/>
      <c r="O33" s="387"/>
      <c r="P33" s="387"/>
      <c r="Q33" s="387"/>
      <c r="R33" s="387"/>
      <c r="S33" s="387"/>
      <c r="T33" s="387"/>
      <c r="U33" s="387"/>
      <c r="V33" s="387"/>
      <c r="W33" s="387"/>
      <c r="X33" s="387"/>
      <c r="Y33" s="387"/>
    </row>
    <row r="34" spans="2:25">
      <c r="B34" s="1202" t="s">
        <v>657</v>
      </c>
      <c r="K34" s="387"/>
      <c r="L34" s="387"/>
      <c r="M34" s="387"/>
    </row>
    <row r="35" spans="2:25">
      <c r="K35" s="387"/>
      <c r="L35" s="387"/>
      <c r="M35" s="387"/>
    </row>
  </sheetData>
  <pageMargins left="0.7" right="0.7" top="0.75" bottom="0.75" header="0.3" footer="0.3"/>
  <pageSetup scale="4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/>
  </sheetPr>
  <dimension ref="B4:N27"/>
  <sheetViews>
    <sheetView view="pageBreakPreview" zoomScale="120" zoomScaleNormal="100" zoomScaleSheetLayoutView="120" workbookViewId="0">
      <selection activeCell="B27" sqref="B27:N27"/>
    </sheetView>
  </sheetViews>
  <sheetFormatPr defaultColWidth="8.85546875" defaultRowHeight="14.25" outlineLevelRow="1"/>
  <cols>
    <col min="1" max="2" width="8.85546875" style="84"/>
    <col min="3" max="3" width="16.42578125" style="84" customWidth="1"/>
    <col min="4" max="4" width="1.42578125" style="84" customWidth="1"/>
    <col min="5" max="14" width="12.85546875" style="84" bestFit="1" customWidth="1"/>
    <col min="15" max="15" width="0.85546875" style="84" customWidth="1"/>
    <col min="16" max="16384" width="8.85546875" style="84"/>
  </cols>
  <sheetData>
    <row r="4" spans="2:14">
      <c r="I4" s="1067"/>
    </row>
    <row r="5" spans="2:14" ht="13.35" customHeight="1">
      <c r="B5" s="1072" t="s">
        <v>6</v>
      </c>
      <c r="C5" s="1073"/>
      <c r="D5" s="1073"/>
      <c r="E5" s="1074" t="s">
        <v>176</v>
      </c>
      <c r="F5" s="1074" t="s">
        <v>177</v>
      </c>
      <c r="G5" s="1074" t="s">
        <v>178</v>
      </c>
      <c r="H5" s="1074" t="s">
        <v>179</v>
      </c>
      <c r="I5" s="1074" t="s">
        <v>180</v>
      </c>
      <c r="J5" s="1074" t="s">
        <v>181</v>
      </c>
      <c r="K5" s="1074" t="s">
        <v>182</v>
      </c>
      <c r="L5" s="1074" t="s">
        <v>183</v>
      </c>
      <c r="M5" s="1074" t="s">
        <v>184</v>
      </c>
      <c r="N5" s="1074" t="s">
        <v>185</v>
      </c>
    </row>
    <row r="6" spans="2:14" ht="13.35" customHeight="1">
      <c r="B6" s="1068" t="s">
        <v>503</v>
      </c>
      <c r="C6" s="1075"/>
      <c r="D6" s="1076"/>
      <c r="E6" s="1069">
        <f ca="1">'Annual-CF'!L23</f>
        <v>0</v>
      </c>
      <c r="F6" s="1069">
        <f ca="1">'Annual-CF'!M23</f>
        <v>0</v>
      </c>
      <c r="G6" s="1069">
        <f ca="1">'Annual-CF'!N23</f>
        <v>0</v>
      </c>
      <c r="H6" s="1069">
        <f ca="1">'Annual-CF'!O23</f>
        <v>0</v>
      </c>
      <c r="I6" s="1069">
        <f ca="1">'Annual-CF'!P23</f>
        <v>0</v>
      </c>
      <c r="J6" s="1069">
        <f ca="1">'Annual-CF'!Q23</f>
        <v>0</v>
      </c>
      <c r="K6" s="1069">
        <f ca="1">'Annual-CF'!R23</f>
        <v>0</v>
      </c>
      <c r="L6" s="1069">
        <f ca="1">'Annual-CF'!S23</f>
        <v>0</v>
      </c>
      <c r="M6" s="1069">
        <f ca="1">'Annual-CF'!T23</f>
        <v>0</v>
      </c>
      <c r="N6" s="1069">
        <f ca="1">'Annual-CF'!U23</f>
        <v>0</v>
      </c>
    </row>
    <row r="7" spans="2:14" ht="13.35" hidden="1" customHeight="1" outlineLevel="1">
      <c r="B7" s="1068" t="s">
        <v>504</v>
      </c>
      <c r="C7" s="1075"/>
      <c r="D7" s="1076"/>
      <c r="E7" s="1069">
        <f>'Annual-CF'!L24</f>
        <v>0</v>
      </c>
      <c r="F7" s="1069">
        <f>'Annual-CF'!M24</f>
        <v>0</v>
      </c>
      <c r="G7" s="1069">
        <f>'Annual-CF'!N24</f>
        <v>0</v>
      </c>
      <c r="H7" s="1069">
        <f>'Annual-CF'!O24</f>
        <v>0</v>
      </c>
      <c r="I7" s="1069">
        <f>'Annual-CF'!P24</f>
        <v>0</v>
      </c>
      <c r="J7" s="1069">
        <f>'Annual-CF'!Q24</f>
        <v>0</v>
      </c>
      <c r="K7" s="1069">
        <f>'Annual-CF'!R24</f>
        <v>0</v>
      </c>
      <c r="L7" s="1069">
        <f>'Annual-CF'!S24</f>
        <v>0</v>
      </c>
      <c r="M7" s="1069">
        <f>'Annual-CF'!T24</f>
        <v>0</v>
      </c>
      <c r="N7" s="1069">
        <f>'Annual-CF'!U24</f>
        <v>0</v>
      </c>
    </row>
    <row r="8" spans="2:14" ht="13.35" customHeight="1" collapsed="1">
      <c r="B8" s="1068" t="s">
        <v>600</v>
      </c>
      <c r="C8" s="1075"/>
      <c r="D8" s="1076"/>
      <c r="E8" s="1069">
        <f ca="1">'Annual-CF'!L25</f>
        <v>0</v>
      </c>
      <c r="F8" s="1069">
        <f ca="1">'Annual-CF'!M25</f>
        <v>0</v>
      </c>
      <c r="G8" s="1069">
        <f ca="1">'Annual-CF'!N25</f>
        <v>0</v>
      </c>
      <c r="H8" s="1069">
        <f ca="1">'Annual-CF'!O25</f>
        <v>0</v>
      </c>
      <c r="I8" s="1069">
        <f ca="1">'Annual-CF'!P25</f>
        <v>0</v>
      </c>
      <c r="J8" s="1069">
        <f ca="1">'Annual-CF'!Q25</f>
        <v>0</v>
      </c>
      <c r="K8" s="1069">
        <f ca="1">'Annual-CF'!R25</f>
        <v>0</v>
      </c>
      <c r="L8" s="1069">
        <f ca="1">'Annual-CF'!S25</f>
        <v>0</v>
      </c>
      <c r="M8" s="1069">
        <f ca="1">'Annual-CF'!T25</f>
        <v>0</v>
      </c>
      <c r="N8" s="1069">
        <f ca="1">'Annual-CF'!U25</f>
        <v>0</v>
      </c>
    </row>
    <row r="9" spans="2:14" ht="3.75" customHeight="1">
      <c r="B9" s="1068"/>
      <c r="C9" s="1077"/>
      <c r="D9" s="1075"/>
      <c r="E9" s="1069"/>
      <c r="F9" s="1069"/>
      <c r="G9" s="1069"/>
      <c r="H9" s="1069"/>
      <c r="I9" s="1069"/>
      <c r="J9" s="1069"/>
      <c r="K9" s="1069"/>
      <c r="L9" s="1069"/>
      <c r="M9" s="1069"/>
      <c r="N9" s="1069"/>
    </row>
    <row r="10" spans="2:14" ht="13.35" customHeight="1">
      <c r="B10" s="1078" t="s">
        <v>27</v>
      </c>
      <c r="C10" s="1078"/>
      <c r="D10" s="1078"/>
      <c r="E10" s="1070">
        <f ca="1">SUM(E6:E8)</f>
        <v>0</v>
      </c>
      <c r="F10" s="1070">
        <f ca="1">SUM(F6:F8)</f>
        <v>0</v>
      </c>
      <c r="G10" s="1070">
        <f ca="1">SUM(G6:G9)</f>
        <v>0</v>
      </c>
      <c r="H10" s="1070">
        <f t="shared" ref="H10:N10" ca="1" si="0">SUM(H6:H9)</f>
        <v>0</v>
      </c>
      <c r="I10" s="1070">
        <f ca="1">SUM(I6:I9)</f>
        <v>0</v>
      </c>
      <c r="J10" s="1070">
        <f ca="1">SUM(J6:J9)</f>
        <v>0</v>
      </c>
      <c r="K10" s="1070">
        <f t="shared" ca="1" si="0"/>
        <v>0</v>
      </c>
      <c r="L10" s="1070">
        <f t="shared" ca="1" si="0"/>
        <v>0</v>
      </c>
      <c r="M10" s="1070">
        <f t="shared" ca="1" si="0"/>
        <v>0</v>
      </c>
      <c r="N10" s="1070">
        <f t="shared" ca="1" si="0"/>
        <v>0</v>
      </c>
    </row>
    <row r="11" spans="2:14" ht="4.3499999999999996" customHeight="1">
      <c r="B11" s="1075"/>
      <c r="C11" s="1077"/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</row>
    <row r="12" spans="2:14" ht="3.75" customHeight="1">
      <c r="B12" s="1068"/>
      <c r="C12" s="1079"/>
      <c r="D12" s="1075"/>
      <c r="E12" s="1069"/>
      <c r="F12" s="1069"/>
      <c r="G12" s="1069"/>
      <c r="H12" s="1069"/>
      <c r="I12" s="1069"/>
      <c r="J12" s="1069"/>
      <c r="K12" s="1069"/>
      <c r="L12" s="1069"/>
      <c r="M12" s="1069"/>
      <c r="N12" s="1069"/>
    </row>
    <row r="13" spans="2:14" ht="13.35" customHeight="1">
      <c r="B13" s="1068" t="s">
        <v>28</v>
      </c>
      <c r="C13" s="1079"/>
      <c r="D13" s="1075"/>
      <c r="E13" s="1069">
        <f ca="1">'Annual-CF'!L27</f>
        <v>0</v>
      </c>
      <c r="F13" s="1069">
        <f ca="1">'Annual-CF'!M27</f>
        <v>0</v>
      </c>
      <c r="G13" s="1069">
        <f ca="1">'Annual-CF'!N27</f>
        <v>0</v>
      </c>
      <c r="H13" s="1069">
        <f ca="1">'Annual-CF'!O27</f>
        <v>0</v>
      </c>
      <c r="I13" s="1069">
        <f ca="1">'Annual-CF'!P27</f>
        <v>0</v>
      </c>
      <c r="J13" s="1069">
        <f ca="1">'Annual-CF'!Q27</f>
        <v>0</v>
      </c>
      <c r="K13" s="1069">
        <f ca="1">'Annual-CF'!R27</f>
        <v>0</v>
      </c>
      <c r="L13" s="1069">
        <f ca="1">'Annual-CF'!S27</f>
        <v>0</v>
      </c>
      <c r="M13" s="1069">
        <f ca="1">'Annual-CF'!T27</f>
        <v>0</v>
      </c>
      <c r="N13" s="1069">
        <f ca="1">'Annual-CF'!U27</f>
        <v>0</v>
      </c>
    </row>
    <row r="14" spans="2:14" ht="13.35" customHeight="1">
      <c r="B14" s="1078" t="s">
        <v>33</v>
      </c>
      <c r="C14" s="1078"/>
      <c r="D14" s="1078"/>
      <c r="E14" s="1070">
        <f ca="1">E10+SUM(E12:E13)</f>
        <v>0</v>
      </c>
      <c r="F14" s="1070">
        <f t="shared" ref="F14:N14" ca="1" si="1">F10+SUM(F12:F13)</f>
        <v>0</v>
      </c>
      <c r="G14" s="1070">
        <f t="shared" ca="1" si="1"/>
        <v>0</v>
      </c>
      <c r="H14" s="1070">
        <f t="shared" ca="1" si="1"/>
        <v>0</v>
      </c>
      <c r="I14" s="1070">
        <f t="shared" ca="1" si="1"/>
        <v>0</v>
      </c>
      <c r="J14" s="1070">
        <f t="shared" ca="1" si="1"/>
        <v>0</v>
      </c>
      <c r="K14" s="1070">
        <f t="shared" ca="1" si="1"/>
        <v>0</v>
      </c>
      <c r="L14" s="1070">
        <f t="shared" ca="1" si="1"/>
        <v>0</v>
      </c>
      <c r="M14" s="1070">
        <f t="shared" ca="1" si="1"/>
        <v>0</v>
      </c>
      <c r="N14" s="1070">
        <f t="shared" ca="1" si="1"/>
        <v>0</v>
      </c>
    </row>
    <row r="15" spans="2:14" ht="4.3499999999999996" customHeight="1">
      <c r="B15" s="1075"/>
      <c r="C15" s="1077"/>
      <c r="D15" s="1075"/>
      <c r="E15" s="1075"/>
      <c r="F15" s="1075"/>
      <c r="G15" s="1075"/>
      <c r="H15" s="1075"/>
      <c r="I15" s="1075"/>
      <c r="J15" s="1075"/>
      <c r="K15" s="1075"/>
      <c r="L15" s="1075"/>
      <c r="M15" s="1075"/>
      <c r="N15" s="1075"/>
    </row>
    <row r="16" spans="2:14" ht="13.35" customHeight="1">
      <c r="B16" s="1071" t="s">
        <v>509</v>
      </c>
      <c r="C16" s="1080"/>
      <c r="D16" s="1075"/>
      <c r="E16" s="1069">
        <f ca="1">'Annual-CF'!L31</f>
        <v>0</v>
      </c>
      <c r="F16" s="1069">
        <f ca="1">'Annual-CF'!M31</f>
        <v>0</v>
      </c>
      <c r="G16" s="1069">
        <f ca="1">'Annual-CF'!N31</f>
        <v>0</v>
      </c>
      <c r="H16" s="1069">
        <f ca="1">'Annual-CF'!O31</f>
        <v>0</v>
      </c>
      <c r="I16" s="1069">
        <f ca="1">'Annual-CF'!P31</f>
        <v>0</v>
      </c>
      <c r="J16" s="1069">
        <f ca="1">'Annual-CF'!Q31</f>
        <v>0</v>
      </c>
      <c r="K16" s="1069">
        <f ca="1">'Annual-CF'!R31</f>
        <v>0</v>
      </c>
      <c r="L16" s="1069">
        <f ca="1">'Annual-CF'!S31</f>
        <v>0</v>
      </c>
      <c r="M16" s="1069">
        <f ca="1">'Annual-CF'!T31</f>
        <v>0</v>
      </c>
      <c r="N16" s="1069">
        <f ca="1">'Annual-CF'!U31</f>
        <v>0</v>
      </c>
    </row>
    <row r="17" spans="2:14" ht="13.35" hidden="1" customHeight="1" outlineLevel="1">
      <c r="B17" s="1071" t="s">
        <v>510</v>
      </c>
      <c r="C17" s="1079"/>
      <c r="D17" s="1075"/>
      <c r="E17" s="1069">
        <f>'Annual-CF'!L32</f>
        <v>0</v>
      </c>
      <c r="F17" s="1069">
        <f>'Annual-CF'!M32</f>
        <v>0</v>
      </c>
      <c r="G17" s="1069">
        <f>'Annual-CF'!N32</f>
        <v>0</v>
      </c>
      <c r="H17" s="1069">
        <f>'Annual-CF'!O32</f>
        <v>0</v>
      </c>
      <c r="I17" s="1069">
        <f>'Annual-CF'!P32</f>
        <v>0</v>
      </c>
      <c r="J17" s="1069">
        <f>'Annual-CF'!Q32</f>
        <v>0</v>
      </c>
      <c r="K17" s="1069">
        <f>'Annual-CF'!R32</f>
        <v>0</v>
      </c>
      <c r="L17" s="1069">
        <f>'Annual-CF'!S32</f>
        <v>0</v>
      </c>
      <c r="M17" s="1069">
        <f>'Annual-CF'!T32</f>
        <v>0</v>
      </c>
      <c r="N17" s="1069">
        <f>'Annual-CF'!U32</f>
        <v>0</v>
      </c>
    </row>
    <row r="18" spans="2:14" ht="3.75" customHeight="1" collapsed="1">
      <c r="B18" s="1068"/>
      <c r="C18" s="1079"/>
      <c r="D18" s="1075"/>
      <c r="E18" s="1069"/>
      <c r="F18" s="1069"/>
      <c r="G18" s="1069"/>
      <c r="H18" s="1069"/>
      <c r="I18" s="1069"/>
      <c r="J18" s="1069"/>
      <c r="K18" s="1069"/>
      <c r="L18" s="1069"/>
      <c r="M18" s="1069"/>
      <c r="N18" s="1069"/>
    </row>
    <row r="19" spans="2:14" ht="13.35" customHeight="1">
      <c r="B19" s="1078" t="s">
        <v>29</v>
      </c>
      <c r="C19" s="1078"/>
      <c r="D19" s="1078"/>
      <c r="E19" s="1070">
        <f ca="1">SUM(E14:E18)</f>
        <v>0</v>
      </c>
      <c r="F19" s="1070">
        <f t="shared" ref="F19:N19" ca="1" si="2">SUM(F14:F18)</f>
        <v>0</v>
      </c>
      <c r="G19" s="1070">
        <f t="shared" ca="1" si="2"/>
        <v>0</v>
      </c>
      <c r="H19" s="1070">
        <f t="shared" ca="1" si="2"/>
        <v>0</v>
      </c>
      <c r="I19" s="1070">
        <f t="shared" ca="1" si="2"/>
        <v>0</v>
      </c>
      <c r="J19" s="1070">
        <f t="shared" ca="1" si="2"/>
        <v>0</v>
      </c>
      <c r="K19" s="1070">
        <f t="shared" ca="1" si="2"/>
        <v>0</v>
      </c>
      <c r="L19" s="1070">
        <f t="shared" ca="1" si="2"/>
        <v>0</v>
      </c>
      <c r="M19" s="1070">
        <f t="shared" ca="1" si="2"/>
        <v>0</v>
      </c>
      <c r="N19" s="1070">
        <f t="shared" ca="1" si="2"/>
        <v>0</v>
      </c>
    </row>
    <row r="20" spans="2:14" ht="13.35" customHeight="1">
      <c r="B20" s="1081" t="s">
        <v>7</v>
      </c>
      <c r="C20" s="1081"/>
      <c r="D20" s="1081"/>
      <c r="E20" s="1082" t="str">
        <f ca="1">IFERROR(E19/E$38,"")</f>
        <v/>
      </c>
      <c r="F20" s="1082" t="str">
        <f t="shared" ref="F20:N20" ca="1" si="3">IFERROR(F19/F10,"")</f>
        <v/>
      </c>
      <c r="G20" s="1082" t="str">
        <f t="shared" ca="1" si="3"/>
        <v/>
      </c>
      <c r="H20" s="1082" t="str">
        <f t="shared" ca="1" si="3"/>
        <v/>
      </c>
      <c r="I20" s="1082" t="str">
        <f t="shared" ca="1" si="3"/>
        <v/>
      </c>
      <c r="J20" s="1082" t="str">
        <f t="shared" ca="1" si="3"/>
        <v/>
      </c>
      <c r="K20" s="1082" t="str">
        <f t="shared" ca="1" si="3"/>
        <v/>
      </c>
      <c r="L20" s="1082" t="str">
        <f t="shared" ca="1" si="3"/>
        <v/>
      </c>
      <c r="M20" s="1082" t="str">
        <f t="shared" ca="1" si="3"/>
        <v/>
      </c>
      <c r="N20" s="1082" t="str">
        <f t="shared" ca="1" si="3"/>
        <v/>
      </c>
    </row>
    <row r="21" spans="2:14" ht="4.3499999999999996" customHeight="1">
      <c r="B21" s="1075"/>
      <c r="C21" s="1077"/>
      <c r="D21" s="1075"/>
      <c r="E21" s="1075"/>
      <c r="F21" s="1075"/>
      <c r="G21" s="1075"/>
      <c r="H21" s="1075"/>
      <c r="I21" s="1075"/>
      <c r="J21" s="1075"/>
      <c r="K21" s="1075"/>
      <c r="L21" s="1075"/>
      <c r="M21" s="1075"/>
      <c r="N21" s="1075"/>
    </row>
    <row r="22" spans="2:14" ht="13.35" customHeight="1">
      <c r="B22" s="1075" t="s">
        <v>30</v>
      </c>
      <c r="C22" s="1077"/>
      <c r="D22" s="1075"/>
      <c r="E22" s="1069">
        <f ca="1">'Annual-CF'!L36</f>
        <v>0</v>
      </c>
      <c r="F22" s="1069">
        <f ca="1">'Annual-CF'!M36</f>
        <v>0</v>
      </c>
      <c r="G22" s="1069">
        <f ca="1">'Annual-CF'!N36</f>
        <v>0</v>
      </c>
      <c r="H22" s="1069">
        <f ca="1">'Annual-CF'!O36</f>
        <v>0</v>
      </c>
      <c r="I22" s="1069">
        <f ca="1">'Annual-CF'!P36</f>
        <v>0</v>
      </c>
      <c r="J22" s="1069">
        <f ca="1">'Annual-CF'!Q36</f>
        <v>0</v>
      </c>
      <c r="K22" s="1069">
        <f ca="1">'Annual-CF'!R36</f>
        <v>0</v>
      </c>
      <c r="L22" s="1069">
        <f ca="1">'Annual-CF'!S36</f>
        <v>0</v>
      </c>
      <c r="M22" s="1069">
        <f ca="1">'Annual-CF'!T36</f>
        <v>0</v>
      </c>
      <c r="N22" s="1069">
        <f ca="1">'Annual-CF'!U36</f>
        <v>0</v>
      </c>
    </row>
    <row r="23" spans="2:14" ht="13.35" customHeight="1">
      <c r="B23" s="1078" t="s">
        <v>34</v>
      </c>
      <c r="C23" s="1078"/>
      <c r="D23" s="1078"/>
      <c r="E23" s="1070">
        <f ca="1">E19+E22</f>
        <v>0</v>
      </c>
      <c r="F23" s="1070">
        <f t="shared" ref="F23:N23" ca="1" si="4">F19+F22</f>
        <v>0</v>
      </c>
      <c r="G23" s="1070">
        <f t="shared" ca="1" si="4"/>
        <v>0</v>
      </c>
      <c r="H23" s="1070">
        <f t="shared" ca="1" si="4"/>
        <v>0</v>
      </c>
      <c r="I23" s="1070">
        <f t="shared" ca="1" si="4"/>
        <v>0</v>
      </c>
      <c r="J23" s="1070">
        <f t="shared" ca="1" si="4"/>
        <v>0</v>
      </c>
      <c r="K23" s="1070">
        <f t="shared" ca="1" si="4"/>
        <v>0</v>
      </c>
      <c r="L23" s="1070">
        <f t="shared" ca="1" si="4"/>
        <v>0</v>
      </c>
      <c r="M23" s="1070">
        <f t="shared" ca="1" si="4"/>
        <v>0</v>
      </c>
      <c r="N23" s="1070">
        <f t="shared" ca="1" si="4"/>
        <v>0</v>
      </c>
    </row>
    <row r="24" spans="2:14" ht="13.35" customHeight="1">
      <c r="B24" s="1081" t="s">
        <v>7</v>
      </c>
      <c r="C24" s="1081"/>
      <c r="D24" s="1081"/>
      <c r="E24" s="1082" t="str">
        <f ca="1">IFERROR(E23/E$38,"")</f>
        <v/>
      </c>
      <c r="F24" s="1082" t="e">
        <f ca="1">F23/F10</f>
        <v>#DIV/0!</v>
      </c>
      <c r="G24" s="1082" t="e">
        <f ca="1">G23/G10</f>
        <v>#DIV/0!</v>
      </c>
      <c r="H24" s="1082" t="e">
        <f ca="1">H23/H10</f>
        <v>#DIV/0!</v>
      </c>
      <c r="I24" s="1082" t="e">
        <f ca="1">I23/I10</f>
        <v>#DIV/0!</v>
      </c>
      <c r="J24" s="1082" t="str">
        <f ca="1">IFERROR(J23/J10,"")</f>
        <v/>
      </c>
      <c r="K24" s="1082" t="str">
        <f ca="1">IFERROR(K23/K10,"")</f>
        <v/>
      </c>
      <c r="L24" s="1082" t="str">
        <f ca="1">IFERROR(L23/L10,"")</f>
        <v/>
      </c>
      <c r="M24" s="1082" t="str">
        <f ca="1">IFERROR(M23/M10,"")</f>
        <v/>
      </c>
      <c r="N24" s="1082" t="str">
        <f ca="1">IFERROR(N23/N10,"")</f>
        <v/>
      </c>
    </row>
    <row r="25" spans="2:14" ht="5.0999999999999996" customHeight="1"/>
    <row r="26" spans="2:14" ht="15" customHeight="1"/>
    <row r="27" spans="2:14" ht="15" customHeight="1">
      <c r="B27" s="1083" t="s">
        <v>128</v>
      </c>
      <c r="C27" s="1083"/>
      <c r="D27" s="1083"/>
      <c r="E27" s="1084">
        <f ca="1">'Annual-CF'!L37-'Operating Projections'!E23</f>
        <v>0</v>
      </c>
      <c r="F27" s="1084">
        <f ca="1">'Annual-CF'!M37-'Operating Projections'!F23</f>
        <v>0</v>
      </c>
      <c r="G27" s="1084">
        <f ca="1">'Annual-CF'!N37-'Operating Projections'!G23</f>
        <v>0</v>
      </c>
      <c r="H27" s="1084">
        <f ca="1">'Annual-CF'!O37-'Operating Projections'!H23</f>
        <v>0</v>
      </c>
      <c r="I27" s="1084">
        <f ca="1">'Annual-CF'!P37-'Operating Projections'!I23</f>
        <v>0</v>
      </c>
      <c r="J27" s="1084">
        <f ca="1">'Annual-CF'!Q37-'Operating Projections'!J23</f>
        <v>0</v>
      </c>
      <c r="K27" s="1084">
        <f ca="1">'Annual-CF'!R37-'Operating Projections'!K23</f>
        <v>0</v>
      </c>
      <c r="L27" s="1084">
        <f ca="1">'Annual-CF'!S37-'Operating Projections'!L23</f>
        <v>0</v>
      </c>
      <c r="M27" s="1084">
        <f ca="1">'Annual-CF'!T37-'Operating Projections'!M23</f>
        <v>0</v>
      </c>
      <c r="N27" s="1084">
        <f ca="1">'Annual-CF'!U37-'Operating Projections'!N23</f>
        <v>0</v>
      </c>
    </row>
  </sheetData>
  <pageMargins left="0.7" right="0.7" top="0.75" bottom="0.75" header="0.3" footer="0.3"/>
  <pageSetup scale="54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AF6B-E360-44C6-8C37-BEC40F7DE05F}">
  <dimension ref="C2:K124"/>
  <sheetViews>
    <sheetView showGridLines="0" workbookViewId="0">
      <selection activeCell="D3" sqref="D3"/>
    </sheetView>
  </sheetViews>
  <sheetFormatPr defaultColWidth="9.140625" defaultRowHeight="15"/>
  <cols>
    <col min="3" max="3" width="10.7109375" bestFit="1" customWidth="1"/>
    <col min="4" max="4" width="10.7109375" customWidth="1"/>
    <col min="7" max="7" width="10.7109375" bestFit="1" customWidth="1"/>
    <col min="8" max="8" width="9.7109375" bestFit="1" customWidth="1"/>
    <col min="12" max="22" width="21.85546875" customWidth="1"/>
  </cols>
  <sheetData>
    <row r="2" spans="3:11" ht="15.75" thickBot="1"/>
    <row r="3" spans="3:11">
      <c r="C3" s="1460" t="s">
        <v>647</v>
      </c>
      <c r="D3" s="1466"/>
      <c r="E3" s="1461" t="s">
        <v>794</v>
      </c>
      <c r="G3" s="1995" t="s">
        <v>647</v>
      </c>
      <c r="H3" s="1994"/>
      <c r="I3" s="1996" t="s">
        <v>1221</v>
      </c>
    </row>
    <row r="4" spans="3:11">
      <c r="C4" s="1462">
        <v>44952</v>
      </c>
      <c r="D4" s="1467">
        <f>EOMONTH(C4,0)</f>
        <v>44957</v>
      </c>
      <c r="E4" s="1463">
        <v>4.52498E-2</v>
      </c>
      <c r="G4" s="1997">
        <v>45015</v>
      </c>
      <c r="H4" s="1467">
        <f>EOMONTH(G4,0)</f>
        <v>45016</v>
      </c>
      <c r="I4" s="1998">
        <v>4.8587100000000001E-2</v>
      </c>
      <c r="K4" s="930"/>
    </row>
    <row r="5" spans="3:11">
      <c r="C5" s="1462">
        <v>44984</v>
      </c>
      <c r="D5" s="1467">
        <f t="shared" ref="D5:D68" si="0">EOMONTH(C5,0)</f>
        <v>44985</v>
      </c>
      <c r="E5" s="1463">
        <v>4.6256800000000001E-2</v>
      </c>
      <c r="F5" s="930"/>
      <c r="G5" s="1997">
        <v>45044</v>
      </c>
      <c r="H5" s="2001">
        <f t="shared" ref="H5:H68" si="1">EOMONTH(G5,0)</f>
        <v>45046</v>
      </c>
      <c r="I5" s="1998">
        <v>5.0188499999999997E-2</v>
      </c>
      <c r="K5" s="930"/>
    </row>
    <row r="6" spans="3:11">
      <c r="C6" s="1462">
        <v>45012</v>
      </c>
      <c r="D6" s="1467">
        <f t="shared" si="0"/>
        <v>45016</v>
      </c>
      <c r="E6" s="1463">
        <v>4.7764500000000001E-2</v>
      </c>
      <c r="F6" s="930"/>
      <c r="G6" s="1997">
        <v>45076</v>
      </c>
      <c r="H6" s="2001">
        <f t="shared" si="1"/>
        <v>45077</v>
      </c>
      <c r="I6" s="1998">
        <v>5.0422300000000003E-2</v>
      </c>
      <c r="K6" s="930"/>
    </row>
    <row r="7" spans="3:11">
      <c r="C7" s="1462">
        <v>45042</v>
      </c>
      <c r="D7" s="1467">
        <f t="shared" si="0"/>
        <v>45046</v>
      </c>
      <c r="E7" s="1463">
        <v>4.87094E-2</v>
      </c>
      <c r="F7" s="930"/>
      <c r="G7" s="1997">
        <v>45107</v>
      </c>
      <c r="H7" s="2001">
        <f t="shared" si="1"/>
        <v>45107</v>
      </c>
      <c r="I7" s="1998">
        <v>4.9256500000000002E-2</v>
      </c>
      <c r="K7" s="930"/>
    </row>
    <row r="8" spans="3:11">
      <c r="C8" s="1462">
        <v>45072</v>
      </c>
      <c r="D8" s="1467">
        <f t="shared" si="0"/>
        <v>45077</v>
      </c>
      <c r="E8" s="1463">
        <v>4.9008299999999998E-2</v>
      </c>
      <c r="F8" s="930"/>
      <c r="G8" s="1997">
        <v>45138</v>
      </c>
      <c r="H8" s="2001">
        <f t="shared" si="1"/>
        <v>45138</v>
      </c>
      <c r="I8" s="1998">
        <v>4.7921400000000003E-2</v>
      </c>
      <c r="K8" s="930"/>
    </row>
    <row r="9" spans="3:11">
      <c r="C9" s="1462">
        <v>45103</v>
      </c>
      <c r="D9" s="1467">
        <f t="shared" si="0"/>
        <v>45107</v>
      </c>
      <c r="E9" s="1463">
        <v>4.8833399999999999E-2</v>
      </c>
      <c r="F9" s="930"/>
      <c r="G9" s="1997">
        <v>45168</v>
      </c>
      <c r="H9" s="2001">
        <f t="shared" si="1"/>
        <v>45169</v>
      </c>
      <c r="I9" s="1998">
        <v>4.6952000000000001E-2</v>
      </c>
      <c r="K9" s="930"/>
    </row>
    <row r="10" spans="3:11">
      <c r="C10" s="1462">
        <v>45133</v>
      </c>
      <c r="D10" s="1467">
        <f t="shared" si="0"/>
        <v>45138</v>
      </c>
      <c r="E10" s="1463">
        <v>4.8781900000000003E-2</v>
      </c>
      <c r="F10" s="930"/>
      <c r="G10" s="1997">
        <v>45198</v>
      </c>
      <c r="H10" s="2001">
        <f t="shared" si="1"/>
        <v>45199</v>
      </c>
      <c r="I10" s="1998">
        <v>4.6390300000000002E-2</v>
      </c>
      <c r="K10" s="930"/>
    </row>
    <row r="11" spans="3:11">
      <c r="C11" s="1462">
        <v>45166</v>
      </c>
      <c r="D11" s="1467">
        <f t="shared" si="0"/>
        <v>45169</v>
      </c>
      <c r="E11" s="1463">
        <v>4.8353100000000003E-2</v>
      </c>
      <c r="F11" s="930"/>
      <c r="G11" s="1997">
        <v>45229</v>
      </c>
      <c r="H11" s="2001">
        <f t="shared" si="1"/>
        <v>45230</v>
      </c>
      <c r="I11" s="1998">
        <v>4.5801099999999997E-2</v>
      </c>
      <c r="K11" s="930"/>
    </row>
    <row r="12" spans="3:11">
      <c r="C12" s="1462">
        <v>45195</v>
      </c>
      <c r="D12" s="1467">
        <f t="shared" si="0"/>
        <v>45199</v>
      </c>
      <c r="E12" s="1463">
        <v>4.7136400000000002E-2</v>
      </c>
      <c r="F12" s="930"/>
      <c r="G12" s="1997">
        <v>45260</v>
      </c>
      <c r="H12" s="2001">
        <f t="shared" si="1"/>
        <v>45260</v>
      </c>
      <c r="I12" s="1998">
        <v>4.4987300000000001E-2</v>
      </c>
      <c r="K12" s="930"/>
    </row>
    <row r="13" spans="3:11">
      <c r="C13" s="1462">
        <v>45225</v>
      </c>
      <c r="D13" s="1467">
        <f t="shared" si="0"/>
        <v>45230</v>
      </c>
      <c r="E13" s="1463">
        <v>4.7142499999999997E-2</v>
      </c>
      <c r="F13" s="930"/>
      <c r="G13" s="1997">
        <v>45289</v>
      </c>
      <c r="H13" s="2001">
        <f t="shared" si="1"/>
        <v>45291</v>
      </c>
      <c r="I13" s="1998">
        <v>4.3923200000000003E-2</v>
      </c>
      <c r="K13" s="930"/>
    </row>
    <row r="14" spans="3:11">
      <c r="C14" s="1462">
        <v>45257</v>
      </c>
      <c r="D14" s="1467">
        <f t="shared" si="0"/>
        <v>45260</v>
      </c>
      <c r="E14" s="1463">
        <v>4.6318699999999997E-2</v>
      </c>
      <c r="F14" s="930"/>
      <c r="G14" s="1997">
        <v>45321</v>
      </c>
      <c r="H14" s="2001">
        <f t="shared" si="1"/>
        <v>45322</v>
      </c>
      <c r="I14" s="1998">
        <v>4.2729499999999997E-2</v>
      </c>
      <c r="K14" s="930"/>
    </row>
    <row r="15" spans="3:11">
      <c r="C15" s="1462">
        <v>45286</v>
      </c>
      <c r="D15" s="1467">
        <f t="shared" si="0"/>
        <v>45291</v>
      </c>
      <c r="E15" s="1463">
        <v>4.3635300000000002E-2</v>
      </c>
      <c r="F15" s="930"/>
      <c r="G15" s="1997">
        <v>45351</v>
      </c>
      <c r="H15" s="2001">
        <f t="shared" si="1"/>
        <v>45351</v>
      </c>
      <c r="I15" s="1998">
        <v>4.1480000000000003E-2</v>
      </c>
      <c r="K15" s="930"/>
    </row>
    <row r="16" spans="3:11">
      <c r="C16" s="1462">
        <v>45317</v>
      </c>
      <c r="D16" s="1467">
        <f t="shared" si="0"/>
        <v>45322</v>
      </c>
      <c r="E16" s="1463">
        <v>4.3635300000000002E-2</v>
      </c>
      <c r="F16" s="930"/>
      <c r="G16" s="1997">
        <v>45380</v>
      </c>
      <c r="H16" s="2001">
        <f t="shared" si="1"/>
        <v>45382</v>
      </c>
      <c r="I16" s="1998">
        <v>4.0226699999999997E-2</v>
      </c>
      <c r="K16" s="930"/>
    </row>
    <row r="17" spans="3:11">
      <c r="C17" s="1462">
        <v>45348</v>
      </c>
      <c r="D17" s="1467">
        <f t="shared" si="0"/>
        <v>45351</v>
      </c>
      <c r="E17" s="1463">
        <v>4.2527000000000002E-2</v>
      </c>
      <c r="F17" s="930"/>
      <c r="G17" s="1997">
        <v>45412</v>
      </c>
      <c r="H17" s="2001">
        <f t="shared" si="1"/>
        <v>45412</v>
      </c>
      <c r="I17" s="1998">
        <v>3.90169E-2</v>
      </c>
      <c r="K17" s="930"/>
    </row>
    <row r="18" spans="3:11">
      <c r="C18" s="1462">
        <v>45377</v>
      </c>
      <c r="D18" s="1467">
        <f t="shared" si="0"/>
        <v>45382</v>
      </c>
      <c r="E18" s="1463">
        <v>3.8303900000000002E-2</v>
      </c>
      <c r="F18" s="930"/>
      <c r="G18" s="1997">
        <v>45442</v>
      </c>
      <c r="H18" s="2001">
        <f t="shared" si="1"/>
        <v>45443</v>
      </c>
      <c r="I18" s="1998">
        <v>3.7875699999999998E-2</v>
      </c>
      <c r="K18" s="930"/>
    </row>
    <row r="19" spans="3:11">
      <c r="C19" s="1462">
        <v>45408</v>
      </c>
      <c r="D19" s="1467">
        <f t="shared" si="0"/>
        <v>45412</v>
      </c>
      <c r="E19" s="1463">
        <v>3.8305899999999997E-2</v>
      </c>
      <c r="F19" s="930"/>
      <c r="G19" s="1997">
        <v>45471</v>
      </c>
      <c r="H19" s="2001">
        <f t="shared" si="1"/>
        <v>45473</v>
      </c>
      <c r="I19" s="1998">
        <v>3.68169E-2</v>
      </c>
      <c r="K19" s="930"/>
    </row>
    <row r="20" spans="3:11">
      <c r="C20" s="1462">
        <v>45439</v>
      </c>
      <c r="D20" s="1467">
        <f t="shared" si="0"/>
        <v>45443</v>
      </c>
      <c r="E20" s="1463">
        <v>3.7545299999999997E-2</v>
      </c>
      <c r="F20" s="930"/>
      <c r="G20" s="1997">
        <v>45503</v>
      </c>
      <c r="H20" s="2001">
        <f t="shared" si="1"/>
        <v>45504</v>
      </c>
      <c r="I20" s="1998">
        <v>3.585E-2</v>
      </c>
      <c r="K20" s="930"/>
    </row>
    <row r="21" spans="3:11">
      <c r="C21" s="1462">
        <v>45469</v>
      </c>
      <c r="D21" s="1467">
        <f t="shared" si="0"/>
        <v>45473</v>
      </c>
      <c r="E21" s="1463">
        <v>3.4454499999999999E-2</v>
      </c>
      <c r="F21" s="930"/>
      <c r="G21" s="1997">
        <v>45534</v>
      </c>
      <c r="H21" s="2001">
        <f t="shared" si="1"/>
        <v>45535</v>
      </c>
      <c r="I21" s="1998">
        <v>3.4978799999999997E-2</v>
      </c>
      <c r="K21" s="930"/>
    </row>
    <row r="22" spans="3:11">
      <c r="C22" s="1462">
        <v>45499</v>
      </c>
      <c r="D22" s="1467">
        <f t="shared" si="0"/>
        <v>45504</v>
      </c>
      <c r="E22" s="1463">
        <v>3.2968200000000003E-2</v>
      </c>
      <c r="F22" s="930"/>
      <c r="G22" s="1997">
        <v>45565</v>
      </c>
      <c r="H22" s="2001">
        <f t="shared" si="1"/>
        <v>45565</v>
      </c>
      <c r="I22" s="1998">
        <v>3.4205199999999998E-2</v>
      </c>
      <c r="K22" s="930"/>
    </row>
    <row r="23" spans="3:11">
      <c r="C23" s="1462">
        <v>45530</v>
      </c>
      <c r="D23" s="1467">
        <f t="shared" si="0"/>
        <v>45535</v>
      </c>
      <c r="E23" s="1463">
        <v>3.1659199999999998E-2</v>
      </c>
      <c r="G23" s="1997">
        <v>45595</v>
      </c>
      <c r="H23" s="2001">
        <f t="shared" si="1"/>
        <v>45596</v>
      </c>
      <c r="I23" s="1998">
        <v>3.3528700000000002E-2</v>
      </c>
      <c r="K23" s="930"/>
    </row>
    <row r="24" spans="3:11">
      <c r="C24" s="1462">
        <v>45561</v>
      </c>
      <c r="D24" s="1467">
        <f t="shared" si="0"/>
        <v>45565</v>
      </c>
      <c r="E24" s="1463">
        <v>3.0541499999999999E-2</v>
      </c>
      <c r="G24" s="1997">
        <v>45625</v>
      </c>
      <c r="H24" s="2001">
        <f t="shared" si="1"/>
        <v>45626</v>
      </c>
      <c r="I24" s="1998">
        <v>3.2948400000000003E-2</v>
      </c>
      <c r="K24" s="930"/>
    </row>
    <row r="25" spans="3:11">
      <c r="C25" s="1462">
        <v>45593</v>
      </c>
      <c r="D25" s="1467">
        <f t="shared" si="0"/>
        <v>45596</v>
      </c>
      <c r="E25" s="1463">
        <v>2.96212E-2</v>
      </c>
      <c r="G25" s="1997">
        <v>45656</v>
      </c>
      <c r="H25" s="2001">
        <f t="shared" si="1"/>
        <v>45657</v>
      </c>
      <c r="I25" s="1998">
        <v>3.2462499999999998E-2</v>
      </c>
      <c r="K25" s="930"/>
    </row>
    <row r="26" spans="3:11">
      <c r="C26" s="1462">
        <v>45622</v>
      </c>
      <c r="D26" s="1467">
        <f t="shared" si="0"/>
        <v>45626</v>
      </c>
      <c r="E26" s="1463">
        <v>2.8992E-2</v>
      </c>
      <c r="G26" s="1997">
        <v>45687</v>
      </c>
      <c r="H26" s="2001">
        <f t="shared" si="1"/>
        <v>45688</v>
      </c>
      <c r="I26" s="1998">
        <v>3.2066200000000003E-2</v>
      </c>
      <c r="K26" s="930"/>
    </row>
    <row r="27" spans="3:11">
      <c r="C27" s="1462">
        <v>45652</v>
      </c>
      <c r="D27" s="1467">
        <f t="shared" si="0"/>
        <v>45657</v>
      </c>
      <c r="E27" s="1463">
        <v>2.8497999999999999E-2</v>
      </c>
      <c r="G27" s="1997">
        <v>45716</v>
      </c>
      <c r="H27" s="2001">
        <f t="shared" si="1"/>
        <v>45716</v>
      </c>
      <c r="I27" s="1998">
        <v>3.1751099999999997E-2</v>
      </c>
    </row>
    <row r="28" spans="3:11">
      <c r="C28" s="1462">
        <v>45684</v>
      </c>
      <c r="D28" s="1467">
        <f t="shared" si="0"/>
        <v>45688</v>
      </c>
      <c r="E28" s="1463">
        <v>2.8171100000000001E-2</v>
      </c>
      <c r="G28" s="1997">
        <v>45747</v>
      </c>
      <c r="H28" s="2001">
        <f t="shared" si="1"/>
        <v>45747</v>
      </c>
      <c r="I28" s="1998">
        <v>3.1503700000000003E-2</v>
      </c>
    </row>
    <row r="29" spans="3:11">
      <c r="C29" s="1462">
        <v>45714</v>
      </c>
      <c r="D29" s="1467">
        <f t="shared" si="0"/>
        <v>45716</v>
      </c>
      <c r="E29" s="1463">
        <v>2.79235E-2</v>
      </c>
      <c r="G29" s="1997">
        <v>45777</v>
      </c>
      <c r="H29" s="2001">
        <f t="shared" si="1"/>
        <v>45777</v>
      </c>
      <c r="I29" s="1998">
        <v>3.1299599999999997E-2</v>
      </c>
    </row>
    <row r="30" spans="3:11">
      <c r="C30" s="1462">
        <v>45742</v>
      </c>
      <c r="D30" s="1467">
        <f t="shared" si="0"/>
        <v>45747</v>
      </c>
      <c r="E30" s="1463">
        <v>2.76904E-2</v>
      </c>
      <c r="G30" s="1997">
        <v>45807</v>
      </c>
      <c r="H30" s="2001">
        <f t="shared" si="1"/>
        <v>45808</v>
      </c>
      <c r="I30" s="1998">
        <v>3.1125E-2</v>
      </c>
    </row>
    <row r="31" spans="3:11">
      <c r="C31" s="1462">
        <v>45775</v>
      </c>
      <c r="D31" s="1467">
        <f t="shared" si="0"/>
        <v>45777</v>
      </c>
      <c r="E31" s="1463">
        <v>2.74649E-2</v>
      </c>
      <c r="G31" s="1997">
        <v>45838</v>
      </c>
      <c r="H31" s="2001">
        <f t="shared" si="1"/>
        <v>45838</v>
      </c>
      <c r="I31" s="1998">
        <v>3.09719E-2</v>
      </c>
    </row>
    <row r="32" spans="3:11">
      <c r="C32" s="1462">
        <v>45803</v>
      </c>
      <c r="D32" s="1467">
        <f t="shared" si="0"/>
        <v>45808</v>
      </c>
      <c r="E32" s="1463">
        <v>2.7280599999999999E-2</v>
      </c>
      <c r="G32" s="1997">
        <v>45868</v>
      </c>
      <c r="H32" s="2001">
        <f t="shared" si="1"/>
        <v>45869</v>
      </c>
      <c r="I32" s="1998">
        <v>3.0835999999999999E-2</v>
      </c>
    </row>
    <row r="33" spans="3:9">
      <c r="C33" s="1462">
        <v>45834</v>
      </c>
      <c r="D33" s="1467">
        <f t="shared" si="0"/>
        <v>45838</v>
      </c>
      <c r="E33" s="1463">
        <v>2.7112899999999999E-2</v>
      </c>
      <c r="G33" s="1997">
        <v>45898</v>
      </c>
      <c r="H33" s="2001">
        <f t="shared" si="1"/>
        <v>45900</v>
      </c>
      <c r="I33" s="1998">
        <v>3.0714700000000001E-2</v>
      </c>
    </row>
    <row r="34" spans="3:9">
      <c r="C34" s="1462">
        <v>45866</v>
      </c>
      <c r="D34" s="1467">
        <f t="shared" si="0"/>
        <v>45869</v>
      </c>
      <c r="E34" s="1463">
        <v>2.6962E-2</v>
      </c>
      <c r="G34" s="1997">
        <v>45930</v>
      </c>
      <c r="H34" s="2001">
        <f t="shared" si="1"/>
        <v>45930</v>
      </c>
      <c r="I34" s="1998">
        <v>3.0606499999999998E-2</v>
      </c>
    </row>
    <row r="35" spans="3:9">
      <c r="C35" s="1462">
        <v>45895</v>
      </c>
      <c r="D35" s="1467">
        <f t="shared" si="0"/>
        <v>45900</v>
      </c>
      <c r="E35" s="1463">
        <v>2.6845999999999998E-2</v>
      </c>
      <c r="G35" s="1997">
        <v>45960</v>
      </c>
      <c r="H35" s="2001">
        <f t="shared" si="1"/>
        <v>45961</v>
      </c>
      <c r="I35" s="1998">
        <v>3.0510599999999999E-2</v>
      </c>
    </row>
    <row r="36" spans="3:9">
      <c r="C36" s="1462">
        <v>45926</v>
      </c>
      <c r="D36" s="1467">
        <f t="shared" si="0"/>
        <v>45930</v>
      </c>
      <c r="E36" s="1463">
        <v>2.6745399999999999E-2</v>
      </c>
      <c r="G36" s="1997">
        <v>45989</v>
      </c>
      <c r="H36" s="2001">
        <f t="shared" si="1"/>
        <v>45991</v>
      </c>
      <c r="I36" s="1998">
        <v>3.04262E-2</v>
      </c>
    </row>
    <row r="37" spans="3:9">
      <c r="C37" s="1462">
        <v>45957</v>
      </c>
      <c r="D37" s="1467">
        <f t="shared" si="0"/>
        <v>45961</v>
      </c>
      <c r="E37" s="1463">
        <v>2.6668799999999999E-2</v>
      </c>
      <c r="G37" s="1997">
        <v>46021</v>
      </c>
      <c r="H37" s="2001">
        <f t="shared" si="1"/>
        <v>46022</v>
      </c>
      <c r="I37" s="1998">
        <v>3.0352899999999999E-2</v>
      </c>
    </row>
    <row r="38" spans="3:9">
      <c r="C38" s="1462">
        <v>45987</v>
      </c>
      <c r="D38" s="1467">
        <f t="shared" si="0"/>
        <v>45991</v>
      </c>
      <c r="E38" s="1463">
        <v>2.66173E-2</v>
      </c>
      <c r="G38" s="1997">
        <v>46052</v>
      </c>
      <c r="H38" s="2001">
        <f t="shared" si="1"/>
        <v>46053</v>
      </c>
      <c r="I38" s="1998">
        <v>3.0290000000000001E-2</v>
      </c>
    </row>
    <row r="39" spans="3:9">
      <c r="C39" s="1462">
        <v>46017</v>
      </c>
      <c r="D39" s="1467">
        <f t="shared" si="0"/>
        <v>46022</v>
      </c>
      <c r="E39" s="1463">
        <v>2.6589100000000001E-2</v>
      </c>
      <c r="G39" s="1997">
        <v>46080</v>
      </c>
      <c r="H39" s="2001">
        <f t="shared" si="1"/>
        <v>46081</v>
      </c>
      <c r="I39" s="1998">
        <v>3.0236699999999998E-2</v>
      </c>
    </row>
    <row r="40" spans="3:9">
      <c r="C40" s="1462">
        <v>46048</v>
      </c>
      <c r="D40" s="1467">
        <f t="shared" si="0"/>
        <v>46053</v>
      </c>
      <c r="E40" s="1463">
        <v>2.65799E-2</v>
      </c>
      <c r="G40" s="1997">
        <v>46111</v>
      </c>
      <c r="H40" s="2001">
        <f t="shared" si="1"/>
        <v>46112</v>
      </c>
      <c r="I40" s="1998">
        <v>3.0191599999999999E-2</v>
      </c>
    </row>
    <row r="41" spans="3:9">
      <c r="C41" s="1462">
        <v>46079</v>
      </c>
      <c r="D41" s="1467">
        <f t="shared" si="0"/>
        <v>46081</v>
      </c>
      <c r="E41" s="1463">
        <v>2.6575100000000001E-2</v>
      </c>
      <c r="G41" s="1997">
        <v>46142</v>
      </c>
      <c r="H41" s="2001">
        <f t="shared" si="1"/>
        <v>46142</v>
      </c>
      <c r="I41" s="1998">
        <v>3.0152399999999999E-2</v>
      </c>
    </row>
    <row r="42" spans="3:9">
      <c r="C42" s="1462">
        <v>46107</v>
      </c>
      <c r="D42" s="1467">
        <f t="shared" si="0"/>
        <v>46112</v>
      </c>
      <c r="E42" s="1463">
        <v>2.6580800000000002E-2</v>
      </c>
      <c r="G42" s="1997">
        <v>46171</v>
      </c>
      <c r="H42" s="2001">
        <f t="shared" si="1"/>
        <v>46173</v>
      </c>
      <c r="I42" s="1998">
        <v>3.01179E-2</v>
      </c>
    </row>
    <row r="43" spans="3:9">
      <c r="C43" s="1462">
        <v>46139</v>
      </c>
      <c r="D43" s="1467">
        <f t="shared" si="0"/>
        <v>46142</v>
      </c>
      <c r="E43" s="1463">
        <v>2.6584699999999999E-2</v>
      </c>
      <c r="G43" s="1997">
        <v>46203</v>
      </c>
      <c r="H43" s="2001">
        <f t="shared" si="1"/>
        <v>46203</v>
      </c>
      <c r="I43" s="1998">
        <v>3.0087200000000001E-2</v>
      </c>
    </row>
    <row r="44" spans="3:9">
      <c r="C44" s="1462">
        <v>46168</v>
      </c>
      <c r="D44" s="1467">
        <f t="shared" si="0"/>
        <v>46173</v>
      </c>
      <c r="E44" s="1463">
        <v>2.6594900000000001E-2</v>
      </c>
      <c r="G44" s="1997">
        <v>46233</v>
      </c>
      <c r="H44" s="2001">
        <f t="shared" si="1"/>
        <v>46234</v>
      </c>
      <c r="I44" s="1998">
        <v>3.006E-2</v>
      </c>
    </row>
    <row r="45" spans="3:9">
      <c r="C45" s="1462">
        <v>46199</v>
      </c>
      <c r="D45" s="1467">
        <f t="shared" si="0"/>
        <v>46203</v>
      </c>
      <c r="E45" s="1463">
        <v>2.66086E-2</v>
      </c>
      <c r="G45" s="1997">
        <v>46265</v>
      </c>
      <c r="H45" s="2001">
        <f t="shared" si="1"/>
        <v>46265</v>
      </c>
      <c r="I45" s="1998">
        <v>3.0035900000000001E-2</v>
      </c>
    </row>
    <row r="46" spans="3:9">
      <c r="C46" s="1462">
        <v>46230</v>
      </c>
      <c r="D46" s="1467">
        <f t="shared" si="0"/>
        <v>46234</v>
      </c>
      <c r="E46" s="1463">
        <v>2.6626199999999999E-2</v>
      </c>
      <c r="G46" s="1997">
        <v>46295</v>
      </c>
      <c r="H46" s="2001">
        <f t="shared" si="1"/>
        <v>46295</v>
      </c>
      <c r="I46" s="1998">
        <v>3.0015E-2</v>
      </c>
    </row>
    <row r="47" spans="3:9">
      <c r="C47" s="1462">
        <v>46260</v>
      </c>
      <c r="D47" s="1467">
        <f t="shared" si="0"/>
        <v>46265</v>
      </c>
      <c r="E47" s="1463">
        <v>2.6649800000000001E-2</v>
      </c>
      <c r="G47" s="1997">
        <v>46325</v>
      </c>
      <c r="H47" s="2001">
        <f t="shared" si="1"/>
        <v>46326</v>
      </c>
      <c r="I47" s="1998">
        <v>2.9997099999999999E-2</v>
      </c>
    </row>
    <row r="48" spans="3:9">
      <c r="C48" s="1462">
        <v>46293</v>
      </c>
      <c r="D48" s="1467">
        <f t="shared" si="0"/>
        <v>46295</v>
      </c>
      <c r="E48" s="1463">
        <v>2.6672899999999999E-2</v>
      </c>
      <c r="G48" s="1997">
        <v>46356</v>
      </c>
      <c r="H48" s="2001">
        <f t="shared" si="1"/>
        <v>46356</v>
      </c>
      <c r="I48" s="1998">
        <v>2.9982100000000001E-2</v>
      </c>
    </row>
    <row r="49" spans="3:9">
      <c r="C49" s="1462">
        <v>46321</v>
      </c>
      <c r="D49" s="1467">
        <f t="shared" si="0"/>
        <v>46326</v>
      </c>
      <c r="E49" s="1463">
        <v>2.6702500000000001E-2</v>
      </c>
      <c r="G49" s="1997">
        <v>46386</v>
      </c>
      <c r="H49" s="2001">
        <f t="shared" si="1"/>
        <v>46387</v>
      </c>
      <c r="I49" s="1998">
        <v>2.997E-2</v>
      </c>
    </row>
    <row r="50" spans="3:9">
      <c r="C50" s="1462">
        <v>46352</v>
      </c>
      <c r="D50" s="1467">
        <f t="shared" si="0"/>
        <v>46356</v>
      </c>
      <c r="E50" s="1463">
        <v>2.6735600000000002E-2</v>
      </c>
      <c r="G50" s="1997">
        <v>46416</v>
      </c>
      <c r="H50" s="2001">
        <f t="shared" si="1"/>
        <v>46418</v>
      </c>
      <c r="I50" s="1998">
        <v>2.99607E-2</v>
      </c>
    </row>
    <row r="51" spans="3:9">
      <c r="C51" s="1462">
        <v>46384</v>
      </c>
      <c r="D51" s="1467">
        <f t="shared" si="0"/>
        <v>46387</v>
      </c>
      <c r="E51" s="1463">
        <v>2.6773000000000002E-2</v>
      </c>
      <c r="G51" s="1997">
        <v>46444</v>
      </c>
      <c r="H51" s="2001">
        <f t="shared" si="1"/>
        <v>46446</v>
      </c>
      <c r="I51" s="1998">
        <v>2.99543E-2</v>
      </c>
    </row>
    <row r="52" spans="3:9">
      <c r="C52" s="1462">
        <v>46413</v>
      </c>
      <c r="D52" s="1467">
        <f t="shared" si="0"/>
        <v>46418</v>
      </c>
      <c r="E52" s="1463">
        <v>2.6811000000000001E-2</v>
      </c>
      <c r="G52" s="1997">
        <v>46476</v>
      </c>
      <c r="H52" s="2001">
        <f t="shared" si="1"/>
        <v>46477</v>
      </c>
      <c r="I52" s="1998">
        <v>2.99507E-2</v>
      </c>
    </row>
    <row r="53" spans="3:9">
      <c r="C53" s="1462">
        <v>46444</v>
      </c>
      <c r="D53" s="1467">
        <f t="shared" si="0"/>
        <v>46446</v>
      </c>
      <c r="E53" s="1463">
        <v>2.68521E-2</v>
      </c>
      <c r="G53" s="1997">
        <v>46507</v>
      </c>
      <c r="H53" s="2001">
        <f t="shared" si="1"/>
        <v>46507</v>
      </c>
      <c r="I53" s="1998">
        <v>2.9950000000000001E-2</v>
      </c>
    </row>
    <row r="54" spans="3:9">
      <c r="C54" s="1462">
        <v>46472</v>
      </c>
      <c r="D54" s="1467">
        <f t="shared" si="0"/>
        <v>46477</v>
      </c>
      <c r="E54" s="1463">
        <v>2.6892800000000001E-2</v>
      </c>
      <c r="G54" s="1997">
        <v>46538</v>
      </c>
      <c r="H54" s="2001">
        <f t="shared" si="1"/>
        <v>46538</v>
      </c>
      <c r="I54" s="1998">
        <v>2.9951999999999999E-2</v>
      </c>
    </row>
    <row r="55" spans="3:9">
      <c r="C55" s="1462">
        <v>46503</v>
      </c>
      <c r="D55" s="1467">
        <f t="shared" si="0"/>
        <v>46507</v>
      </c>
      <c r="E55" s="1463">
        <v>2.6927800000000002E-2</v>
      </c>
      <c r="G55" s="1997">
        <v>46568</v>
      </c>
      <c r="H55" s="2001">
        <f t="shared" si="1"/>
        <v>46568</v>
      </c>
      <c r="I55" s="1998">
        <v>2.9957000000000001E-2</v>
      </c>
    </row>
    <row r="56" spans="3:9">
      <c r="C56" s="1462">
        <v>46533</v>
      </c>
      <c r="D56" s="1467">
        <f t="shared" si="0"/>
        <v>46538</v>
      </c>
      <c r="E56" s="1463">
        <v>2.6971800000000001E-2</v>
      </c>
      <c r="G56" s="1997">
        <v>46598</v>
      </c>
      <c r="H56" s="2001">
        <f t="shared" si="1"/>
        <v>46599</v>
      </c>
      <c r="I56" s="1998">
        <v>2.99648E-2</v>
      </c>
    </row>
    <row r="57" spans="3:9">
      <c r="C57" s="1462">
        <v>46566</v>
      </c>
      <c r="D57" s="1467">
        <f t="shared" si="0"/>
        <v>46568</v>
      </c>
      <c r="E57" s="1463">
        <v>2.7009600000000002E-2</v>
      </c>
      <c r="G57" s="1997">
        <v>46629</v>
      </c>
      <c r="H57" s="2001">
        <f t="shared" si="1"/>
        <v>46630</v>
      </c>
      <c r="I57" s="1998">
        <v>2.9973900000000001E-2</v>
      </c>
    </row>
    <row r="58" spans="3:9">
      <c r="C58" s="1462">
        <v>46594</v>
      </c>
      <c r="D58" s="1467">
        <f t="shared" si="0"/>
        <v>46599</v>
      </c>
      <c r="E58" s="1463">
        <v>2.70472E-2</v>
      </c>
      <c r="G58" s="1997">
        <v>46660</v>
      </c>
      <c r="H58" s="2001">
        <f t="shared" si="1"/>
        <v>46660</v>
      </c>
      <c r="I58" s="1998">
        <v>2.9988799999999999E-2</v>
      </c>
    </row>
    <row r="59" spans="3:9">
      <c r="C59" s="1462">
        <v>46625</v>
      </c>
      <c r="D59" s="1467">
        <f t="shared" si="0"/>
        <v>46630</v>
      </c>
      <c r="E59" s="1463">
        <v>2.7088600000000001E-2</v>
      </c>
      <c r="G59" s="1997">
        <v>46689</v>
      </c>
      <c r="H59" s="2001">
        <f t="shared" si="1"/>
        <v>46691</v>
      </c>
      <c r="I59" s="1998">
        <v>3.0004900000000001E-2</v>
      </c>
    </row>
    <row r="60" spans="3:9">
      <c r="C60" s="1462">
        <v>46657</v>
      </c>
      <c r="D60" s="1467">
        <f t="shared" si="0"/>
        <v>46660</v>
      </c>
      <c r="E60" s="1463">
        <v>2.7126000000000001E-2</v>
      </c>
      <c r="G60" s="1997">
        <v>46721</v>
      </c>
      <c r="H60" s="2001">
        <f t="shared" si="1"/>
        <v>46721</v>
      </c>
      <c r="I60" s="1998">
        <v>3.00238E-2</v>
      </c>
    </row>
    <row r="61" spans="3:9">
      <c r="C61" s="1462">
        <v>46686</v>
      </c>
      <c r="D61" s="1467">
        <f t="shared" si="0"/>
        <v>46691</v>
      </c>
      <c r="E61" s="1463">
        <v>2.7164299999999999E-2</v>
      </c>
      <c r="G61" s="1997">
        <v>46751</v>
      </c>
      <c r="H61" s="2001">
        <f t="shared" si="1"/>
        <v>46752</v>
      </c>
      <c r="I61" s="1998">
        <v>3.00453E-2</v>
      </c>
    </row>
    <row r="62" spans="3:9">
      <c r="C62" s="1462">
        <v>46717</v>
      </c>
      <c r="D62" s="1467">
        <f t="shared" si="0"/>
        <v>46721</v>
      </c>
      <c r="E62" s="1463">
        <v>2.72033E-2</v>
      </c>
      <c r="G62" s="1997">
        <v>46783</v>
      </c>
      <c r="H62" s="2001">
        <f t="shared" si="1"/>
        <v>46783</v>
      </c>
      <c r="I62" s="1998">
        <v>3.00694E-2</v>
      </c>
    </row>
    <row r="63" spans="3:9">
      <c r="C63" s="1462">
        <v>46748</v>
      </c>
      <c r="D63" s="1467">
        <f t="shared" si="0"/>
        <v>46752</v>
      </c>
      <c r="E63" s="1463">
        <v>2.7242100000000002E-2</v>
      </c>
      <c r="G63" s="1997">
        <v>46812</v>
      </c>
      <c r="H63" s="2001">
        <f t="shared" si="1"/>
        <v>46812</v>
      </c>
      <c r="I63" s="1998">
        <v>3.0095799999999999E-2</v>
      </c>
    </row>
    <row r="64" spans="3:9">
      <c r="C64" s="1462">
        <v>46778</v>
      </c>
      <c r="D64" s="1467">
        <f t="shared" si="0"/>
        <v>46783</v>
      </c>
      <c r="E64" s="1463">
        <v>2.7282799999999999E-2</v>
      </c>
      <c r="G64" s="1997">
        <v>46842</v>
      </c>
      <c r="H64" s="2001">
        <f t="shared" si="1"/>
        <v>46843</v>
      </c>
      <c r="I64" s="1998">
        <v>3.01242E-2</v>
      </c>
    </row>
    <row r="65" spans="3:9">
      <c r="C65" s="1462">
        <v>46811</v>
      </c>
      <c r="D65" s="1467">
        <f t="shared" si="0"/>
        <v>46812</v>
      </c>
      <c r="E65" s="1463">
        <v>2.7317899999999999E-2</v>
      </c>
      <c r="G65" s="1997">
        <v>46871</v>
      </c>
      <c r="H65" s="2001">
        <f t="shared" si="1"/>
        <v>46873</v>
      </c>
      <c r="I65" s="1998">
        <v>3.0153900000000001E-2</v>
      </c>
    </row>
    <row r="66" spans="3:9">
      <c r="C66" s="1462">
        <v>46839</v>
      </c>
      <c r="D66" s="1467">
        <f t="shared" si="0"/>
        <v>46843</v>
      </c>
      <c r="E66" s="1463">
        <v>2.7357300000000001E-2</v>
      </c>
      <c r="G66" s="1997">
        <v>46903</v>
      </c>
      <c r="H66" s="2001">
        <f t="shared" si="1"/>
        <v>46904</v>
      </c>
      <c r="I66" s="1998">
        <v>3.0184699999999998E-2</v>
      </c>
    </row>
    <row r="67" spans="3:9">
      <c r="C67" s="1462">
        <v>46869</v>
      </c>
      <c r="D67" s="1467">
        <f t="shared" si="0"/>
        <v>46873</v>
      </c>
      <c r="E67" s="1463">
        <v>2.7394700000000001E-2</v>
      </c>
      <c r="G67" s="1997">
        <v>46934</v>
      </c>
      <c r="H67" s="2001">
        <f t="shared" si="1"/>
        <v>46934</v>
      </c>
      <c r="I67" s="1998">
        <v>3.0216300000000001E-2</v>
      </c>
    </row>
    <row r="68" spans="3:9">
      <c r="C68" s="1462">
        <v>46899</v>
      </c>
      <c r="D68" s="1467">
        <f t="shared" si="0"/>
        <v>46904</v>
      </c>
      <c r="E68" s="1463">
        <v>2.7436200000000001E-2</v>
      </c>
      <c r="G68" s="1997">
        <v>46965</v>
      </c>
      <c r="H68" s="2001">
        <f t="shared" si="1"/>
        <v>46965</v>
      </c>
      <c r="I68" s="1998">
        <v>3.02487E-2</v>
      </c>
    </row>
    <row r="69" spans="3:9">
      <c r="C69" s="1462">
        <v>46930</v>
      </c>
      <c r="D69" s="1467">
        <f t="shared" ref="D69:D124" si="2">EOMONTH(C69,0)</f>
        <v>46934</v>
      </c>
      <c r="E69" s="1463">
        <v>2.7476199999999999E-2</v>
      </c>
      <c r="G69" s="1997">
        <v>46995</v>
      </c>
      <c r="H69" s="2001">
        <f t="shared" ref="H69:H124" si="3">EOMONTH(G69,0)</f>
        <v>46996</v>
      </c>
      <c r="I69" s="1998">
        <v>3.0281800000000001E-2</v>
      </c>
    </row>
    <row r="70" spans="3:9">
      <c r="C70" s="1462">
        <v>46960</v>
      </c>
      <c r="D70" s="1467">
        <f t="shared" si="2"/>
        <v>46965</v>
      </c>
      <c r="E70" s="1463">
        <v>2.7522499999999998E-2</v>
      </c>
      <c r="G70" s="1997">
        <v>47025</v>
      </c>
      <c r="H70" s="2001">
        <f t="shared" si="3"/>
        <v>47026</v>
      </c>
      <c r="I70" s="1998">
        <v>3.0315399999999999E-2</v>
      </c>
    </row>
    <row r="71" spans="3:9">
      <c r="C71" s="1462">
        <v>46993</v>
      </c>
      <c r="D71" s="1467">
        <f t="shared" si="2"/>
        <v>46996</v>
      </c>
      <c r="E71" s="1463">
        <v>2.75648E-2</v>
      </c>
      <c r="G71" s="1997">
        <v>47056</v>
      </c>
      <c r="H71" s="2001">
        <f t="shared" si="3"/>
        <v>47057</v>
      </c>
      <c r="I71" s="1998">
        <v>3.03498E-2</v>
      </c>
    </row>
    <row r="72" spans="3:9">
      <c r="C72" s="1462">
        <v>47022</v>
      </c>
      <c r="D72" s="1467">
        <f t="shared" si="2"/>
        <v>47026</v>
      </c>
      <c r="E72" s="1463">
        <v>2.7604E-2</v>
      </c>
      <c r="G72" s="1997">
        <v>47087</v>
      </c>
      <c r="H72" s="2001">
        <f t="shared" si="3"/>
        <v>47087</v>
      </c>
      <c r="I72" s="1998">
        <v>3.0384700000000001E-2</v>
      </c>
    </row>
    <row r="73" spans="3:9">
      <c r="C73" s="1462">
        <v>47052</v>
      </c>
      <c r="D73" s="1467">
        <f t="shared" si="2"/>
        <v>47057</v>
      </c>
      <c r="E73" s="1463">
        <v>2.7650399999999999E-2</v>
      </c>
      <c r="G73" s="1997">
        <v>47116</v>
      </c>
      <c r="H73" s="2001">
        <f t="shared" si="3"/>
        <v>47118</v>
      </c>
      <c r="I73" s="1998">
        <v>3.0420200000000001E-2</v>
      </c>
    </row>
    <row r="74" spans="3:9">
      <c r="C74" s="1462">
        <v>47084</v>
      </c>
      <c r="D74" s="1467">
        <f t="shared" si="2"/>
        <v>47087</v>
      </c>
      <c r="E74" s="1463">
        <v>2.7693300000000001E-2</v>
      </c>
      <c r="G74" s="1997">
        <v>47148</v>
      </c>
      <c r="H74" s="2001">
        <f t="shared" si="3"/>
        <v>47149</v>
      </c>
      <c r="I74" s="1998">
        <v>3.0456299999999999E-2</v>
      </c>
    </row>
    <row r="75" spans="3:9">
      <c r="C75" s="1462">
        <v>47113</v>
      </c>
      <c r="D75" s="1467">
        <f t="shared" si="2"/>
        <v>47118</v>
      </c>
      <c r="E75" s="1463">
        <v>2.77378E-2</v>
      </c>
      <c r="G75" s="1997">
        <v>47177</v>
      </c>
      <c r="H75" s="2001">
        <f t="shared" si="3"/>
        <v>47177</v>
      </c>
      <c r="I75" s="1998">
        <v>3.0492999999999999E-2</v>
      </c>
    </row>
    <row r="76" spans="3:9">
      <c r="C76" s="1462">
        <v>47144</v>
      </c>
      <c r="D76" s="1467">
        <f t="shared" si="2"/>
        <v>47149</v>
      </c>
      <c r="E76" s="1463">
        <v>2.7784E-2</v>
      </c>
      <c r="G76" s="1997">
        <v>47207</v>
      </c>
      <c r="H76" s="2001">
        <f t="shared" si="3"/>
        <v>47208</v>
      </c>
      <c r="I76" s="1998">
        <v>3.05302E-2</v>
      </c>
    </row>
    <row r="77" spans="3:9">
      <c r="C77" s="1462">
        <v>47175</v>
      </c>
      <c r="D77" s="1467">
        <f t="shared" si="2"/>
        <v>47177</v>
      </c>
      <c r="E77" s="1463">
        <v>2.78254E-2</v>
      </c>
      <c r="G77" s="1997">
        <v>47238</v>
      </c>
      <c r="H77" s="2001">
        <f t="shared" si="3"/>
        <v>47238</v>
      </c>
      <c r="I77" s="1998">
        <v>3.0568100000000001E-2</v>
      </c>
    </row>
    <row r="78" spans="3:9">
      <c r="C78" s="1462">
        <v>47203</v>
      </c>
      <c r="D78" s="1467">
        <f t="shared" si="2"/>
        <v>47208</v>
      </c>
      <c r="E78" s="1463">
        <v>2.78739E-2</v>
      </c>
      <c r="G78" s="1997">
        <v>47268</v>
      </c>
      <c r="H78" s="2001">
        <f t="shared" si="3"/>
        <v>47269</v>
      </c>
      <c r="I78" s="1998">
        <v>3.0606499999999998E-2</v>
      </c>
    </row>
    <row r="79" spans="3:9">
      <c r="C79" s="1462">
        <v>47234</v>
      </c>
      <c r="D79" s="1467">
        <f t="shared" si="2"/>
        <v>47238</v>
      </c>
      <c r="E79" s="1463">
        <v>2.7925800000000001E-2</v>
      </c>
      <c r="G79" s="1997">
        <v>47298</v>
      </c>
      <c r="H79" s="2001">
        <f t="shared" si="3"/>
        <v>47299</v>
      </c>
      <c r="I79" s="1998">
        <v>3.0645599999999999E-2</v>
      </c>
    </row>
    <row r="80" spans="3:9">
      <c r="C80" s="1462">
        <v>47266</v>
      </c>
      <c r="D80" s="1467">
        <f t="shared" si="2"/>
        <v>47269</v>
      </c>
      <c r="E80" s="1463">
        <v>2.7974099999999998E-2</v>
      </c>
      <c r="G80" s="1997">
        <v>47329</v>
      </c>
      <c r="H80" s="2001">
        <f t="shared" si="3"/>
        <v>47330</v>
      </c>
      <c r="I80" s="1998">
        <v>3.06851E-2</v>
      </c>
    </row>
    <row r="81" spans="3:9">
      <c r="C81" s="1462">
        <v>47295</v>
      </c>
      <c r="D81" s="1467">
        <f t="shared" si="2"/>
        <v>47299</v>
      </c>
      <c r="E81" s="1463">
        <v>2.8016900000000001E-2</v>
      </c>
      <c r="G81" s="1997">
        <v>47360</v>
      </c>
      <c r="H81" s="2001">
        <f t="shared" si="3"/>
        <v>47361</v>
      </c>
      <c r="I81" s="1998">
        <v>3.0725300000000001E-2</v>
      </c>
    </row>
    <row r="82" spans="3:9">
      <c r="C82" s="1462">
        <v>47325</v>
      </c>
      <c r="D82" s="1467">
        <f t="shared" si="2"/>
        <v>47330</v>
      </c>
      <c r="E82" s="1463">
        <v>2.8069199999999999E-2</v>
      </c>
      <c r="G82" s="1997">
        <v>47389</v>
      </c>
      <c r="H82" s="2001">
        <f t="shared" si="3"/>
        <v>47391</v>
      </c>
      <c r="I82" s="1998">
        <v>3.0766100000000001E-2</v>
      </c>
    </row>
    <row r="83" spans="3:9">
      <c r="C83" s="1462">
        <v>47357</v>
      </c>
      <c r="D83" s="1467">
        <f t="shared" si="2"/>
        <v>47361</v>
      </c>
      <c r="E83" s="1463">
        <v>2.8119700000000001E-2</v>
      </c>
      <c r="G83" s="1997">
        <v>47421</v>
      </c>
      <c r="H83" s="2001">
        <f t="shared" si="3"/>
        <v>47422</v>
      </c>
      <c r="I83" s="1998">
        <v>3.0807399999999999E-2</v>
      </c>
    </row>
    <row r="84" spans="3:9">
      <c r="C84" s="1462">
        <v>47387</v>
      </c>
      <c r="D84" s="1467">
        <f t="shared" si="2"/>
        <v>47391</v>
      </c>
      <c r="E84" s="1463">
        <v>2.8167500000000002E-2</v>
      </c>
      <c r="G84" s="1997">
        <v>47452</v>
      </c>
      <c r="H84" s="2001">
        <f t="shared" si="3"/>
        <v>47452</v>
      </c>
      <c r="I84" s="1998">
        <v>3.08493E-2</v>
      </c>
    </row>
    <row r="85" spans="3:9">
      <c r="C85" s="1462">
        <v>47417</v>
      </c>
      <c r="D85" s="1467">
        <f t="shared" si="2"/>
        <v>47422</v>
      </c>
      <c r="E85" s="1463">
        <v>2.82198E-2</v>
      </c>
      <c r="G85" s="1997">
        <v>47483</v>
      </c>
      <c r="H85" s="2001">
        <f t="shared" si="3"/>
        <v>47483</v>
      </c>
      <c r="I85" s="1998">
        <v>3.0891800000000001E-2</v>
      </c>
    </row>
    <row r="86" spans="3:9">
      <c r="C86" s="1462">
        <v>47448</v>
      </c>
      <c r="D86" s="1467">
        <f t="shared" si="2"/>
        <v>47452</v>
      </c>
      <c r="E86" s="1463">
        <v>2.82705E-2</v>
      </c>
      <c r="G86" s="1997">
        <v>47513</v>
      </c>
      <c r="H86" s="2001">
        <f t="shared" si="3"/>
        <v>47514</v>
      </c>
      <c r="I86" s="1998">
        <v>3.0934799999999998E-2</v>
      </c>
    </row>
    <row r="87" spans="3:9">
      <c r="C87" s="1462">
        <v>47478</v>
      </c>
      <c r="D87" s="1467">
        <f t="shared" si="2"/>
        <v>47483</v>
      </c>
      <c r="E87" s="1463">
        <v>2.8327999999999999E-2</v>
      </c>
      <c r="G87" s="1997">
        <v>47542</v>
      </c>
      <c r="H87" s="2001">
        <f t="shared" si="3"/>
        <v>47542</v>
      </c>
      <c r="I87" s="1998">
        <v>3.09783E-2</v>
      </c>
    </row>
    <row r="88" spans="3:9">
      <c r="C88" s="1462">
        <v>47511</v>
      </c>
      <c r="D88" s="1467">
        <f t="shared" si="2"/>
        <v>47514</v>
      </c>
      <c r="E88" s="1463">
        <v>2.83815E-2</v>
      </c>
      <c r="G88" s="1997">
        <v>47571</v>
      </c>
      <c r="H88" s="2001">
        <f t="shared" si="3"/>
        <v>47573</v>
      </c>
      <c r="I88" s="1998">
        <v>3.1022299999999999E-2</v>
      </c>
    </row>
    <row r="89" spans="3:9">
      <c r="C89" s="1462">
        <v>47540</v>
      </c>
      <c r="D89" s="1467">
        <f t="shared" si="2"/>
        <v>47542</v>
      </c>
      <c r="E89" s="1463">
        <v>2.8426300000000002E-2</v>
      </c>
      <c r="G89" s="1997">
        <v>47603</v>
      </c>
      <c r="H89" s="2001">
        <f t="shared" si="3"/>
        <v>47603</v>
      </c>
      <c r="I89" s="1998">
        <v>3.1066799999999999E-2</v>
      </c>
    </row>
    <row r="90" spans="3:9">
      <c r="C90" s="1462">
        <v>47568</v>
      </c>
      <c r="D90" s="1467">
        <f t="shared" si="2"/>
        <v>47573</v>
      </c>
      <c r="E90" s="1463">
        <v>2.8481599999999999E-2</v>
      </c>
      <c r="G90" s="1997">
        <v>47633</v>
      </c>
      <c r="H90" s="2001">
        <f t="shared" si="3"/>
        <v>47634</v>
      </c>
      <c r="I90" s="1998">
        <v>3.1111699999999999E-2</v>
      </c>
    </row>
    <row r="91" spans="3:9">
      <c r="C91" s="1462">
        <v>47599</v>
      </c>
      <c r="D91" s="1467">
        <f t="shared" si="2"/>
        <v>47603</v>
      </c>
      <c r="E91" s="1463">
        <v>2.8538500000000001E-2</v>
      </c>
      <c r="G91" s="1997">
        <v>47662</v>
      </c>
      <c r="H91" s="2001">
        <f t="shared" si="3"/>
        <v>47664</v>
      </c>
      <c r="I91" s="1998">
        <v>3.1157000000000001E-2</v>
      </c>
    </row>
    <row r="92" spans="3:9">
      <c r="C92" s="1462">
        <v>47630</v>
      </c>
      <c r="D92" s="1467">
        <f t="shared" si="2"/>
        <v>47634</v>
      </c>
      <c r="E92" s="1463">
        <v>2.8593500000000001E-2</v>
      </c>
      <c r="G92" s="1997">
        <v>47694</v>
      </c>
      <c r="H92" s="2001">
        <f t="shared" si="3"/>
        <v>47695</v>
      </c>
      <c r="I92" s="1998">
        <v>3.12027E-2</v>
      </c>
    </row>
    <row r="93" spans="3:9">
      <c r="C93" s="1462">
        <v>47660</v>
      </c>
      <c r="D93" s="1467">
        <f t="shared" si="2"/>
        <v>47664</v>
      </c>
      <c r="E93" s="1463">
        <v>2.86433E-2</v>
      </c>
      <c r="G93" s="1997">
        <v>47725</v>
      </c>
      <c r="H93" s="2001">
        <f t="shared" si="3"/>
        <v>47726</v>
      </c>
      <c r="I93" s="1998">
        <v>3.12488E-2</v>
      </c>
    </row>
    <row r="94" spans="3:9">
      <c r="C94" s="1462">
        <v>47690</v>
      </c>
      <c r="D94" s="1467">
        <f t="shared" si="2"/>
        <v>47695</v>
      </c>
      <c r="E94" s="1463">
        <v>2.86994E-2</v>
      </c>
      <c r="G94" s="1997">
        <v>47756</v>
      </c>
      <c r="H94" s="2001">
        <f t="shared" si="3"/>
        <v>47756</v>
      </c>
      <c r="I94" s="1998">
        <v>3.1295299999999998E-2</v>
      </c>
    </row>
    <row r="95" spans="3:9">
      <c r="C95" s="1462">
        <v>47721</v>
      </c>
      <c r="D95" s="1467">
        <f t="shared" si="2"/>
        <v>47726</v>
      </c>
      <c r="E95" s="1463">
        <v>2.87554E-2</v>
      </c>
      <c r="G95" s="1997">
        <v>47786</v>
      </c>
      <c r="H95" s="2001">
        <f t="shared" si="3"/>
        <v>47787</v>
      </c>
      <c r="I95" s="1998">
        <v>3.1342200000000001E-2</v>
      </c>
    </row>
    <row r="96" spans="3:9">
      <c r="C96" s="1462">
        <v>47752</v>
      </c>
      <c r="D96" s="1467">
        <f t="shared" si="2"/>
        <v>47756</v>
      </c>
      <c r="E96" s="1463">
        <v>2.88139E-2</v>
      </c>
      <c r="G96" s="1997">
        <v>47816</v>
      </c>
      <c r="H96" s="2001">
        <f t="shared" si="3"/>
        <v>47817</v>
      </c>
      <c r="I96" s="1998">
        <v>3.1389399999999998E-2</v>
      </c>
    </row>
    <row r="97" spans="3:9">
      <c r="C97" s="1462">
        <v>47784</v>
      </c>
      <c r="D97" s="1467">
        <f t="shared" si="2"/>
        <v>47787</v>
      </c>
      <c r="E97" s="1463">
        <v>2.8872399999999999E-2</v>
      </c>
      <c r="G97" s="1997">
        <v>47847</v>
      </c>
      <c r="H97" s="2001">
        <f t="shared" si="3"/>
        <v>47848</v>
      </c>
      <c r="I97" s="1998">
        <v>3.1437100000000003E-2</v>
      </c>
    </row>
    <row r="98" spans="3:9">
      <c r="C98" s="1462">
        <v>47813</v>
      </c>
      <c r="D98" s="1467">
        <f t="shared" si="2"/>
        <v>47817</v>
      </c>
      <c r="E98" s="1463">
        <v>2.8921599999999999E-2</v>
      </c>
      <c r="G98" s="1997">
        <v>47878</v>
      </c>
      <c r="H98" s="2001">
        <f t="shared" si="3"/>
        <v>47879</v>
      </c>
      <c r="I98" s="1998">
        <v>3.1485100000000002E-2</v>
      </c>
    </row>
    <row r="99" spans="3:9">
      <c r="C99" s="1462">
        <v>47843</v>
      </c>
      <c r="D99" s="1467">
        <f t="shared" si="2"/>
        <v>47848</v>
      </c>
      <c r="E99" s="1463">
        <v>2.8981199999999999E-2</v>
      </c>
      <c r="G99" s="1997">
        <v>47907</v>
      </c>
      <c r="H99" s="2001">
        <f t="shared" si="3"/>
        <v>47907</v>
      </c>
      <c r="I99" s="1998">
        <v>3.1533499999999999E-2</v>
      </c>
    </row>
    <row r="100" spans="3:9">
      <c r="C100" s="1462">
        <v>47875</v>
      </c>
      <c r="D100" s="1467">
        <f t="shared" si="2"/>
        <v>47879</v>
      </c>
      <c r="E100" s="1463">
        <v>2.9038499999999998E-2</v>
      </c>
      <c r="G100" s="1997">
        <v>47938</v>
      </c>
      <c r="H100" s="2001">
        <f t="shared" si="3"/>
        <v>47938</v>
      </c>
      <c r="I100" s="1998">
        <v>3.1582199999999998E-2</v>
      </c>
    </row>
    <row r="101" spans="3:9">
      <c r="C101" s="1462">
        <v>47905</v>
      </c>
      <c r="D101" s="1467">
        <f t="shared" si="2"/>
        <v>47907</v>
      </c>
      <c r="E101" s="1463">
        <v>2.9088200000000002E-2</v>
      </c>
      <c r="G101" s="1997">
        <v>47968</v>
      </c>
      <c r="H101" s="2001">
        <f t="shared" si="3"/>
        <v>47968</v>
      </c>
      <c r="I101" s="1998">
        <v>3.1631399999999997E-2</v>
      </c>
    </row>
    <row r="102" spans="3:9">
      <c r="C102" s="1462">
        <v>47933</v>
      </c>
      <c r="D102" s="1467">
        <f t="shared" si="2"/>
        <v>47938</v>
      </c>
      <c r="E102" s="1463">
        <v>2.9151300000000002E-2</v>
      </c>
      <c r="G102" s="1997">
        <v>47998</v>
      </c>
      <c r="H102" s="2001">
        <f t="shared" si="3"/>
        <v>47999</v>
      </c>
      <c r="I102" s="1998">
        <v>3.1680899999999998E-2</v>
      </c>
    </row>
    <row r="103" spans="3:9">
      <c r="C103" s="1462">
        <v>47966</v>
      </c>
      <c r="D103" s="1467">
        <f t="shared" si="2"/>
        <v>47968</v>
      </c>
      <c r="E103" s="1463">
        <v>2.9207199999999999E-2</v>
      </c>
      <c r="G103" s="1997">
        <v>48029</v>
      </c>
      <c r="H103" s="2001">
        <f t="shared" si="3"/>
        <v>48029</v>
      </c>
      <c r="I103" s="1998">
        <v>3.1730700000000001E-2</v>
      </c>
    </row>
    <row r="104" spans="3:9">
      <c r="C104" s="1462">
        <v>47994</v>
      </c>
      <c r="D104" s="1467">
        <f t="shared" si="2"/>
        <v>47999</v>
      </c>
      <c r="E104" s="1463">
        <v>2.92643E-2</v>
      </c>
      <c r="G104" s="1997">
        <v>48059</v>
      </c>
      <c r="H104" s="2001">
        <f t="shared" si="3"/>
        <v>48060</v>
      </c>
      <c r="I104" s="1998">
        <v>3.1780999999999997E-2</v>
      </c>
    </row>
    <row r="105" spans="3:9">
      <c r="C105" s="1462">
        <v>48025</v>
      </c>
      <c r="D105" s="1467">
        <f t="shared" si="2"/>
        <v>48029</v>
      </c>
      <c r="E105" s="1463">
        <v>2.9323599999999998E-2</v>
      </c>
      <c r="G105" s="1997">
        <v>48089</v>
      </c>
      <c r="H105" s="2001">
        <f t="shared" si="3"/>
        <v>48091</v>
      </c>
      <c r="I105" s="1998">
        <v>3.1831600000000002E-2</v>
      </c>
    </row>
    <row r="106" spans="3:9">
      <c r="C106" s="1462">
        <v>48057</v>
      </c>
      <c r="D106" s="1467">
        <f t="shared" si="2"/>
        <v>48060</v>
      </c>
      <c r="E106" s="1463">
        <v>2.9382700000000001E-2</v>
      </c>
      <c r="G106" s="1997">
        <v>48121</v>
      </c>
      <c r="H106" s="2001">
        <f t="shared" si="3"/>
        <v>48121</v>
      </c>
      <c r="I106" s="1998">
        <v>3.1882599999999997E-2</v>
      </c>
    </row>
    <row r="107" spans="3:9">
      <c r="C107" s="1462">
        <v>48086</v>
      </c>
      <c r="D107" s="1467">
        <f t="shared" si="2"/>
        <v>48091</v>
      </c>
      <c r="E107" s="1463">
        <v>2.9438499999999999E-2</v>
      </c>
      <c r="G107" s="1997">
        <v>48151</v>
      </c>
      <c r="H107" s="2001">
        <f t="shared" si="3"/>
        <v>48152</v>
      </c>
      <c r="I107" s="1998">
        <v>3.1933999999999997E-2</v>
      </c>
    </row>
    <row r="108" spans="3:9">
      <c r="C108" s="1462">
        <v>48117</v>
      </c>
      <c r="D108" s="1467">
        <f t="shared" si="2"/>
        <v>48121</v>
      </c>
      <c r="E108" s="1463">
        <v>2.94985E-2</v>
      </c>
      <c r="G108" s="1997">
        <v>48180</v>
      </c>
      <c r="H108" s="2001">
        <f t="shared" si="3"/>
        <v>48182</v>
      </c>
      <c r="I108" s="1998">
        <v>3.1985699999999999E-2</v>
      </c>
    </row>
    <row r="109" spans="3:9">
      <c r="C109" s="1462">
        <v>48148</v>
      </c>
      <c r="D109" s="1467">
        <f t="shared" si="2"/>
        <v>48152</v>
      </c>
      <c r="E109" s="1463">
        <v>2.9561E-2</v>
      </c>
      <c r="G109" s="1997">
        <v>48212</v>
      </c>
      <c r="H109" s="2001">
        <f t="shared" si="3"/>
        <v>48213</v>
      </c>
      <c r="I109" s="1998">
        <v>3.2037799999999998E-2</v>
      </c>
    </row>
    <row r="110" spans="3:9">
      <c r="C110" s="1462">
        <v>48178</v>
      </c>
      <c r="D110" s="1467">
        <f t="shared" si="2"/>
        <v>48182</v>
      </c>
      <c r="E110" s="1463">
        <v>2.9615200000000001E-2</v>
      </c>
      <c r="G110" s="1997">
        <v>48243</v>
      </c>
      <c r="H110" s="2001">
        <f t="shared" si="3"/>
        <v>48244</v>
      </c>
      <c r="I110" s="1998">
        <v>3.2090300000000002E-2</v>
      </c>
    </row>
    <row r="111" spans="3:9">
      <c r="C111" s="1462">
        <v>48208</v>
      </c>
      <c r="D111" s="1467">
        <f t="shared" si="2"/>
        <v>48213</v>
      </c>
      <c r="E111" s="1463">
        <v>2.9676299999999999E-2</v>
      </c>
      <c r="G111" s="1997">
        <v>48271</v>
      </c>
      <c r="H111" s="2001">
        <f t="shared" si="3"/>
        <v>48273</v>
      </c>
      <c r="I111" s="1998">
        <v>3.2143100000000001E-2</v>
      </c>
    </row>
    <row r="112" spans="3:9">
      <c r="C112" s="1462">
        <v>48239</v>
      </c>
      <c r="D112" s="1467">
        <f t="shared" si="2"/>
        <v>48244</v>
      </c>
      <c r="E112" s="1463">
        <v>2.9737400000000001E-2</v>
      </c>
      <c r="G112" s="1997">
        <v>48303</v>
      </c>
      <c r="H112" s="2001">
        <f t="shared" si="3"/>
        <v>48304</v>
      </c>
      <c r="I112" s="1998">
        <v>3.2196299999999997E-2</v>
      </c>
    </row>
    <row r="113" spans="3:9">
      <c r="C113" s="1462">
        <v>48270</v>
      </c>
      <c r="D113" s="1467">
        <f t="shared" si="2"/>
        <v>48273</v>
      </c>
      <c r="E113" s="1463">
        <v>2.9801100000000001E-2</v>
      </c>
      <c r="G113" s="1997">
        <v>48334</v>
      </c>
      <c r="H113" s="2001">
        <f t="shared" si="3"/>
        <v>48334</v>
      </c>
      <c r="I113" s="1998">
        <v>3.2249899999999998E-2</v>
      </c>
    </row>
    <row r="114" spans="3:9">
      <c r="C114" s="1462">
        <v>48299</v>
      </c>
      <c r="D114" s="1467">
        <f t="shared" si="2"/>
        <v>48304</v>
      </c>
      <c r="E114" s="1463">
        <v>2.98626E-2</v>
      </c>
      <c r="G114" s="1997">
        <v>48365</v>
      </c>
      <c r="H114" s="2001">
        <f t="shared" si="3"/>
        <v>48365</v>
      </c>
      <c r="I114" s="1998">
        <v>3.2303800000000001E-2</v>
      </c>
    </row>
    <row r="115" spans="3:9">
      <c r="C115" s="1462">
        <v>48330</v>
      </c>
      <c r="D115" s="1467">
        <f t="shared" si="2"/>
        <v>48334</v>
      </c>
      <c r="E115" s="1463">
        <v>2.9916399999999999E-2</v>
      </c>
      <c r="G115" s="1997">
        <v>48395</v>
      </c>
      <c r="H115" s="2001">
        <f t="shared" si="3"/>
        <v>48395</v>
      </c>
      <c r="I115" s="1998">
        <v>3.2358100000000001E-2</v>
      </c>
    </row>
    <row r="116" spans="3:9">
      <c r="C116" s="1462">
        <v>48360</v>
      </c>
      <c r="D116" s="1467">
        <f t="shared" si="2"/>
        <v>48365</v>
      </c>
      <c r="E116" s="1463">
        <v>2.99835E-2</v>
      </c>
      <c r="G116" s="1997">
        <v>48425</v>
      </c>
      <c r="H116" s="2001">
        <f t="shared" si="3"/>
        <v>48426</v>
      </c>
      <c r="I116" s="1998">
        <v>3.2412700000000003E-2</v>
      </c>
    </row>
    <row r="117" spans="3:9">
      <c r="C117" s="1462">
        <v>48393</v>
      </c>
      <c r="D117" s="1467">
        <f t="shared" si="2"/>
        <v>48395</v>
      </c>
      <c r="E117" s="1463">
        <v>3.0043500000000001E-2</v>
      </c>
      <c r="G117" s="1997">
        <v>48456</v>
      </c>
      <c r="H117" s="2001">
        <f t="shared" si="3"/>
        <v>48457</v>
      </c>
      <c r="I117" s="1998">
        <v>3.2460799999999998E-2</v>
      </c>
    </row>
    <row r="118" spans="3:9">
      <c r="C118" s="1462">
        <v>48421</v>
      </c>
      <c r="D118" s="1467">
        <f t="shared" si="2"/>
        <v>48426</v>
      </c>
      <c r="E118" s="1463">
        <v>3.01026E-2</v>
      </c>
      <c r="G118" s="1997">
        <v>48487</v>
      </c>
      <c r="H118" s="2001">
        <f t="shared" si="3"/>
        <v>48487</v>
      </c>
      <c r="I118" s="1998">
        <v>3.2523000000000003E-2</v>
      </c>
    </row>
    <row r="119" spans="3:9">
      <c r="C119" s="1462">
        <v>48452</v>
      </c>
      <c r="D119" s="1467">
        <f t="shared" si="2"/>
        <v>48457</v>
      </c>
      <c r="E119" s="1463">
        <v>3.01681E-2</v>
      </c>
      <c r="G119" s="1997">
        <v>48516</v>
      </c>
      <c r="H119" s="2001">
        <f t="shared" si="3"/>
        <v>48518</v>
      </c>
      <c r="I119" s="1998">
        <v>3.2578599999999999E-2</v>
      </c>
    </row>
    <row r="120" spans="3:9">
      <c r="C120" s="1462">
        <v>48484</v>
      </c>
      <c r="D120" s="1467">
        <f t="shared" si="2"/>
        <v>48487</v>
      </c>
      <c r="E120" s="1463">
        <v>3.0229099999999998E-2</v>
      </c>
      <c r="G120" s="1997">
        <v>48548</v>
      </c>
      <c r="H120" s="2001">
        <f t="shared" si="3"/>
        <v>48548</v>
      </c>
      <c r="I120" s="1998">
        <v>3.2634499999999997E-2</v>
      </c>
    </row>
    <row r="121" spans="3:9">
      <c r="C121" s="1462">
        <v>48513</v>
      </c>
      <c r="D121" s="1467">
        <f t="shared" si="2"/>
        <v>48518</v>
      </c>
      <c r="E121" s="1463">
        <v>3.0291100000000001E-2</v>
      </c>
      <c r="G121" s="1997">
        <v>48578</v>
      </c>
      <c r="H121" s="2001">
        <f t="shared" si="3"/>
        <v>48579</v>
      </c>
      <c r="I121" s="1998">
        <v>3.26906E-2</v>
      </c>
    </row>
    <row r="122" spans="3:9">
      <c r="C122" s="1462">
        <v>48544</v>
      </c>
      <c r="D122" s="1467">
        <f t="shared" si="2"/>
        <v>48548</v>
      </c>
      <c r="E122" s="1463">
        <v>3.0355300000000002E-2</v>
      </c>
      <c r="G122" s="1997">
        <v>48610</v>
      </c>
      <c r="H122" s="2001">
        <f t="shared" si="3"/>
        <v>48610</v>
      </c>
      <c r="I122" s="1998">
        <v>3.27468E-2</v>
      </c>
    </row>
    <row r="123" spans="3:9">
      <c r="C123" s="1462">
        <v>48575</v>
      </c>
      <c r="D123" s="1467">
        <f t="shared" si="2"/>
        <v>48579</v>
      </c>
      <c r="E123" s="1463">
        <v>3.0419700000000001E-2</v>
      </c>
      <c r="G123" s="1997">
        <v>48638</v>
      </c>
      <c r="H123" s="2001">
        <f t="shared" si="3"/>
        <v>48638</v>
      </c>
      <c r="I123" s="1998">
        <v>3.28028E-2</v>
      </c>
    </row>
    <row r="124" spans="3:9" ht="15.75" thickBot="1">
      <c r="C124" s="1464">
        <v>48605</v>
      </c>
      <c r="D124" s="1468">
        <f t="shared" si="2"/>
        <v>48610</v>
      </c>
      <c r="E124" s="1465">
        <v>3.0486699999999999E-2</v>
      </c>
      <c r="G124" s="1999">
        <v>48668</v>
      </c>
      <c r="H124" s="2002">
        <f t="shared" si="3"/>
        <v>48669</v>
      </c>
      <c r="I124" s="2000">
        <v>3.28583E-2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A83D-655E-4A04-ABE6-DF5CDE2872E9}">
  <dimension ref="B3:W37"/>
  <sheetViews>
    <sheetView showGridLines="0" topLeftCell="A13" workbookViewId="0">
      <selection activeCell="V32" sqref="V32"/>
    </sheetView>
  </sheetViews>
  <sheetFormatPr defaultRowHeight="15"/>
  <cols>
    <col min="2" max="2" width="0.7109375" style="1859" customWidth="1"/>
    <col min="4" max="4" width="30.140625" customWidth="1"/>
    <col min="16" max="19" width="13.5703125" customWidth="1"/>
  </cols>
  <sheetData>
    <row r="3" spans="2:8" ht="24" customHeight="1">
      <c r="B3" s="1857"/>
      <c r="C3" s="1858" t="s">
        <v>1172</v>
      </c>
      <c r="D3" s="1857"/>
      <c r="E3" s="1857"/>
      <c r="F3" s="1857"/>
      <c r="G3" s="1857"/>
    </row>
    <row r="4" spans="2:8" ht="35.25" customHeight="1">
      <c r="C4" s="1859"/>
      <c r="D4" s="1860" t="s">
        <v>1173</v>
      </c>
      <c r="E4" s="1859"/>
      <c r="F4" s="1859"/>
      <c r="G4" s="1859"/>
    </row>
    <row r="5" spans="2:8" ht="35.25" customHeight="1">
      <c r="C5" s="1859"/>
      <c r="D5" s="1860" t="s">
        <v>1174</v>
      </c>
      <c r="E5" s="1859"/>
      <c r="F5" s="1859"/>
      <c r="G5" s="1859"/>
    </row>
    <row r="6" spans="2:8" ht="35.25" customHeight="1">
      <c r="C6" s="1859"/>
      <c r="D6" s="1860" t="s">
        <v>1190</v>
      </c>
      <c r="E6" s="1859"/>
      <c r="F6" s="1859"/>
      <c r="G6" s="1859"/>
    </row>
    <row r="7" spans="2:8" ht="35.25" customHeight="1">
      <c r="C7" s="1859"/>
      <c r="D7" s="1860" t="s">
        <v>1175</v>
      </c>
      <c r="E7" s="1859"/>
      <c r="F7" s="1859"/>
      <c r="G7" s="1859"/>
    </row>
    <row r="8" spans="2:8" ht="35.25" customHeight="1">
      <c r="C8" s="1859"/>
      <c r="D8" s="1860" t="s">
        <v>1191</v>
      </c>
      <c r="E8" s="1859"/>
      <c r="F8" s="1859"/>
      <c r="G8" s="1859"/>
    </row>
    <row r="9" spans="2:8" ht="35.25" customHeight="1">
      <c r="C9" s="1859"/>
      <c r="D9" s="1860" t="s">
        <v>1176</v>
      </c>
      <c r="E9" s="1859"/>
      <c r="F9" s="1859"/>
      <c r="G9" s="1859"/>
    </row>
    <row r="10" spans="2:8" ht="35.25" customHeight="1">
      <c r="C10" s="1859"/>
      <c r="D10" s="1860" t="s">
        <v>1192</v>
      </c>
      <c r="E10" s="1859"/>
      <c r="F10" s="1859"/>
      <c r="G10" s="1859"/>
    </row>
    <row r="11" spans="2:8" ht="35.25" customHeight="1">
      <c r="C11" s="1859"/>
      <c r="D11" s="1860" t="s">
        <v>1177</v>
      </c>
      <c r="E11" s="1859"/>
      <c r="F11" s="1859"/>
      <c r="G11" s="1859"/>
    </row>
    <row r="12" spans="2:8" ht="35.25" customHeight="1">
      <c r="C12" s="1859"/>
      <c r="D12" s="1860" t="s">
        <v>1178</v>
      </c>
      <c r="E12" s="1859"/>
      <c r="F12" s="1859"/>
      <c r="G12" s="1859"/>
    </row>
    <row r="13" spans="2:8" ht="35.25" customHeight="1">
      <c r="C13" s="1859"/>
      <c r="D13" s="1860" t="s">
        <v>1179</v>
      </c>
      <c r="E13" s="1859"/>
      <c r="F13" s="1859"/>
      <c r="G13" s="1859"/>
    </row>
    <row r="14" spans="2:8" ht="35.25" customHeight="1">
      <c r="C14" s="1859"/>
      <c r="D14" s="1860" t="s">
        <v>1180</v>
      </c>
      <c r="E14" s="1859"/>
      <c r="F14" s="1859"/>
      <c r="G14" s="1859"/>
    </row>
    <row r="15" spans="2:8" ht="35.25" customHeight="1">
      <c r="C15" s="1859"/>
      <c r="D15" s="1860" t="s">
        <v>1185</v>
      </c>
      <c r="E15" s="1859"/>
      <c r="F15" s="1859"/>
      <c r="G15" s="1859"/>
      <c r="H15" s="37"/>
    </row>
    <row r="16" spans="2:8" ht="35.25" customHeight="1">
      <c r="C16" s="1859"/>
      <c r="D16" s="1860" t="s">
        <v>1181</v>
      </c>
      <c r="E16" s="1859"/>
      <c r="F16" s="1859"/>
      <c r="G16" s="1859"/>
    </row>
    <row r="17" spans="2:23" ht="35.25" customHeight="1">
      <c r="C17" s="1859"/>
      <c r="D17" s="1860" t="s">
        <v>1182</v>
      </c>
      <c r="E17" s="1859"/>
      <c r="F17" s="1859"/>
      <c r="G17" s="1859"/>
    </row>
    <row r="18" spans="2:23" ht="35.25" customHeight="1">
      <c r="C18" s="1859"/>
      <c r="D18" s="1860" t="s">
        <v>1183</v>
      </c>
      <c r="E18" s="1859"/>
      <c r="F18" s="1859"/>
      <c r="G18" s="1859"/>
    </row>
    <row r="19" spans="2:23" ht="35.25" customHeight="1">
      <c r="C19" s="1859"/>
      <c r="D19" s="1860" t="s">
        <v>686</v>
      </c>
      <c r="E19" s="1859"/>
      <c r="F19" s="1859"/>
      <c r="G19" s="1859"/>
    </row>
    <row r="20" spans="2:23" ht="35.25" customHeight="1">
      <c r="C20" s="1859"/>
      <c r="D20" s="1860" t="s">
        <v>1184</v>
      </c>
      <c r="E20" s="1859"/>
      <c r="F20" s="1859"/>
      <c r="G20" s="1859"/>
    </row>
    <row r="21" spans="2:23" ht="35.25" customHeight="1">
      <c r="C21" s="1859"/>
      <c r="D21" s="1860" t="s">
        <v>1186</v>
      </c>
      <c r="E21" s="1859"/>
      <c r="F21" s="1859"/>
      <c r="G21" s="1859"/>
    </row>
    <row r="22" spans="2:23" ht="35.25" customHeight="1">
      <c r="C22" s="1859"/>
      <c r="D22" s="1860" t="s">
        <v>1209</v>
      </c>
      <c r="E22" s="1859"/>
      <c r="F22" s="1859"/>
      <c r="G22" s="1859"/>
    </row>
    <row r="23" spans="2:23">
      <c r="B23" s="1857"/>
      <c r="C23" s="1858" t="s">
        <v>1187</v>
      </c>
      <c r="D23" s="1857"/>
      <c r="E23" s="1859"/>
      <c r="F23" s="1859"/>
      <c r="G23" s="1859"/>
    </row>
    <row r="24" spans="2:23" ht="35.25" customHeight="1">
      <c r="C24" s="1859"/>
      <c r="D24" s="1860" t="s">
        <v>1188</v>
      </c>
      <c r="E24" s="1859"/>
      <c r="F24" s="1859"/>
      <c r="G24" s="1859"/>
    </row>
    <row r="25" spans="2:23" ht="35.25" customHeight="1">
      <c r="C25" s="1859"/>
      <c r="D25" s="1860" t="s">
        <v>1189</v>
      </c>
      <c r="E25" s="1859"/>
      <c r="F25" s="1859"/>
      <c r="G25" s="1859"/>
    </row>
    <row r="26" spans="2:23">
      <c r="C26" s="1859"/>
      <c r="D26" s="1860"/>
      <c r="E26" s="1859"/>
      <c r="F26" s="1859"/>
      <c r="G26" s="1859"/>
    </row>
    <row r="27" spans="2:23">
      <c r="D27" s="1860"/>
    </row>
    <row r="28" spans="2:23">
      <c r="D28" s="1860"/>
      <c r="P28" t="s">
        <v>1211</v>
      </c>
    </row>
    <row r="29" spans="2:23">
      <c r="D29" s="1860"/>
    </row>
    <row r="30" spans="2:23" ht="30">
      <c r="D30" s="1860"/>
      <c r="P30" s="974" t="s">
        <v>1212</v>
      </c>
      <c r="Q30" s="974" t="s">
        <v>1213</v>
      </c>
      <c r="R30" s="974" t="s">
        <v>1214</v>
      </c>
      <c r="S30" s="974" t="s">
        <v>1217</v>
      </c>
      <c r="T30" s="5" t="s">
        <v>1209</v>
      </c>
      <c r="U30" s="5" t="s">
        <v>1218</v>
      </c>
      <c r="V30" s="5"/>
      <c r="W30" s="5"/>
    </row>
    <row r="31" spans="2:23">
      <c r="O31" t="s">
        <v>1215</v>
      </c>
      <c r="P31" s="1310">
        <v>28000</v>
      </c>
      <c r="Q31" s="1310">
        <v>10500</v>
      </c>
      <c r="R31" s="1310">
        <v>5000</v>
      </c>
      <c r="S31" s="1310"/>
      <c r="T31" s="1310">
        <f>17000+5300</f>
        <v>22300</v>
      </c>
      <c r="U31" s="1310"/>
      <c r="V31" s="1310">
        <f>SUM(P31:U31)</f>
        <v>65800</v>
      </c>
      <c r="W31" s="5"/>
    </row>
    <row r="32" spans="2:23">
      <c r="O32" t="s">
        <v>1216</v>
      </c>
      <c r="P32" s="1310"/>
      <c r="Q32" s="1310">
        <v>51000</v>
      </c>
      <c r="R32" s="1310">
        <v>48000</v>
      </c>
      <c r="S32" s="1310">
        <v>190000</v>
      </c>
      <c r="T32" s="1310">
        <v>225000</v>
      </c>
      <c r="U32" s="1310">
        <v>65000</v>
      </c>
      <c r="V32" s="1310">
        <f>SUM(P32:U32)</f>
        <v>579000</v>
      </c>
      <c r="W32" s="5"/>
    </row>
    <row r="33" spans="16:23">
      <c r="P33" s="1310"/>
      <c r="Q33" s="1310"/>
      <c r="R33" s="1310"/>
      <c r="S33" s="1310"/>
      <c r="T33" s="1310"/>
      <c r="U33" s="1310"/>
      <c r="V33" s="1310"/>
      <c r="W33" s="5"/>
    </row>
    <row r="34" spans="16:23">
      <c r="P34" s="1310"/>
      <c r="Q34" s="1310"/>
      <c r="R34" s="1310"/>
      <c r="S34" s="1310"/>
      <c r="T34" s="1310"/>
      <c r="U34" s="1310"/>
      <c r="V34" s="1310"/>
      <c r="W34" s="5"/>
    </row>
    <row r="35" spans="16:23">
      <c r="P35" s="1310"/>
      <c r="Q35" s="1310"/>
      <c r="R35" s="1310"/>
      <c r="S35" s="1310"/>
      <c r="T35" s="1310"/>
      <c r="U35" s="1310"/>
      <c r="V35" s="1310"/>
      <c r="W35" s="5"/>
    </row>
    <row r="36" spans="16:23">
      <c r="P36" s="4"/>
      <c r="Q36" s="4"/>
      <c r="R36" s="4"/>
      <c r="S36" s="4"/>
      <c r="T36" s="4"/>
      <c r="U36" s="4"/>
      <c r="V36" s="4"/>
    </row>
    <row r="37" spans="16:23">
      <c r="P37" s="4"/>
      <c r="Q37" s="4"/>
      <c r="R37" s="4"/>
      <c r="S37" s="4"/>
      <c r="T37" s="4"/>
      <c r="U37" s="4"/>
      <c r="V3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15</vt:i4>
      </vt:variant>
    </vt:vector>
  </HeadingPairs>
  <TitlesOfParts>
    <vt:vector size="46" baseType="lpstr">
      <vt:lpstr>Cover</vt:lpstr>
      <vt:lpstr>Massing</vt:lpstr>
      <vt:lpstr>Sheet2</vt:lpstr>
      <vt:lpstr>Sheet1</vt:lpstr>
      <vt:lpstr>Dashboard</vt:lpstr>
      <vt:lpstr>Assumptions</vt:lpstr>
      <vt:lpstr>Assumptions MH</vt:lpstr>
      <vt:lpstr>Budget Detail</vt:lpstr>
      <vt:lpstr>Annual-CF</vt:lpstr>
      <vt:lpstr>Monthly-CF</vt:lpstr>
      <vt:lpstr>Cash Flow MH</vt:lpstr>
      <vt:lpstr>Monthly-Waterfall</vt:lpstr>
      <vt:lpstr>Pro Forma MH</vt:lpstr>
      <vt:lpstr>Stabalized NOI</vt:lpstr>
      <vt:lpstr>Schedules ---&gt;</vt:lpstr>
      <vt:lpstr>SF Breakdown</vt:lpstr>
      <vt:lpstr>Opex MF</vt:lpstr>
      <vt:lpstr>RE Tax</vt:lpstr>
      <vt:lpstr>Hotel Tax Comps</vt:lpstr>
      <vt:lpstr>Staffing Model MH</vt:lpstr>
      <vt:lpstr>Seasonality MH</vt:lpstr>
      <vt:lpstr>Unit Detail</vt:lpstr>
      <vt:lpstr>Tax Projection</vt:lpstr>
      <vt:lpstr>Int. Calc</vt:lpstr>
      <vt:lpstr>Slides ---&gt;</vt:lpstr>
      <vt:lpstr>Market Rents</vt:lpstr>
      <vt:lpstr>Rent Comps</vt:lpstr>
      <vt:lpstr>Sales Comps</vt:lpstr>
      <vt:lpstr>Operating Projections</vt:lpstr>
      <vt:lpstr>Forward Curve</vt:lpstr>
      <vt:lpstr>Sheet3</vt:lpstr>
      <vt:lpstr>'Annual-CF'!Print_Area</vt:lpstr>
      <vt:lpstr>Assumptions!Print_Area</vt:lpstr>
      <vt:lpstr>'Budget Detail'!Print_Area</vt:lpstr>
      <vt:lpstr>Cover!Print_Area</vt:lpstr>
      <vt:lpstr>Dashboard!Print_Area</vt:lpstr>
      <vt:lpstr>'Int. Calc'!Print_Area</vt:lpstr>
      <vt:lpstr>'Market Rents'!Print_Area</vt:lpstr>
      <vt:lpstr>'Monthly-CF'!Print_Area</vt:lpstr>
      <vt:lpstr>'Monthly-Waterfall'!Print_Area</vt:lpstr>
      <vt:lpstr>'Operating Projections'!Print_Area</vt:lpstr>
      <vt:lpstr>'Pro Forma MH'!Print_Area</vt:lpstr>
      <vt:lpstr>'Rent Comps'!Print_Area</vt:lpstr>
      <vt:lpstr>'Sales Comps'!Print_Area</vt:lpstr>
      <vt:lpstr>'Tax Projection'!Print_Area</vt:lpstr>
      <vt:lpstr>'Assumptions MH'!Print_Titles</vt:lpstr>
    </vt:vector>
  </TitlesOfParts>
  <Company>Haven Behavioral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ean@casouthdevelopment.com</dc:creator>
  <cp:lastModifiedBy>Brandon Crews</cp:lastModifiedBy>
  <cp:lastPrinted>2022-02-09T20:29:13Z</cp:lastPrinted>
  <dcterms:created xsi:type="dcterms:W3CDTF">2019-11-24T23:33:48Z</dcterms:created>
  <dcterms:modified xsi:type="dcterms:W3CDTF">2023-04-21T18:35:23Z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{A35BB958-8442-423D-ABA3-311E44F04F14}</vt:lpwstr>
  </property>
</Properties>
</file>